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J:\MILLS\FY2024-25 Mill Information\"/>
    </mc:Choice>
  </mc:AlternateContent>
  <xr:revisionPtr revIDLastSave="0" documentId="13_ncr:1_{AE773A5C-817D-4D41-A2E1-2C47C54C27C7}" xr6:coauthVersionLast="47" xr6:coauthVersionMax="47" xr10:uidLastSave="{00000000-0000-0000-0000-000000000000}"/>
  <bookViews>
    <workbookView xWindow="-110" yWindow="-110" windowWidth="19420" windowHeight="10300" xr2:uid="{162577C1-9E3E-4D29-A5D1-B06633EDA878}"/>
  </bookViews>
  <sheets>
    <sheet name="Instruction" sheetId="23" r:id="rId1"/>
    <sheet name="Cover" sheetId="24" r:id="rId2"/>
    <sheet name="BOE Resolution" sheetId="22" r:id="rId3"/>
    <sheet name="Calculation Worksheet" sheetId="13" r:id="rId4"/>
    <sheet name="Sheet5" sheetId="32" state="hidden" r:id="rId5"/>
    <sheet name="Sheet6" sheetId="33" state="hidden" r:id="rId6"/>
    <sheet name="CDE Mill Levy Certify Form" sheetId="14" r:id="rId7"/>
    <sheet name="Dec2022Data" sheetId="38" r:id="rId8"/>
    <sheet name="Suppl Info" sheetId="25" state="hidden" r:id="rId9"/>
    <sheet name="General #10 collections" sheetId="16" state="hidden" r:id="rId10"/>
    <sheet name="Bond #31 collections " sheetId="17" state="hidden" r:id="rId11"/>
    <sheet name="Transportion #25 collections" sheetId="18" state="hidden" r:id="rId12"/>
    <sheet name="Special BLDG &amp; Tech #42 collec" sheetId="19" state="hidden" r:id="rId13"/>
    <sheet name="Supp CCTechMaint Fund #46 or 06" sheetId="20" state="hidden" r:id="rId14"/>
    <sheet name="Data FY23-24 Final" sheetId="15" r:id="rId15"/>
    <sheet name="Data Aug 2024 AV" sheetId="27" r:id="rId16"/>
    <sheet name="Hold Harmless" sheetId="31" state="hidden" r:id="rId17"/>
    <sheet name="Sheet1" sheetId="28" state="hidden" r:id="rId18"/>
  </sheets>
  <definedNames>
    <definedName name="_xlnm._FilterDatabase" localSheetId="6" hidden="1">'CDE Mill Levy Certify Form'!$A$19:$E$83</definedName>
    <definedName name="_xlnm._FilterDatabase" localSheetId="15">'Data Aug 2024 AV'!$A$2:$Z$180</definedName>
    <definedName name="_xlnm._FilterDatabase" localSheetId="14">'Data FY23-24 Final'!$A$2:$W$180</definedName>
    <definedName name="GMONEY" localSheetId="2">#REF!</definedName>
    <definedName name="GMONEY" localSheetId="16">#REF!</definedName>
    <definedName name="GMONEY">#REF!</definedName>
    <definedName name="NvsASD">"V2005-07-31"</definedName>
    <definedName name="NvsAutoDrillOk">"VN"</definedName>
    <definedName name="NvsElapsedTime">0.000706018523487728</definedName>
    <definedName name="NvsEndTime">38646.4486226852</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Effdt">"V1999-08-02"</definedName>
    <definedName name="NvsPanelSetid">"VSD11"</definedName>
    <definedName name="NvsReqBU">"VSD11"</definedName>
    <definedName name="NvsReqBUOnly">"VY"</definedName>
    <definedName name="NvsTransLed">"VN"</definedName>
    <definedName name="NvsTreeASD">"V2005-07-31"</definedName>
    <definedName name="NvsValTbl.ACCOUNT">"GL_ACCOUNT_TBL"</definedName>
    <definedName name="NvsValTbl.BUDGET_PERIOD">"APPROP_BP_VW"</definedName>
    <definedName name="NvsValTbl.DEPTID">"DEPT_TBL"</definedName>
    <definedName name="NvsValTbl.FUND_CODE">"FUND_TBL"</definedName>
    <definedName name="NvsValTbl.PROGRAM_CODE">"PROGRAM_TBL"</definedName>
    <definedName name="NvsValTbl.PROJECT_ID">"PROJECT_ALL_VW"</definedName>
    <definedName name="NvsValTbl.SCENARIO">"BD_SCENARIO_TBL"</definedName>
    <definedName name="_xlnm.Print_Area" localSheetId="2">'BOE Resolution'!$A$13:$C$45</definedName>
    <definedName name="_xlnm.Print_Area" localSheetId="3">'Calculation Worksheet'!$B$1:$H$130</definedName>
    <definedName name="_xlnm.Print_Area" localSheetId="6">'CDE Mill Levy Certify Form'!$A$11:$F$81</definedName>
    <definedName name="_xlnm.Print_Area" localSheetId="1">Cover!$B$2:$K$38</definedName>
    <definedName name="Print_Area_MI" localSheetId="3">'Calculation Worksheet'!$B$4:$G$60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2" i="14" l="1"/>
  <c r="E42" i="14"/>
  <c r="F55" i="14" l="1"/>
  <c r="F42" i="14"/>
  <c r="K12" i="13"/>
  <c r="D15" i="13"/>
  <c r="L12" i="13"/>
  <c r="M12" i="13"/>
  <c r="N12" i="13"/>
  <c r="F87" i="27"/>
  <c r="D14" i="13" l="1"/>
  <c r="K41" i="13" l="1"/>
  <c r="K40" i="13"/>
  <c r="D16" i="13" l="1"/>
  <c r="C76" i="14" l="1"/>
  <c r="A18" i="22" l="1"/>
  <c r="A76" i="14"/>
  <c r="A13" i="22"/>
  <c r="A19" i="22"/>
  <c r="A17" i="22"/>
  <c r="A39" i="22"/>
  <c r="AB180" i="15"/>
  <c r="AB179" i="15"/>
  <c r="AB178" i="15"/>
  <c r="AB177" i="15"/>
  <c r="AB176" i="15"/>
  <c r="AB175" i="15"/>
  <c r="AB174" i="15"/>
  <c r="AB173" i="15"/>
  <c r="AB172" i="15"/>
  <c r="AB171" i="15"/>
  <c r="AB170" i="15"/>
  <c r="AB169" i="15"/>
  <c r="AB168" i="15"/>
  <c r="AB167" i="15"/>
  <c r="AB166" i="15"/>
  <c r="AB165" i="15"/>
  <c r="AB164" i="15"/>
  <c r="AB163" i="15"/>
  <c r="AB162" i="15"/>
  <c r="AB161" i="15"/>
  <c r="AB160" i="15"/>
  <c r="AB159" i="15"/>
  <c r="AB158" i="15"/>
  <c r="AB157" i="15"/>
  <c r="AB156" i="15"/>
  <c r="AB155" i="15"/>
  <c r="AB154" i="15"/>
  <c r="AB153" i="15"/>
  <c r="AB152" i="15"/>
  <c r="AB151" i="15"/>
  <c r="AB150" i="15"/>
  <c r="AB149" i="15"/>
  <c r="AB148" i="15"/>
  <c r="AB147" i="15"/>
  <c r="AB146" i="15"/>
  <c r="AB145" i="15"/>
  <c r="AB144" i="15"/>
  <c r="AB143" i="15"/>
  <c r="AB142" i="15"/>
  <c r="AB141" i="15"/>
  <c r="AB140" i="15"/>
  <c r="AB139" i="15"/>
  <c r="AB138" i="15"/>
  <c r="AB137" i="15"/>
  <c r="AB136" i="15"/>
  <c r="AB135" i="15"/>
  <c r="AB134" i="15"/>
  <c r="AB133" i="15"/>
  <c r="AB132" i="15"/>
  <c r="AB131" i="15"/>
  <c r="AB130" i="15"/>
  <c r="AB129" i="15"/>
  <c r="AB128" i="15"/>
  <c r="AB127" i="15"/>
  <c r="AB126" i="15"/>
  <c r="AB125" i="15"/>
  <c r="AB124" i="15"/>
  <c r="AB123" i="15"/>
  <c r="AB122" i="15"/>
  <c r="AB121" i="15"/>
  <c r="AB120" i="15"/>
  <c r="AB119" i="15"/>
  <c r="AB118" i="15"/>
  <c r="AB117" i="15"/>
  <c r="AB116" i="15"/>
  <c r="AB115" i="15"/>
  <c r="AB114" i="15"/>
  <c r="AB113" i="15"/>
  <c r="AB112" i="15"/>
  <c r="AB111" i="15"/>
  <c r="AB110" i="15"/>
  <c r="AB109" i="15"/>
  <c r="AB108" i="15"/>
  <c r="AB107" i="15"/>
  <c r="AB106" i="15"/>
  <c r="AB105" i="15"/>
  <c r="AB104" i="15"/>
  <c r="AB103" i="15"/>
  <c r="AB102" i="15"/>
  <c r="AB101" i="15"/>
  <c r="AB100" i="15"/>
  <c r="AB99" i="15"/>
  <c r="AB98" i="15"/>
  <c r="AB97" i="15"/>
  <c r="AB96" i="15"/>
  <c r="AB95" i="15"/>
  <c r="AB94" i="15"/>
  <c r="AB93" i="15"/>
  <c r="AB92" i="15"/>
  <c r="AB91" i="15"/>
  <c r="AB90" i="15"/>
  <c r="AB89" i="15"/>
  <c r="AB88" i="15"/>
  <c r="AB87" i="15"/>
  <c r="AB86" i="15"/>
  <c r="AB85" i="15"/>
  <c r="AB84" i="15"/>
  <c r="AB83" i="15"/>
  <c r="AB82" i="15"/>
  <c r="AB81" i="15"/>
  <c r="AB80" i="15"/>
  <c r="AB79" i="15"/>
  <c r="AB78" i="15"/>
  <c r="AB77" i="15"/>
  <c r="AB76" i="15"/>
  <c r="AB75" i="15"/>
  <c r="AB74" i="15"/>
  <c r="AB73" i="15"/>
  <c r="AB72" i="15"/>
  <c r="AB71" i="15"/>
  <c r="AB70" i="15"/>
  <c r="AB69" i="15"/>
  <c r="AB68" i="15"/>
  <c r="AB67" i="15"/>
  <c r="AB66" i="15"/>
  <c r="AB65" i="15"/>
  <c r="AB64" i="15"/>
  <c r="AB63" i="15"/>
  <c r="AB62" i="15"/>
  <c r="AB61" i="15"/>
  <c r="AB60" i="15"/>
  <c r="AB59" i="15"/>
  <c r="AB58" i="15"/>
  <c r="AB57" i="15"/>
  <c r="AB56" i="15"/>
  <c r="AB55" i="15"/>
  <c r="AB54" i="15"/>
  <c r="AB53" i="15"/>
  <c r="AB52" i="15"/>
  <c r="AB51" i="15"/>
  <c r="AB50" i="15"/>
  <c r="AB49" i="15"/>
  <c r="AB48" i="15"/>
  <c r="AB47" i="15"/>
  <c r="AB46" i="15"/>
  <c r="AB45" i="15"/>
  <c r="AB44" i="15"/>
  <c r="AB43" i="15"/>
  <c r="AB42" i="15"/>
  <c r="AB41" i="15"/>
  <c r="AB40" i="15"/>
  <c r="AB39" i="15"/>
  <c r="AB38" i="15"/>
  <c r="AB37" i="15"/>
  <c r="AB36" i="15"/>
  <c r="AB35" i="15"/>
  <c r="AB34" i="15"/>
  <c r="AB33" i="15"/>
  <c r="AB32" i="15"/>
  <c r="AB31" i="15"/>
  <c r="AB30" i="15"/>
  <c r="AB29" i="15"/>
  <c r="AB28" i="15"/>
  <c r="AB27" i="15"/>
  <c r="AB26" i="15"/>
  <c r="AB25" i="15"/>
  <c r="AB24" i="15"/>
  <c r="AB23" i="15"/>
  <c r="AB22" i="15"/>
  <c r="AB21" i="15"/>
  <c r="AB20" i="15"/>
  <c r="AB19" i="15"/>
  <c r="AB18" i="15"/>
  <c r="AB17" i="15"/>
  <c r="AB16" i="15"/>
  <c r="AB15" i="15"/>
  <c r="AB14" i="15"/>
  <c r="AB13" i="15"/>
  <c r="AB12" i="15"/>
  <c r="AB11" i="15"/>
  <c r="AB10" i="15"/>
  <c r="AB9" i="15"/>
  <c r="AB8" i="15"/>
  <c r="AB7" i="15"/>
  <c r="AB6" i="15"/>
  <c r="AB5" i="15"/>
  <c r="AB4" i="15"/>
  <c r="AB3" i="15"/>
  <c r="P182" i="15" l="1"/>
  <c r="O182" i="15"/>
  <c r="N182" i="15"/>
  <c r="M182" i="15"/>
  <c r="L182" i="15"/>
  <c r="K182" i="15"/>
  <c r="J182" i="15"/>
  <c r="I182" i="15"/>
  <c r="H182" i="15"/>
  <c r="F180" i="27" l="1"/>
  <c r="P180" i="27" s="1"/>
  <c r="F179" i="27"/>
  <c r="P179" i="27" s="1"/>
  <c r="F174" i="27"/>
  <c r="P174" i="27" s="1"/>
  <c r="P173" i="27"/>
  <c r="P172" i="27"/>
  <c r="P171" i="27"/>
  <c r="F167" i="27"/>
  <c r="P165" i="27"/>
  <c r="F164" i="27"/>
  <c r="P164" i="27" s="1"/>
  <c r="F163" i="27"/>
  <c r="P163" i="27" s="1"/>
  <c r="F162" i="27"/>
  <c r="P162" i="27" s="1"/>
  <c r="F161" i="27"/>
  <c r="P161" i="27" s="1"/>
  <c r="F160" i="27"/>
  <c r="P160" i="27" s="1"/>
  <c r="F159" i="27"/>
  <c r="P159" i="27" s="1"/>
  <c r="F158" i="27"/>
  <c r="P158" i="27" s="1"/>
  <c r="F157" i="27"/>
  <c r="P157" i="27" s="1"/>
  <c r="F156" i="27"/>
  <c r="P156" i="27" s="1"/>
  <c r="F155" i="27"/>
  <c r="F154" i="27"/>
  <c r="P154" i="27" s="1"/>
  <c r="F153" i="27"/>
  <c r="P150" i="27"/>
  <c r="P149" i="27"/>
  <c r="P148" i="27"/>
  <c r="P142" i="27"/>
  <c r="P141" i="27"/>
  <c r="P140" i="27"/>
  <c r="F138" i="27"/>
  <c r="P138" i="27" s="1"/>
  <c r="F137" i="27"/>
  <c r="F136" i="27"/>
  <c r="P136" i="27" s="1"/>
  <c r="F135" i="27"/>
  <c r="P134" i="27"/>
  <c r="F133" i="27"/>
  <c r="P133" i="27" s="1"/>
  <c r="F132" i="27"/>
  <c r="P132" i="27" s="1"/>
  <c r="F131" i="27"/>
  <c r="P131" i="27" s="1"/>
  <c r="F130" i="27"/>
  <c r="P130" i="27" s="1"/>
  <c r="F125" i="27"/>
  <c r="P125" i="27" s="1"/>
  <c r="P124" i="27"/>
  <c r="F121" i="27"/>
  <c r="P121" i="27" s="1"/>
  <c r="F120" i="27"/>
  <c r="P120" i="27" s="1"/>
  <c r="F119" i="27"/>
  <c r="P119" i="27" s="1"/>
  <c r="F118" i="27"/>
  <c r="P118" i="27" s="1"/>
  <c r="P116" i="27"/>
  <c r="P108" i="27"/>
  <c r="P107" i="27"/>
  <c r="F106" i="27"/>
  <c r="P106" i="27" s="1"/>
  <c r="P102" i="27"/>
  <c r="P101" i="27"/>
  <c r="P100" i="27"/>
  <c r="P94" i="27"/>
  <c r="P93" i="27"/>
  <c r="P92" i="27"/>
  <c r="P90" i="27"/>
  <c r="F88" i="27"/>
  <c r="P88" i="27" s="1"/>
  <c r="F86" i="27"/>
  <c r="F85" i="27"/>
  <c r="P85" i="27" s="1"/>
  <c r="F84" i="27"/>
  <c r="P84" i="27" s="1"/>
  <c r="F83" i="27"/>
  <c r="P83" i="27" s="1"/>
  <c r="F79" i="27"/>
  <c r="P79" i="27" s="1"/>
  <c r="F78" i="27"/>
  <c r="P78" i="27" s="1"/>
  <c r="F77" i="27"/>
  <c r="P77" i="27" s="1"/>
  <c r="P76" i="27"/>
  <c r="P75" i="27"/>
  <c r="F73" i="27"/>
  <c r="P73" i="27" s="1"/>
  <c r="P70" i="27"/>
  <c r="F69" i="27"/>
  <c r="P69" i="27" s="1"/>
  <c r="P68" i="27"/>
  <c r="F65" i="27"/>
  <c r="P65" i="27" s="1"/>
  <c r="P61" i="27"/>
  <c r="F60" i="27"/>
  <c r="P60" i="27" s="1"/>
  <c r="P53" i="27"/>
  <c r="P52" i="27"/>
  <c r="F51" i="27"/>
  <c r="P51" i="27" s="1"/>
  <c r="F50" i="27"/>
  <c r="F49" i="27"/>
  <c r="P49" i="27" s="1"/>
  <c r="F48" i="27"/>
  <c r="P48" i="27" s="1"/>
  <c r="F47" i="27"/>
  <c r="F46" i="27"/>
  <c r="P46" i="27" s="1"/>
  <c r="F45" i="27"/>
  <c r="P45" i="27" s="1"/>
  <c r="F44" i="27"/>
  <c r="P44" i="27" s="1"/>
  <c r="F43" i="27"/>
  <c r="P43" i="27" s="1"/>
  <c r="F38" i="27"/>
  <c r="P38" i="27" s="1"/>
  <c r="F37" i="27"/>
  <c r="P37" i="27" s="1"/>
  <c r="P36" i="27"/>
  <c r="P33" i="27"/>
  <c r="F32" i="27"/>
  <c r="P32" i="27" s="1"/>
  <c r="F31" i="27"/>
  <c r="P31" i="27" s="1"/>
  <c r="P29" i="27"/>
  <c r="P28" i="27"/>
  <c r="F26" i="27"/>
  <c r="F25" i="27"/>
  <c r="P22" i="27"/>
  <c r="P21" i="27"/>
  <c r="P20" i="27"/>
  <c r="P14" i="27"/>
  <c r="P13" i="27"/>
  <c r="P12" i="27"/>
  <c r="P11" i="27"/>
  <c r="P5" i="27"/>
  <c r="P4" i="27"/>
  <c r="N181" i="27"/>
  <c r="M181" i="27"/>
  <c r="O181" i="27"/>
  <c r="P178" i="27"/>
  <c r="P177" i="27"/>
  <c r="P176" i="27"/>
  <c r="P175" i="27"/>
  <c r="P170" i="27"/>
  <c r="P169" i="27"/>
  <c r="P168" i="27"/>
  <c r="P167" i="27"/>
  <c r="P166" i="27"/>
  <c r="P155" i="27"/>
  <c r="P153" i="27"/>
  <c r="P152" i="27"/>
  <c r="P151" i="27"/>
  <c r="P147" i="27"/>
  <c r="P146" i="27"/>
  <c r="P145" i="27"/>
  <c r="P144" i="27"/>
  <c r="P143" i="27"/>
  <c r="P139" i="27"/>
  <c r="P137" i="27"/>
  <c r="P135" i="27"/>
  <c r="P129" i="27"/>
  <c r="P128" i="27"/>
  <c r="P127" i="27"/>
  <c r="P126" i="27"/>
  <c r="P123" i="27"/>
  <c r="P122" i="27"/>
  <c r="P117" i="27"/>
  <c r="P115" i="27"/>
  <c r="P114" i="27"/>
  <c r="P113" i="27"/>
  <c r="P112" i="27"/>
  <c r="P111" i="27"/>
  <c r="P110" i="27"/>
  <c r="P109" i="27"/>
  <c r="P105" i="27"/>
  <c r="P104" i="27"/>
  <c r="P103" i="27"/>
  <c r="P99" i="27"/>
  <c r="P98" i="27"/>
  <c r="P97" i="27"/>
  <c r="P96" i="27"/>
  <c r="P95" i="27"/>
  <c r="P91" i="27"/>
  <c r="P89" i="27"/>
  <c r="P87" i="27"/>
  <c r="P86" i="27"/>
  <c r="P82" i="27"/>
  <c r="P81" i="27"/>
  <c r="P80" i="27"/>
  <c r="P74" i="27"/>
  <c r="P72" i="27"/>
  <c r="P71" i="27"/>
  <c r="P67" i="27"/>
  <c r="P66" i="27"/>
  <c r="P64" i="27"/>
  <c r="P63" i="27"/>
  <c r="P62" i="27"/>
  <c r="P59" i="27"/>
  <c r="P58" i="27"/>
  <c r="P57" i="27"/>
  <c r="P56" i="27"/>
  <c r="P55" i="27"/>
  <c r="P54" i="27"/>
  <c r="P50" i="27"/>
  <c r="P47" i="27"/>
  <c r="P42" i="27"/>
  <c r="P41" i="27"/>
  <c r="P40" i="27"/>
  <c r="P39" i="27"/>
  <c r="P35" i="27"/>
  <c r="P34" i="27"/>
  <c r="P30" i="27"/>
  <c r="P27" i="27"/>
  <c r="P26" i="27"/>
  <c r="P25" i="27"/>
  <c r="P24" i="27"/>
  <c r="P23" i="27"/>
  <c r="P19" i="27"/>
  <c r="P18" i="27"/>
  <c r="P17" i="27"/>
  <c r="P16" i="27"/>
  <c r="P15" i="27"/>
  <c r="P10" i="27"/>
  <c r="P9" i="27"/>
  <c r="P8" i="27"/>
  <c r="P7" i="27"/>
  <c r="P6" i="27"/>
  <c r="P3" i="27"/>
  <c r="J176" i="27"/>
  <c r="J174" i="27"/>
  <c r="J173" i="27"/>
  <c r="J171" i="27"/>
  <c r="J167" i="27"/>
  <c r="J166" i="27"/>
  <c r="J158" i="27"/>
  <c r="J157" i="27"/>
  <c r="J134" i="27"/>
  <c r="J131" i="27"/>
  <c r="J121" i="27"/>
  <c r="J94" i="27"/>
  <c r="J88" i="27"/>
  <c r="J74" i="27"/>
  <c r="J40" i="27"/>
  <c r="J180" i="27"/>
  <c r="J179" i="27"/>
  <c r="J178" i="27"/>
  <c r="J177" i="27"/>
  <c r="J175" i="27"/>
  <c r="J172" i="27"/>
  <c r="J170" i="27"/>
  <c r="J169" i="27"/>
  <c r="J168" i="27"/>
  <c r="J165" i="27"/>
  <c r="J164" i="27"/>
  <c r="J163" i="27"/>
  <c r="J162" i="27"/>
  <c r="J161" i="27"/>
  <c r="J160" i="27"/>
  <c r="J159" i="27"/>
  <c r="J156" i="27"/>
  <c r="J155" i="27"/>
  <c r="J154" i="27"/>
  <c r="J153" i="27"/>
  <c r="J152" i="27"/>
  <c r="J151" i="27"/>
  <c r="J150" i="27"/>
  <c r="J149" i="27"/>
  <c r="J148" i="27"/>
  <c r="J147" i="27"/>
  <c r="J146" i="27"/>
  <c r="J145" i="27"/>
  <c r="J144" i="27"/>
  <c r="J143" i="27"/>
  <c r="J142" i="27"/>
  <c r="J141" i="27"/>
  <c r="J140" i="27"/>
  <c r="J139" i="27"/>
  <c r="J138" i="27"/>
  <c r="J137" i="27"/>
  <c r="J136" i="27"/>
  <c r="J135" i="27"/>
  <c r="J133" i="27"/>
  <c r="J132" i="27"/>
  <c r="J130" i="27"/>
  <c r="J129" i="27"/>
  <c r="J128" i="27"/>
  <c r="J127" i="27"/>
  <c r="J126" i="27"/>
  <c r="J125" i="27"/>
  <c r="J124" i="27"/>
  <c r="J123" i="27"/>
  <c r="J122"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3" i="27"/>
  <c r="J92" i="27"/>
  <c r="J91" i="27"/>
  <c r="J90" i="27"/>
  <c r="J89" i="27"/>
  <c r="J87" i="27"/>
  <c r="J86" i="27"/>
  <c r="J85" i="27"/>
  <c r="J84" i="27"/>
  <c r="J83" i="27"/>
  <c r="J82" i="27"/>
  <c r="J81" i="27"/>
  <c r="J80" i="27"/>
  <c r="J79" i="27"/>
  <c r="J78" i="27"/>
  <c r="J77" i="27"/>
  <c r="J76" i="27"/>
  <c r="J75"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J3" i="27"/>
  <c r="Z181" i="15" l="1"/>
  <c r="Y181" i="15"/>
  <c r="X181" i="15"/>
  <c r="G182" i="15"/>
  <c r="F182" i="15"/>
  <c r="E182" i="15"/>
  <c r="D182" i="15"/>
  <c r="N21" i="13" l="1"/>
  <c r="M21" i="13"/>
  <c r="L21" i="13"/>
  <c r="K21" i="13"/>
  <c r="J19" i="13"/>
  <c r="J18" i="13"/>
  <c r="J17" i="13"/>
  <c r="J16" i="13"/>
  <c r="J15" i="13"/>
  <c r="J14" i="13"/>
  <c r="J20" i="13" l="1"/>
  <c r="E93" i="13" l="1"/>
  <c r="Y365" i="27" l="1"/>
  <c r="Z365" i="27" l="1"/>
  <c r="L365" i="27"/>
  <c r="M365" i="27"/>
  <c r="N365" i="27"/>
  <c r="K365" i="27"/>
  <c r="R365" i="27"/>
  <c r="X365" i="27"/>
  <c r="I365" i="27"/>
  <c r="H365" i="27"/>
  <c r="J365" i="27"/>
  <c r="H65" i="13"/>
  <c r="H57" i="13"/>
  <c r="E125" i="13"/>
  <c r="E118" i="13"/>
  <c r="D125" i="13"/>
  <c r="D118" i="13"/>
  <c r="D93" i="13"/>
  <c r="F86" i="13"/>
  <c r="E86" i="13"/>
  <c r="D86" i="13"/>
  <c r="C86" i="13"/>
  <c r="E85" i="13"/>
  <c r="C85" i="13"/>
  <c r="F80" i="13"/>
  <c r="E80" i="13"/>
  <c r="D80" i="13"/>
  <c r="C80" i="13"/>
  <c r="E79" i="13"/>
  <c r="C79" i="13"/>
  <c r="F72" i="13"/>
  <c r="E72" i="13"/>
  <c r="D72" i="13"/>
  <c r="C72" i="13"/>
  <c r="E71" i="13"/>
  <c r="C71" i="13"/>
  <c r="F65" i="13"/>
  <c r="E65" i="13"/>
  <c r="D65" i="13"/>
  <c r="C65" i="13"/>
  <c r="E64" i="13"/>
  <c r="C64" i="13"/>
  <c r="F58" i="13"/>
  <c r="E58" i="13"/>
  <c r="D58" i="13"/>
  <c r="C58" i="13"/>
  <c r="E57" i="13"/>
  <c r="C57" i="13"/>
  <c r="F39" i="13"/>
  <c r="E39" i="13"/>
  <c r="E38" i="13"/>
  <c r="F85" i="13" s="1"/>
  <c r="C38" i="13"/>
  <c r="D85" i="13" s="1"/>
  <c r="D39" i="13"/>
  <c r="A8" i="28"/>
  <c r="A9" i="28" s="1"/>
  <c r="A10" i="28" s="1"/>
  <c r="A11" i="28" s="1"/>
  <c r="A12" i="28" s="1"/>
  <c r="A13" i="28" s="1"/>
  <c r="A14" i="28" s="1"/>
  <c r="A15" i="28" s="1"/>
  <c r="A16" i="28" s="1"/>
  <c r="A17" i="28" s="1"/>
  <c r="A18" i="28" s="1"/>
  <c r="A19" i="28" s="1"/>
  <c r="A20" i="28" s="1"/>
  <c r="A21" i="28" s="1"/>
  <c r="D38" i="13" l="1"/>
  <c r="F38" i="13"/>
  <c r="D57" i="13"/>
  <c r="D64" i="13"/>
  <c r="D71" i="13"/>
  <c r="D79" i="13"/>
  <c r="F57" i="13"/>
  <c r="F64" i="13"/>
  <c r="F71" i="13"/>
  <c r="F79" i="13"/>
  <c r="AE3" i="27" l="1"/>
  <c r="AF3" i="27"/>
  <c r="AG3" i="27"/>
  <c r="AH3" i="27"/>
  <c r="AI3" i="27"/>
  <c r="AJ3" i="27"/>
  <c r="AK3" i="27"/>
  <c r="AL3" i="27"/>
  <c r="AM3" i="27"/>
  <c r="AP3" i="27"/>
  <c r="AV3" i="27"/>
  <c r="AW3" i="27"/>
  <c r="AX3" i="27"/>
  <c r="AX180" i="27" l="1"/>
  <c r="AW180" i="27"/>
  <c r="AV180" i="27"/>
  <c r="AP180" i="27"/>
  <c r="AM180" i="27"/>
  <c r="AL180" i="27"/>
  <c r="AK180" i="27"/>
  <c r="AJ180" i="27"/>
  <c r="AI180" i="27"/>
  <c r="AH180" i="27"/>
  <c r="AG180" i="27"/>
  <c r="AF180" i="27"/>
  <c r="AE180" i="27"/>
  <c r="AX179" i="27"/>
  <c r="AW179" i="27"/>
  <c r="AV179" i="27"/>
  <c r="AP179" i="27"/>
  <c r="AM179" i="27"/>
  <c r="AL179" i="27"/>
  <c r="AK179" i="27"/>
  <c r="AJ179" i="27"/>
  <c r="AI179" i="27"/>
  <c r="AH179" i="27"/>
  <c r="AG179" i="27"/>
  <c r="AF179" i="27"/>
  <c r="AE179" i="27"/>
  <c r="AX178" i="27"/>
  <c r="AW178" i="27"/>
  <c r="AV178" i="27"/>
  <c r="AP178" i="27"/>
  <c r="AM178" i="27"/>
  <c r="AL178" i="27"/>
  <c r="AK178" i="27"/>
  <c r="AJ178" i="27"/>
  <c r="AI178" i="27"/>
  <c r="AH178" i="27"/>
  <c r="AG178" i="27"/>
  <c r="AF178" i="27"/>
  <c r="AE178" i="27"/>
  <c r="AX177" i="27"/>
  <c r="AW177" i="27"/>
  <c r="AV177" i="27"/>
  <c r="AP177" i="27"/>
  <c r="AM177" i="27"/>
  <c r="AL177" i="27"/>
  <c r="AK177" i="27"/>
  <c r="AJ177" i="27"/>
  <c r="AI177" i="27"/>
  <c r="AH177" i="27"/>
  <c r="AG177" i="27"/>
  <c r="AF177" i="27"/>
  <c r="AE177" i="27"/>
  <c r="AX176" i="27"/>
  <c r="AW176" i="27"/>
  <c r="AV176" i="27"/>
  <c r="AP176" i="27"/>
  <c r="AM176" i="27"/>
  <c r="AL176" i="27"/>
  <c r="AK176" i="27"/>
  <c r="AJ176" i="27"/>
  <c r="AI176" i="27"/>
  <c r="AH176" i="27"/>
  <c r="AG176" i="27"/>
  <c r="AF176" i="27"/>
  <c r="AE176" i="27"/>
  <c r="AX175" i="27"/>
  <c r="AW175" i="27"/>
  <c r="AV175" i="27"/>
  <c r="AP175" i="27"/>
  <c r="AM175" i="27"/>
  <c r="AL175" i="27"/>
  <c r="AK175" i="27"/>
  <c r="AJ175" i="27"/>
  <c r="AI175" i="27"/>
  <c r="AH175" i="27"/>
  <c r="AG175" i="27"/>
  <c r="AF175" i="27"/>
  <c r="AE175" i="27"/>
  <c r="AX174" i="27"/>
  <c r="AW174" i="27"/>
  <c r="AV174" i="27"/>
  <c r="AP174" i="27"/>
  <c r="AM174" i="27"/>
  <c r="AL174" i="27"/>
  <c r="AK174" i="27"/>
  <c r="AJ174" i="27"/>
  <c r="AI174" i="27"/>
  <c r="AH174" i="27"/>
  <c r="AG174" i="27"/>
  <c r="AF174" i="27"/>
  <c r="AE174" i="27"/>
  <c r="AX173" i="27"/>
  <c r="AW173" i="27"/>
  <c r="AV173" i="27"/>
  <c r="AP173" i="27"/>
  <c r="AM173" i="27"/>
  <c r="AL173" i="27"/>
  <c r="AK173" i="27"/>
  <c r="AJ173" i="27"/>
  <c r="AI173" i="27"/>
  <c r="AH173" i="27"/>
  <c r="AG173" i="27"/>
  <c r="AF173" i="27"/>
  <c r="AE173" i="27"/>
  <c r="AX172" i="27"/>
  <c r="AW172" i="27"/>
  <c r="AV172" i="27"/>
  <c r="AP172" i="27"/>
  <c r="AM172" i="27"/>
  <c r="AL172" i="27"/>
  <c r="AK172" i="27"/>
  <c r="AJ172" i="27"/>
  <c r="AI172" i="27"/>
  <c r="AH172" i="27"/>
  <c r="AG172" i="27"/>
  <c r="AF172" i="27"/>
  <c r="AX171" i="27"/>
  <c r="AW171" i="27"/>
  <c r="AV171" i="27"/>
  <c r="AP171" i="27"/>
  <c r="AM171" i="27"/>
  <c r="AL171" i="27"/>
  <c r="AK171" i="27"/>
  <c r="AJ171" i="27"/>
  <c r="AI171" i="27"/>
  <c r="AH171" i="27"/>
  <c r="AG171" i="27"/>
  <c r="AF171" i="27"/>
  <c r="AE171" i="27"/>
  <c r="AX170" i="27"/>
  <c r="AW170" i="27"/>
  <c r="AV170" i="27"/>
  <c r="AP170" i="27"/>
  <c r="AM170" i="27"/>
  <c r="AL170" i="27"/>
  <c r="AK170" i="27"/>
  <c r="AJ170" i="27"/>
  <c r="AI170" i="27"/>
  <c r="AH170" i="27"/>
  <c r="AG170" i="27"/>
  <c r="AF170" i="27"/>
  <c r="AE170" i="27"/>
  <c r="AX169" i="27"/>
  <c r="AW169" i="27"/>
  <c r="AV169" i="27"/>
  <c r="AP169" i="27"/>
  <c r="AM169" i="27"/>
  <c r="AL169" i="27"/>
  <c r="AK169" i="27"/>
  <c r="AJ169" i="27"/>
  <c r="AI169" i="27"/>
  <c r="AH169" i="27"/>
  <c r="AG169" i="27"/>
  <c r="AF169" i="27"/>
  <c r="AX168" i="27"/>
  <c r="AW168" i="27"/>
  <c r="AV168" i="27"/>
  <c r="AP168" i="27"/>
  <c r="AM168" i="27"/>
  <c r="AL168" i="27"/>
  <c r="AK168" i="27"/>
  <c r="AJ168" i="27"/>
  <c r="AI168" i="27"/>
  <c r="AH168" i="27"/>
  <c r="AG168" i="27"/>
  <c r="AF168" i="27"/>
  <c r="AE168" i="27"/>
  <c r="AX167" i="27"/>
  <c r="AW167" i="27"/>
  <c r="AV167" i="27"/>
  <c r="AP167" i="27"/>
  <c r="AM167" i="27"/>
  <c r="AL167" i="27"/>
  <c r="AK167" i="27"/>
  <c r="AJ167" i="27"/>
  <c r="AI167" i="27"/>
  <c r="AH167" i="27"/>
  <c r="AG167" i="27"/>
  <c r="AF167" i="27"/>
  <c r="AX166" i="27"/>
  <c r="AW166" i="27"/>
  <c r="AV166" i="27"/>
  <c r="AP166" i="27"/>
  <c r="AM166" i="27"/>
  <c r="AL166" i="27"/>
  <c r="AK166" i="27"/>
  <c r="AJ166" i="27"/>
  <c r="AI166" i="27"/>
  <c r="AH166" i="27"/>
  <c r="AG166" i="27"/>
  <c r="AF166" i="27"/>
  <c r="AE166" i="27"/>
  <c r="AX165" i="27"/>
  <c r="AW165" i="27"/>
  <c r="AV165" i="27"/>
  <c r="AP165" i="27"/>
  <c r="AM165" i="27"/>
  <c r="AL165" i="27"/>
  <c r="AK165" i="27"/>
  <c r="AJ165" i="27"/>
  <c r="AI165" i="27"/>
  <c r="AH165" i="27"/>
  <c r="AG165" i="27"/>
  <c r="AF165" i="27"/>
  <c r="AE165" i="27"/>
  <c r="AX164" i="27"/>
  <c r="AW164" i="27"/>
  <c r="AV164" i="27"/>
  <c r="AP164" i="27"/>
  <c r="AM164" i="27"/>
  <c r="AL164" i="27"/>
  <c r="AK164" i="27"/>
  <c r="AJ164" i="27"/>
  <c r="AI164" i="27"/>
  <c r="AH164" i="27"/>
  <c r="AG164" i="27"/>
  <c r="AF164" i="27"/>
  <c r="AE164" i="27"/>
  <c r="AX163" i="27"/>
  <c r="AW163" i="27"/>
  <c r="AV163" i="27"/>
  <c r="AP163" i="27"/>
  <c r="AM163" i="27"/>
  <c r="AL163" i="27"/>
  <c r="AK163" i="27"/>
  <c r="AJ163" i="27"/>
  <c r="AI163" i="27"/>
  <c r="AH163" i="27"/>
  <c r="AG163" i="27"/>
  <c r="AF163" i="27"/>
  <c r="AE163" i="27"/>
  <c r="AX162" i="27"/>
  <c r="AW162" i="27"/>
  <c r="AV162" i="27"/>
  <c r="AP162" i="27"/>
  <c r="AM162" i="27"/>
  <c r="AL162" i="27"/>
  <c r="AK162" i="27"/>
  <c r="AJ162" i="27"/>
  <c r="AI162" i="27"/>
  <c r="AH162" i="27"/>
  <c r="AG162" i="27"/>
  <c r="AF162" i="27"/>
  <c r="AE162" i="27"/>
  <c r="AX161" i="27"/>
  <c r="AW161" i="27"/>
  <c r="AV161" i="27"/>
  <c r="AP161" i="27"/>
  <c r="AM161" i="27"/>
  <c r="AL161" i="27"/>
  <c r="AK161" i="27"/>
  <c r="AJ161" i="27"/>
  <c r="AI161" i="27"/>
  <c r="AH161" i="27"/>
  <c r="AG161" i="27"/>
  <c r="AF161" i="27"/>
  <c r="AE161" i="27"/>
  <c r="AX160" i="27"/>
  <c r="AW160" i="27"/>
  <c r="AV160" i="27"/>
  <c r="AP160" i="27"/>
  <c r="AM160" i="27"/>
  <c r="AL160" i="27"/>
  <c r="AK160" i="27"/>
  <c r="AJ160" i="27"/>
  <c r="AI160" i="27"/>
  <c r="AH160" i="27"/>
  <c r="AG160" i="27"/>
  <c r="AF160" i="27"/>
  <c r="AE160" i="27"/>
  <c r="AX159" i="27"/>
  <c r="AW159" i="27"/>
  <c r="AV159" i="27"/>
  <c r="AP159" i="27"/>
  <c r="AM159" i="27"/>
  <c r="AL159" i="27"/>
  <c r="AK159" i="27"/>
  <c r="AJ159" i="27"/>
  <c r="AI159" i="27"/>
  <c r="AH159" i="27"/>
  <c r="AG159" i="27"/>
  <c r="AF159" i="27"/>
  <c r="AE159" i="27"/>
  <c r="AX158" i="27"/>
  <c r="AW158" i="27"/>
  <c r="AV158" i="27"/>
  <c r="AP158" i="27"/>
  <c r="AM158" i="27"/>
  <c r="AL158" i="27"/>
  <c r="AK158" i="27"/>
  <c r="AJ158" i="27"/>
  <c r="AI158" i="27"/>
  <c r="AH158" i="27"/>
  <c r="AG158" i="27"/>
  <c r="AF158" i="27"/>
  <c r="AE158" i="27"/>
  <c r="AX157" i="27"/>
  <c r="AW157" i="27"/>
  <c r="AV157" i="27"/>
  <c r="AP157" i="27"/>
  <c r="AM157" i="27"/>
  <c r="AL157" i="27"/>
  <c r="AK157" i="27"/>
  <c r="AJ157" i="27"/>
  <c r="AI157" i="27"/>
  <c r="AH157" i="27"/>
  <c r="AG157" i="27"/>
  <c r="AF157" i="27"/>
  <c r="AE157" i="27"/>
  <c r="AX156" i="27"/>
  <c r="AW156" i="27"/>
  <c r="AV156" i="27"/>
  <c r="AP156" i="27"/>
  <c r="AM156" i="27"/>
  <c r="AL156" i="27"/>
  <c r="AK156" i="27"/>
  <c r="AJ156" i="27"/>
  <c r="AI156" i="27"/>
  <c r="AH156" i="27"/>
  <c r="AG156" i="27"/>
  <c r="AF156" i="27"/>
  <c r="AE156" i="27"/>
  <c r="AX155" i="27"/>
  <c r="AW155" i="27"/>
  <c r="AV155" i="27"/>
  <c r="AP155" i="27"/>
  <c r="AM155" i="27"/>
  <c r="AL155" i="27"/>
  <c r="AK155" i="27"/>
  <c r="AJ155" i="27"/>
  <c r="AI155" i="27"/>
  <c r="AH155" i="27"/>
  <c r="AG155" i="27"/>
  <c r="AF155" i="27"/>
  <c r="AE155" i="27"/>
  <c r="AX154" i="27"/>
  <c r="AW154" i="27"/>
  <c r="AV154" i="27"/>
  <c r="AP154" i="27"/>
  <c r="AM154" i="27"/>
  <c r="AL154" i="27"/>
  <c r="AK154" i="27"/>
  <c r="AJ154" i="27"/>
  <c r="AI154" i="27"/>
  <c r="AH154" i="27"/>
  <c r="AG154" i="27"/>
  <c r="AF154" i="27"/>
  <c r="AE154" i="27"/>
  <c r="AX153" i="27"/>
  <c r="AW153" i="27"/>
  <c r="AV153" i="27"/>
  <c r="AP153" i="27"/>
  <c r="AM153" i="27"/>
  <c r="AL153" i="27"/>
  <c r="AK153" i="27"/>
  <c r="AJ153" i="27"/>
  <c r="AI153" i="27"/>
  <c r="AH153" i="27"/>
  <c r="AG153" i="27"/>
  <c r="AF153" i="27"/>
  <c r="AE153" i="27"/>
  <c r="AX152" i="27"/>
  <c r="AW152" i="27"/>
  <c r="AV152" i="27"/>
  <c r="AP152" i="27"/>
  <c r="AM152" i="27"/>
  <c r="AL152" i="27"/>
  <c r="AK152" i="27"/>
  <c r="AJ152" i="27"/>
  <c r="AI152" i="27"/>
  <c r="AH152" i="27"/>
  <c r="AG152" i="27"/>
  <c r="AF152" i="27"/>
  <c r="AE152" i="27"/>
  <c r="AX151" i="27"/>
  <c r="AW151" i="27"/>
  <c r="AV151" i="27"/>
  <c r="AP151" i="27"/>
  <c r="AM151" i="27"/>
  <c r="AL151" i="27"/>
  <c r="AK151" i="27"/>
  <c r="AJ151" i="27"/>
  <c r="AI151" i="27"/>
  <c r="AH151" i="27"/>
  <c r="AG151" i="27"/>
  <c r="AF151" i="27"/>
  <c r="AX150" i="27"/>
  <c r="AW150" i="27"/>
  <c r="AV150" i="27"/>
  <c r="AP150" i="27"/>
  <c r="AM150" i="27"/>
  <c r="AL150" i="27"/>
  <c r="AK150" i="27"/>
  <c r="AJ150" i="27"/>
  <c r="AI150" i="27"/>
  <c r="AH150" i="27"/>
  <c r="AG150" i="27"/>
  <c r="AF150" i="27"/>
  <c r="AE150" i="27"/>
  <c r="AX149" i="27"/>
  <c r="AW149" i="27"/>
  <c r="AV149" i="27"/>
  <c r="AP149" i="27"/>
  <c r="AM149" i="27"/>
  <c r="AL149" i="27"/>
  <c r="AK149" i="27"/>
  <c r="AJ149" i="27"/>
  <c r="AI149" i="27"/>
  <c r="AH149" i="27"/>
  <c r="AG149" i="27"/>
  <c r="AF149" i="27"/>
  <c r="AE149" i="27"/>
  <c r="AX148" i="27"/>
  <c r="AW148" i="27"/>
  <c r="AV148" i="27"/>
  <c r="AP148" i="27"/>
  <c r="AM148" i="27"/>
  <c r="AL148" i="27"/>
  <c r="AK148" i="27"/>
  <c r="AJ148" i="27"/>
  <c r="AI148" i="27"/>
  <c r="AH148" i="27"/>
  <c r="AG148" i="27"/>
  <c r="AF148" i="27"/>
  <c r="AX147" i="27"/>
  <c r="AW147" i="27"/>
  <c r="AV147" i="27"/>
  <c r="AP147" i="27"/>
  <c r="AM147" i="27"/>
  <c r="AL147" i="27"/>
  <c r="AK147" i="27"/>
  <c r="AJ147" i="27"/>
  <c r="AI147" i="27"/>
  <c r="AH147" i="27"/>
  <c r="AG147" i="27"/>
  <c r="AF147" i="27"/>
  <c r="AX146" i="27"/>
  <c r="AW146" i="27"/>
  <c r="AV146" i="27"/>
  <c r="AP146" i="27"/>
  <c r="AM146" i="27"/>
  <c r="AL146" i="27"/>
  <c r="AK146" i="27"/>
  <c r="AJ146" i="27"/>
  <c r="AI146" i="27"/>
  <c r="AH146" i="27"/>
  <c r="AG146" i="27"/>
  <c r="AF146" i="27"/>
  <c r="AX145" i="27"/>
  <c r="AW145" i="27"/>
  <c r="AV145" i="27"/>
  <c r="AP145" i="27"/>
  <c r="AM145" i="27"/>
  <c r="AL145" i="27"/>
  <c r="AK145" i="27"/>
  <c r="AJ145" i="27"/>
  <c r="AI145" i="27"/>
  <c r="AH145" i="27"/>
  <c r="AG145" i="27"/>
  <c r="AF145" i="27"/>
  <c r="AE145" i="27"/>
  <c r="AX144" i="27"/>
  <c r="AW144" i="27"/>
  <c r="AV144" i="27"/>
  <c r="AP144" i="27"/>
  <c r="AM144" i="27"/>
  <c r="AL144" i="27"/>
  <c r="AK144" i="27"/>
  <c r="AJ144" i="27"/>
  <c r="AI144" i="27"/>
  <c r="AH144" i="27"/>
  <c r="AG144" i="27"/>
  <c r="AF144" i="27"/>
  <c r="AE144" i="27"/>
  <c r="AX143" i="27"/>
  <c r="AW143" i="27"/>
  <c r="AV143" i="27"/>
  <c r="AP143" i="27"/>
  <c r="AM143" i="27"/>
  <c r="AL143" i="27"/>
  <c r="AK143" i="27"/>
  <c r="AJ143" i="27"/>
  <c r="AI143" i="27"/>
  <c r="AH143" i="27"/>
  <c r="AG143" i="27"/>
  <c r="AF143" i="27"/>
  <c r="AE143" i="27"/>
  <c r="AX142" i="27"/>
  <c r="AW142" i="27"/>
  <c r="AV142" i="27"/>
  <c r="AP142" i="27"/>
  <c r="AM142" i="27"/>
  <c r="AL142" i="27"/>
  <c r="AK142" i="27"/>
  <c r="AJ142" i="27"/>
  <c r="AI142" i="27"/>
  <c r="AH142" i="27"/>
  <c r="AG142" i="27"/>
  <c r="AF142" i="27"/>
  <c r="AX141" i="27"/>
  <c r="AW141" i="27"/>
  <c r="AV141" i="27"/>
  <c r="AP141" i="27"/>
  <c r="AM141" i="27"/>
  <c r="AL141" i="27"/>
  <c r="AK141" i="27"/>
  <c r="AJ141" i="27"/>
  <c r="AI141" i="27"/>
  <c r="AH141" i="27"/>
  <c r="AG141" i="27"/>
  <c r="AF141" i="27"/>
  <c r="AX140" i="27"/>
  <c r="AW140" i="27"/>
  <c r="AV140" i="27"/>
  <c r="AP140" i="27"/>
  <c r="AM140" i="27"/>
  <c r="AL140" i="27"/>
  <c r="AK140" i="27"/>
  <c r="AJ140" i="27"/>
  <c r="AI140" i="27"/>
  <c r="AH140" i="27"/>
  <c r="AG140" i="27"/>
  <c r="AF140" i="27"/>
  <c r="AE140" i="27"/>
  <c r="AX139" i="27"/>
  <c r="AW139" i="27"/>
  <c r="AV139" i="27"/>
  <c r="AP139" i="27"/>
  <c r="AM139" i="27"/>
  <c r="AL139" i="27"/>
  <c r="AK139" i="27"/>
  <c r="AJ139" i="27"/>
  <c r="AI139" i="27"/>
  <c r="AH139" i="27"/>
  <c r="AG139" i="27"/>
  <c r="AF139" i="27"/>
  <c r="AE139" i="27"/>
  <c r="AX138" i="27"/>
  <c r="AW138" i="27"/>
  <c r="AV138" i="27"/>
  <c r="AP138" i="27"/>
  <c r="AM138" i="27"/>
  <c r="AL138" i="27"/>
  <c r="AK138" i="27"/>
  <c r="AJ138" i="27"/>
  <c r="AI138" i="27"/>
  <c r="AH138" i="27"/>
  <c r="AG138" i="27"/>
  <c r="AF138" i="27"/>
  <c r="AX137" i="27"/>
  <c r="AW137" i="27"/>
  <c r="AV137" i="27"/>
  <c r="AP137" i="27"/>
  <c r="AM137" i="27"/>
  <c r="AL137" i="27"/>
  <c r="AK137" i="27"/>
  <c r="AJ137" i="27"/>
  <c r="AI137" i="27"/>
  <c r="AH137" i="27"/>
  <c r="AG137" i="27"/>
  <c r="AF137" i="27"/>
  <c r="AE137" i="27"/>
  <c r="AX136" i="27"/>
  <c r="AW136" i="27"/>
  <c r="AV136" i="27"/>
  <c r="AP136" i="27"/>
  <c r="AM136" i="27"/>
  <c r="AL136" i="27"/>
  <c r="AK136" i="27"/>
  <c r="AJ136" i="27"/>
  <c r="AI136" i="27"/>
  <c r="AH136" i="27"/>
  <c r="AG136" i="27"/>
  <c r="AF136" i="27"/>
  <c r="AE136" i="27"/>
  <c r="AX135" i="27"/>
  <c r="AW135" i="27"/>
  <c r="AV135" i="27"/>
  <c r="AP135" i="27"/>
  <c r="AM135" i="27"/>
  <c r="AL135" i="27"/>
  <c r="AK135" i="27"/>
  <c r="AJ135" i="27"/>
  <c r="AI135" i="27"/>
  <c r="AH135" i="27"/>
  <c r="AG135" i="27"/>
  <c r="AF135" i="27"/>
  <c r="AE135" i="27"/>
  <c r="AX134" i="27"/>
  <c r="AW134" i="27"/>
  <c r="AV134" i="27"/>
  <c r="AP134" i="27"/>
  <c r="AM134" i="27"/>
  <c r="AL134" i="27"/>
  <c r="AK134" i="27"/>
  <c r="AJ134" i="27"/>
  <c r="AI134" i="27"/>
  <c r="AH134" i="27"/>
  <c r="AG134" i="27"/>
  <c r="AF134" i="27"/>
  <c r="AE134" i="27"/>
  <c r="AX133" i="27"/>
  <c r="AW133" i="27"/>
  <c r="AV133" i="27"/>
  <c r="AP133" i="27"/>
  <c r="AM133" i="27"/>
  <c r="AL133" i="27"/>
  <c r="AK133" i="27"/>
  <c r="AJ133" i="27"/>
  <c r="AI133" i="27"/>
  <c r="AH133" i="27"/>
  <c r="AG133" i="27"/>
  <c r="AF133" i="27"/>
  <c r="AE133" i="27"/>
  <c r="AX132" i="27"/>
  <c r="AW132" i="27"/>
  <c r="AV132" i="27"/>
  <c r="AP132" i="27"/>
  <c r="AM132" i="27"/>
  <c r="AL132" i="27"/>
  <c r="AK132" i="27"/>
  <c r="AJ132" i="27"/>
  <c r="AI132" i="27"/>
  <c r="AH132" i="27"/>
  <c r="AG132" i="27"/>
  <c r="AF132" i="27"/>
  <c r="AE132" i="27"/>
  <c r="AX131" i="27"/>
  <c r="AW131" i="27"/>
  <c r="AV131" i="27"/>
  <c r="AP131" i="27"/>
  <c r="AM131" i="27"/>
  <c r="AL131" i="27"/>
  <c r="AK131" i="27"/>
  <c r="AJ131" i="27"/>
  <c r="AI131" i="27"/>
  <c r="AH131" i="27"/>
  <c r="AG131" i="27"/>
  <c r="AF131" i="27"/>
  <c r="AE131" i="27"/>
  <c r="AX130" i="27"/>
  <c r="AW130" i="27"/>
  <c r="AV130" i="27"/>
  <c r="AP130" i="27"/>
  <c r="AM130" i="27"/>
  <c r="AL130" i="27"/>
  <c r="AK130" i="27"/>
  <c r="AJ130" i="27"/>
  <c r="AI130" i="27"/>
  <c r="AH130" i="27"/>
  <c r="AG130" i="27"/>
  <c r="AF130" i="27"/>
  <c r="AE130" i="27"/>
  <c r="AX129" i="27"/>
  <c r="AW129" i="27"/>
  <c r="AV129" i="27"/>
  <c r="AP129" i="27"/>
  <c r="AM129" i="27"/>
  <c r="AL129" i="27"/>
  <c r="AK129" i="27"/>
  <c r="AJ129" i="27"/>
  <c r="AI129" i="27"/>
  <c r="AH129" i="27"/>
  <c r="AG129" i="27"/>
  <c r="AF129" i="27"/>
  <c r="AX128" i="27"/>
  <c r="AW128" i="27"/>
  <c r="AV128" i="27"/>
  <c r="AP128" i="27"/>
  <c r="AM128" i="27"/>
  <c r="AL128" i="27"/>
  <c r="AK128" i="27"/>
  <c r="AJ128" i="27"/>
  <c r="AI128" i="27"/>
  <c r="AH128" i="27"/>
  <c r="AG128" i="27"/>
  <c r="AF128" i="27"/>
  <c r="AX127" i="27"/>
  <c r="AW127" i="27"/>
  <c r="AV127" i="27"/>
  <c r="AP127" i="27"/>
  <c r="AM127" i="27"/>
  <c r="AL127" i="27"/>
  <c r="AK127" i="27"/>
  <c r="AJ127" i="27"/>
  <c r="AI127" i="27"/>
  <c r="AH127" i="27"/>
  <c r="AG127" i="27"/>
  <c r="AF127" i="27"/>
  <c r="AE127" i="27"/>
  <c r="AX126" i="27"/>
  <c r="AW126" i="27"/>
  <c r="AV126" i="27"/>
  <c r="AP126" i="27"/>
  <c r="AM126" i="27"/>
  <c r="AL126" i="27"/>
  <c r="AK126" i="27"/>
  <c r="AJ126" i="27"/>
  <c r="AI126" i="27"/>
  <c r="AH126" i="27"/>
  <c r="AG126" i="27"/>
  <c r="AF126" i="27"/>
  <c r="AE126" i="27"/>
  <c r="AX125" i="27"/>
  <c r="AW125" i="27"/>
  <c r="AV125" i="27"/>
  <c r="AP125" i="27"/>
  <c r="AM125" i="27"/>
  <c r="AL125" i="27"/>
  <c r="AK125" i="27"/>
  <c r="AJ125" i="27"/>
  <c r="AI125" i="27"/>
  <c r="AH125" i="27"/>
  <c r="AG125" i="27"/>
  <c r="AF125" i="27"/>
  <c r="AX124" i="27"/>
  <c r="AW124" i="27"/>
  <c r="AV124" i="27"/>
  <c r="AP124" i="27"/>
  <c r="AM124" i="27"/>
  <c r="AL124" i="27"/>
  <c r="AK124" i="27"/>
  <c r="AJ124" i="27"/>
  <c r="AI124" i="27"/>
  <c r="AH124" i="27"/>
  <c r="AG124" i="27"/>
  <c r="AF124" i="27"/>
  <c r="AE124" i="27"/>
  <c r="AX123" i="27"/>
  <c r="AW123" i="27"/>
  <c r="AV123" i="27"/>
  <c r="AP123" i="27"/>
  <c r="AM123" i="27"/>
  <c r="AL123" i="27"/>
  <c r="AK123" i="27"/>
  <c r="AJ123" i="27"/>
  <c r="AI123" i="27"/>
  <c r="AH123" i="27"/>
  <c r="AG123" i="27"/>
  <c r="AF123" i="27"/>
  <c r="AE123" i="27"/>
  <c r="AX122" i="27"/>
  <c r="AW122" i="27"/>
  <c r="AV122" i="27"/>
  <c r="AP122" i="27"/>
  <c r="AM122" i="27"/>
  <c r="AL122" i="27"/>
  <c r="AK122" i="27"/>
  <c r="AJ122" i="27"/>
  <c r="AI122" i="27"/>
  <c r="AH122" i="27"/>
  <c r="AG122" i="27"/>
  <c r="AF122" i="27"/>
  <c r="AE122" i="27"/>
  <c r="AX121" i="27"/>
  <c r="AW121" i="27"/>
  <c r="AV121" i="27"/>
  <c r="AP121" i="27"/>
  <c r="AM121" i="27"/>
  <c r="AL121" i="27"/>
  <c r="AK121" i="27"/>
  <c r="AJ121" i="27"/>
  <c r="AI121" i="27"/>
  <c r="AH121" i="27"/>
  <c r="AG121" i="27"/>
  <c r="AF121" i="27"/>
  <c r="AE121" i="27"/>
  <c r="AX120" i="27"/>
  <c r="AW120" i="27"/>
  <c r="AV120" i="27"/>
  <c r="AP120" i="27"/>
  <c r="AM120" i="27"/>
  <c r="AL120" i="27"/>
  <c r="AK120" i="27"/>
  <c r="AJ120" i="27"/>
  <c r="AI120" i="27"/>
  <c r="AH120" i="27"/>
  <c r="AG120" i="27"/>
  <c r="AF120" i="27"/>
  <c r="AE120" i="27"/>
  <c r="AX119" i="27"/>
  <c r="AW119" i="27"/>
  <c r="AV119" i="27"/>
  <c r="AP119" i="27"/>
  <c r="AM119" i="27"/>
  <c r="AL119" i="27"/>
  <c r="AK119" i="27"/>
  <c r="AJ119" i="27"/>
  <c r="AI119" i="27"/>
  <c r="AH119" i="27"/>
  <c r="AG119" i="27"/>
  <c r="AF119" i="27"/>
  <c r="AX118" i="27"/>
  <c r="AW118" i="27"/>
  <c r="AV118" i="27"/>
  <c r="AP118" i="27"/>
  <c r="AM118" i="27"/>
  <c r="AL118" i="27"/>
  <c r="AK118" i="27"/>
  <c r="AJ118" i="27"/>
  <c r="AI118" i="27"/>
  <c r="AH118" i="27"/>
  <c r="AG118" i="27"/>
  <c r="AF118" i="27"/>
  <c r="AX117" i="27"/>
  <c r="AW117" i="27"/>
  <c r="AV117" i="27"/>
  <c r="AP117" i="27"/>
  <c r="AM117" i="27"/>
  <c r="AL117" i="27"/>
  <c r="AK117" i="27"/>
  <c r="AJ117" i="27"/>
  <c r="AI117" i="27"/>
  <c r="AH117" i="27"/>
  <c r="AG117" i="27"/>
  <c r="AF117" i="27"/>
  <c r="AX116" i="27"/>
  <c r="AW116" i="27"/>
  <c r="AV116" i="27"/>
  <c r="AP116" i="27"/>
  <c r="AM116" i="27"/>
  <c r="AL116" i="27"/>
  <c r="AK116" i="27"/>
  <c r="AJ116" i="27"/>
  <c r="AI116" i="27"/>
  <c r="AH116" i="27"/>
  <c r="AG116" i="27"/>
  <c r="AF116" i="27"/>
  <c r="AX115" i="27"/>
  <c r="AW115" i="27"/>
  <c r="AV115" i="27"/>
  <c r="AP115" i="27"/>
  <c r="AM115" i="27"/>
  <c r="AL115" i="27"/>
  <c r="AK115" i="27"/>
  <c r="AJ115" i="27"/>
  <c r="AI115" i="27"/>
  <c r="AH115" i="27"/>
  <c r="AG115" i="27"/>
  <c r="AF115" i="27"/>
  <c r="AX114" i="27"/>
  <c r="AW114" i="27"/>
  <c r="AV114" i="27"/>
  <c r="AP114" i="27"/>
  <c r="AM114" i="27"/>
  <c r="AL114" i="27"/>
  <c r="AK114" i="27"/>
  <c r="AJ114" i="27"/>
  <c r="AI114" i="27"/>
  <c r="AH114" i="27"/>
  <c r="AG114" i="27"/>
  <c r="AF114" i="27"/>
  <c r="AX113" i="27"/>
  <c r="AW113" i="27"/>
  <c r="AV113" i="27"/>
  <c r="AP113" i="27"/>
  <c r="AM113" i="27"/>
  <c r="AL113" i="27"/>
  <c r="AK113" i="27"/>
  <c r="AJ113" i="27"/>
  <c r="AI113" i="27"/>
  <c r="AH113" i="27"/>
  <c r="AG113" i="27"/>
  <c r="AF113" i="27"/>
  <c r="AX112" i="27"/>
  <c r="AW112" i="27"/>
  <c r="AV112" i="27"/>
  <c r="AP112" i="27"/>
  <c r="AM112" i="27"/>
  <c r="AL112" i="27"/>
  <c r="AK112" i="27"/>
  <c r="AJ112" i="27"/>
  <c r="AI112" i="27"/>
  <c r="AH112" i="27"/>
  <c r="AG112" i="27"/>
  <c r="AF112" i="27"/>
  <c r="AE112" i="27"/>
  <c r="AX111" i="27"/>
  <c r="AW111" i="27"/>
  <c r="AV111" i="27"/>
  <c r="AP111" i="27"/>
  <c r="AM111" i="27"/>
  <c r="AL111" i="27"/>
  <c r="AK111" i="27"/>
  <c r="AJ111" i="27"/>
  <c r="AI111" i="27"/>
  <c r="AH111" i="27"/>
  <c r="AG111" i="27"/>
  <c r="AF111" i="27"/>
  <c r="AE111" i="27"/>
  <c r="AX110" i="27"/>
  <c r="AW110" i="27"/>
  <c r="AV110" i="27"/>
  <c r="AP110" i="27"/>
  <c r="AM110" i="27"/>
  <c r="AL110" i="27"/>
  <c r="AK110" i="27"/>
  <c r="AJ110" i="27"/>
  <c r="AI110" i="27"/>
  <c r="AH110" i="27"/>
  <c r="AG110" i="27"/>
  <c r="AF110" i="27"/>
  <c r="AE110" i="27"/>
  <c r="AX109" i="27"/>
  <c r="AW109" i="27"/>
  <c r="AV109" i="27"/>
  <c r="AP109" i="27"/>
  <c r="AM109" i="27"/>
  <c r="AL109" i="27"/>
  <c r="AK109" i="27"/>
  <c r="AJ109" i="27"/>
  <c r="AI109" i="27"/>
  <c r="AH109" i="27"/>
  <c r="AG109" i="27"/>
  <c r="AF109" i="27"/>
  <c r="AE109" i="27"/>
  <c r="AX108" i="27"/>
  <c r="AW108" i="27"/>
  <c r="AV108" i="27"/>
  <c r="AP108" i="27"/>
  <c r="AM108" i="27"/>
  <c r="AL108" i="27"/>
  <c r="AK108" i="27"/>
  <c r="AJ108" i="27"/>
  <c r="AI108" i="27"/>
  <c r="AH108" i="27"/>
  <c r="AG108" i="27"/>
  <c r="AF108" i="27"/>
  <c r="AX107" i="27"/>
  <c r="AW107" i="27"/>
  <c r="AV107" i="27"/>
  <c r="AP107" i="27"/>
  <c r="AM107" i="27"/>
  <c r="AL107" i="27"/>
  <c r="AK107" i="27"/>
  <c r="AJ107" i="27"/>
  <c r="AI107" i="27"/>
  <c r="AH107" i="27"/>
  <c r="AG107" i="27"/>
  <c r="AF107" i="27"/>
  <c r="AE107" i="27"/>
  <c r="AX106" i="27"/>
  <c r="AW106" i="27"/>
  <c r="AV106" i="27"/>
  <c r="AP106" i="27"/>
  <c r="AM106" i="27"/>
  <c r="AL106" i="27"/>
  <c r="AK106" i="27"/>
  <c r="AJ106" i="27"/>
  <c r="AI106" i="27"/>
  <c r="AH106" i="27"/>
  <c r="AG106" i="27"/>
  <c r="AF106" i="27"/>
  <c r="AX105" i="27"/>
  <c r="AW105" i="27"/>
  <c r="AV105" i="27"/>
  <c r="AP105" i="27"/>
  <c r="AM105" i="27"/>
  <c r="AL105" i="27"/>
  <c r="AK105" i="27"/>
  <c r="AJ105" i="27"/>
  <c r="AI105" i="27"/>
  <c r="AH105" i="27"/>
  <c r="AG105" i="27"/>
  <c r="AF105" i="27"/>
  <c r="AE105" i="27"/>
  <c r="AX104" i="27"/>
  <c r="AW104" i="27"/>
  <c r="AV104" i="27"/>
  <c r="AP104" i="27"/>
  <c r="AM104" i="27"/>
  <c r="AL104" i="27"/>
  <c r="AK104" i="27"/>
  <c r="AJ104" i="27"/>
  <c r="AI104" i="27"/>
  <c r="AH104" i="27"/>
  <c r="AG104" i="27"/>
  <c r="AF104" i="27"/>
  <c r="AE104" i="27"/>
  <c r="AX103" i="27"/>
  <c r="AW103" i="27"/>
  <c r="AV103" i="27"/>
  <c r="AP103" i="27"/>
  <c r="AM103" i="27"/>
  <c r="AL103" i="27"/>
  <c r="AK103" i="27"/>
  <c r="AJ103" i="27"/>
  <c r="AI103" i="27"/>
  <c r="AH103" i="27"/>
  <c r="AG103" i="27"/>
  <c r="AF103" i="27"/>
  <c r="AE103" i="27"/>
  <c r="AX102" i="27"/>
  <c r="AW102" i="27"/>
  <c r="AV102" i="27"/>
  <c r="AP102" i="27"/>
  <c r="AM102" i="27"/>
  <c r="AL102" i="27"/>
  <c r="AK102" i="27"/>
  <c r="AJ102" i="27"/>
  <c r="AI102" i="27"/>
  <c r="AH102" i="27"/>
  <c r="AG102" i="27"/>
  <c r="AF102" i="27"/>
  <c r="AX101" i="27"/>
  <c r="AW101" i="27"/>
  <c r="AV101" i="27"/>
  <c r="AP101" i="27"/>
  <c r="AM101" i="27"/>
  <c r="AL101" i="27"/>
  <c r="AK101" i="27"/>
  <c r="AJ101" i="27"/>
  <c r="AI101" i="27"/>
  <c r="AH101" i="27"/>
  <c r="AG101" i="27"/>
  <c r="AF101" i="27"/>
  <c r="AX100" i="27"/>
  <c r="AW100" i="27"/>
  <c r="AV100" i="27"/>
  <c r="AP100" i="27"/>
  <c r="AM100" i="27"/>
  <c r="AL100" i="27"/>
  <c r="AK100" i="27"/>
  <c r="AJ100" i="27"/>
  <c r="AI100" i="27"/>
  <c r="AH100" i="27"/>
  <c r="AG100" i="27"/>
  <c r="AF100" i="27"/>
  <c r="AE100" i="27"/>
  <c r="AX99" i="27"/>
  <c r="AW99" i="27"/>
  <c r="AV99" i="27"/>
  <c r="AP99" i="27"/>
  <c r="AM99" i="27"/>
  <c r="AL99" i="27"/>
  <c r="AK99" i="27"/>
  <c r="AJ99" i="27"/>
  <c r="AI99" i="27"/>
  <c r="AH99" i="27"/>
  <c r="AG99" i="27"/>
  <c r="AF99" i="27"/>
  <c r="AE99" i="27"/>
  <c r="AX98" i="27"/>
  <c r="AW98" i="27"/>
  <c r="AV98" i="27"/>
  <c r="AP98" i="27"/>
  <c r="AM98" i="27"/>
  <c r="AL98" i="27"/>
  <c r="AK98" i="27"/>
  <c r="AJ98" i="27"/>
  <c r="AI98" i="27"/>
  <c r="AH98" i="27"/>
  <c r="AG98" i="27"/>
  <c r="AF98" i="27"/>
  <c r="AE98" i="27"/>
  <c r="AX97" i="27"/>
  <c r="AW97" i="27"/>
  <c r="AV97" i="27"/>
  <c r="AP97" i="27"/>
  <c r="AM97" i="27"/>
  <c r="AL97" i="27"/>
  <c r="AK97" i="27"/>
  <c r="AJ97" i="27"/>
  <c r="AI97" i="27"/>
  <c r="AH97" i="27"/>
  <c r="AG97" i="27"/>
  <c r="AF97" i="27"/>
  <c r="AE97" i="27"/>
  <c r="AX96" i="27"/>
  <c r="AW96" i="27"/>
  <c r="AV96" i="27"/>
  <c r="AP96" i="27"/>
  <c r="AM96" i="27"/>
  <c r="AL96" i="27"/>
  <c r="AK96" i="27"/>
  <c r="AJ96" i="27"/>
  <c r="AI96" i="27"/>
  <c r="AH96" i="27"/>
  <c r="AG96" i="27"/>
  <c r="AF96" i="27"/>
  <c r="AE96" i="27"/>
  <c r="AX95" i="27"/>
  <c r="AW95" i="27"/>
  <c r="AV95" i="27"/>
  <c r="AP95" i="27"/>
  <c r="AM95" i="27"/>
  <c r="AL95" i="27"/>
  <c r="AK95" i="27"/>
  <c r="AJ95" i="27"/>
  <c r="AI95" i="27"/>
  <c r="AH95" i="27"/>
  <c r="AG95" i="27"/>
  <c r="AF95" i="27"/>
  <c r="AE95" i="27"/>
  <c r="AX94" i="27"/>
  <c r="AW94" i="27"/>
  <c r="AV94" i="27"/>
  <c r="AP94" i="27"/>
  <c r="AM94" i="27"/>
  <c r="AL94" i="27"/>
  <c r="AK94" i="27"/>
  <c r="AJ94" i="27"/>
  <c r="AI94" i="27"/>
  <c r="AH94" i="27"/>
  <c r="AG94" i="27"/>
  <c r="AF94" i="27"/>
  <c r="AX93" i="27"/>
  <c r="AW93" i="27"/>
  <c r="AV93" i="27"/>
  <c r="AP93" i="27"/>
  <c r="AM93" i="27"/>
  <c r="AL93" i="27"/>
  <c r="AK93" i="27"/>
  <c r="AJ93" i="27"/>
  <c r="AI93" i="27"/>
  <c r="AH93" i="27"/>
  <c r="AG93" i="27"/>
  <c r="AF93" i="27"/>
  <c r="AX92" i="27"/>
  <c r="AW92" i="27"/>
  <c r="AV92" i="27"/>
  <c r="AP92" i="27"/>
  <c r="AM92" i="27"/>
  <c r="AL92" i="27"/>
  <c r="AK92" i="27"/>
  <c r="AJ92" i="27"/>
  <c r="AI92" i="27"/>
  <c r="AH92" i="27"/>
  <c r="AG92" i="27"/>
  <c r="AF92" i="27"/>
  <c r="AE92" i="27"/>
  <c r="AX91" i="27"/>
  <c r="AW91" i="27"/>
  <c r="AV91" i="27"/>
  <c r="AP91" i="27"/>
  <c r="AM91" i="27"/>
  <c r="AL91" i="27"/>
  <c r="AK91" i="27"/>
  <c r="AJ91" i="27"/>
  <c r="AI91" i="27"/>
  <c r="AH91" i="27"/>
  <c r="AG91" i="27"/>
  <c r="AF91" i="27"/>
  <c r="AX90" i="27"/>
  <c r="AW90" i="27"/>
  <c r="AV90" i="27"/>
  <c r="AP90" i="27"/>
  <c r="AM90" i="27"/>
  <c r="AL90" i="27"/>
  <c r="AK90" i="27"/>
  <c r="AJ90" i="27"/>
  <c r="AI90" i="27"/>
  <c r="AH90" i="27"/>
  <c r="AG90" i="27"/>
  <c r="AF90" i="27"/>
  <c r="AX89" i="27"/>
  <c r="AW89" i="27"/>
  <c r="AV89" i="27"/>
  <c r="AP89" i="27"/>
  <c r="AM89" i="27"/>
  <c r="AL89" i="27"/>
  <c r="AK89" i="27"/>
  <c r="AJ89" i="27"/>
  <c r="AI89" i="27"/>
  <c r="AH89" i="27"/>
  <c r="AG89" i="27"/>
  <c r="AF89" i="27"/>
  <c r="AX88" i="27"/>
  <c r="AW88" i="27"/>
  <c r="AV88" i="27"/>
  <c r="AP88" i="27"/>
  <c r="AM88" i="27"/>
  <c r="AL88" i="27"/>
  <c r="AK88" i="27"/>
  <c r="AJ88" i="27"/>
  <c r="AI88" i="27"/>
  <c r="AH88" i="27"/>
  <c r="AG88" i="27"/>
  <c r="AF88" i="27"/>
  <c r="AE88" i="27"/>
  <c r="AX87" i="27"/>
  <c r="AW87" i="27"/>
  <c r="AV87" i="27"/>
  <c r="AP87" i="27"/>
  <c r="AM87" i="27"/>
  <c r="AL87" i="27"/>
  <c r="AK87" i="27"/>
  <c r="AJ87" i="27"/>
  <c r="AI87" i="27"/>
  <c r="AH87" i="27"/>
  <c r="AG87" i="27"/>
  <c r="AF87" i="27"/>
  <c r="AE87" i="27"/>
  <c r="AX86" i="27"/>
  <c r="AW86" i="27"/>
  <c r="AV86" i="27"/>
  <c r="AP86" i="27"/>
  <c r="AM86" i="27"/>
  <c r="AL86" i="27"/>
  <c r="AK86" i="27"/>
  <c r="AJ86" i="27"/>
  <c r="AI86" i="27"/>
  <c r="AH86" i="27"/>
  <c r="AG86" i="27"/>
  <c r="AF86" i="27"/>
  <c r="AE86" i="27"/>
  <c r="AX85" i="27"/>
  <c r="AW85" i="27"/>
  <c r="AV85" i="27"/>
  <c r="AP85" i="27"/>
  <c r="AM85" i="27"/>
  <c r="AL85" i="27"/>
  <c r="AK85" i="27"/>
  <c r="AJ85" i="27"/>
  <c r="AI85" i="27"/>
  <c r="AH85" i="27"/>
  <c r="AG85" i="27"/>
  <c r="AF85" i="27"/>
  <c r="AE85" i="27"/>
  <c r="AX84" i="27"/>
  <c r="AW84" i="27"/>
  <c r="AV84" i="27"/>
  <c r="AP84" i="27"/>
  <c r="AM84" i="27"/>
  <c r="AL84" i="27"/>
  <c r="AK84" i="27"/>
  <c r="AJ84" i="27"/>
  <c r="AI84" i="27"/>
  <c r="AH84" i="27"/>
  <c r="AG84" i="27"/>
  <c r="AF84" i="27"/>
  <c r="AE84" i="27"/>
  <c r="AX83" i="27"/>
  <c r="AW83" i="27"/>
  <c r="AV83" i="27"/>
  <c r="AP83" i="27"/>
  <c r="AM83" i="27"/>
  <c r="AL83" i="27"/>
  <c r="AK83" i="27"/>
  <c r="AJ83" i="27"/>
  <c r="AI83" i="27"/>
  <c r="AH83" i="27"/>
  <c r="AG83" i="27"/>
  <c r="AF83" i="27"/>
  <c r="AX82" i="27"/>
  <c r="AW82" i="27"/>
  <c r="AV82" i="27"/>
  <c r="AP82" i="27"/>
  <c r="AM82" i="27"/>
  <c r="AL82" i="27"/>
  <c r="AK82" i="27"/>
  <c r="AJ82" i="27"/>
  <c r="AI82" i="27"/>
  <c r="AH82" i="27"/>
  <c r="AG82" i="27"/>
  <c r="AF82" i="27"/>
  <c r="AE82" i="27"/>
  <c r="AX81" i="27"/>
  <c r="AW81" i="27"/>
  <c r="AV81" i="27"/>
  <c r="AP81" i="27"/>
  <c r="AM81" i="27"/>
  <c r="AL81" i="27"/>
  <c r="AK81" i="27"/>
  <c r="AJ81" i="27"/>
  <c r="AI81" i="27"/>
  <c r="AH81" i="27"/>
  <c r="AG81" i="27"/>
  <c r="AF81" i="27"/>
  <c r="AE81" i="27"/>
  <c r="AX80" i="27"/>
  <c r="AW80" i="27"/>
  <c r="AV80" i="27"/>
  <c r="AP80" i="27"/>
  <c r="AM80" i="27"/>
  <c r="AL80" i="27"/>
  <c r="AK80" i="27"/>
  <c r="AJ80" i="27"/>
  <c r="AI80" i="27"/>
  <c r="AH80" i="27"/>
  <c r="AG80" i="27"/>
  <c r="AF80" i="27"/>
  <c r="AX79" i="27"/>
  <c r="AW79" i="27"/>
  <c r="AV79" i="27"/>
  <c r="AP79" i="27"/>
  <c r="AM79" i="27"/>
  <c r="AL79" i="27"/>
  <c r="AK79" i="27"/>
  <c r="AJ79" i="27"/>
  <c r="AI79" i="27"/>
  <c r="AH79" i="27"/>
  <c r="AG79" i="27"/>
  <c r="AF79" i="27"/>
  <c r="AX78" i="27"/>
  <c r="AW78" i="27"/>
  <c r="AV78" i="27"/>
  <c r="AP78" i="27"/>
  <c r="AM78" i="27"/>
  <c r="AL78" i="27"/>
  <c r="AK78" i="27"/>
  <c r="AJ78" i="27"/>
  <c r="AI78" i="27"/>
  <c r="AH78" i="27"/>
  <c r="AG78" i="27"/>
  <c r="AF78" i="27"/>
  <c r="AE78" i="27"/>
  <c r="AX77" i="27"/>
  <c r="AW77" i="27"/>
  <c r="AV77" i="27"/>
  <c r="AP77" i="27"/>
  <c r="AM77" i="27"/>
  <c r="AL77" i="27"/>
  <c r="AK77" i="27"/>
  <c r="AJ77" i="27"/>
  <c r="AI77" i="27"/>
  <c r="AH77" i="27"/>
  <c r="AG77" i="27"/>
  <c r="AF77" i="27"/>
  <c r="AE77" i="27"/>
  <c r="AX76" i="27"/>
  <c r="AW76" i="27"/>
  <c r="AV76" i="27"/>
  <c r="AP76" i="27"/>
  <c r="AM76" i="27"/>
  <c r="AL76" i="27"/>
  <c r="AK76" i="27"/>
  <c r="AJ76" i="27"/>
  <c r="AI76" i="27"/>
  <c r="AH76" i="27"/>
  <c r="AG76" i="27"/>
  <c r="AF76" i="27"/>
  <c r="AE76" i="27"/>
  <c r="AX75" i="27"/>
  <c r="AW75" i="27"/>
  <c r="AV75" i="27"/>
  <c r="AP75" i="27"/>
  <c r="AM75" i="27"/>
  <c r="AL75" i="27"/>
  <c r="AK75" i="27"/>
  <c r="AJ75" i="27"/>
  <c r="AI75" i="27"/>
  <c r="AH75" i="27"/>
  <c r="AG75" i="27"/>
  <c r="AF75" i="27"/>
  <c r="AE75" i="27"/>
  <c r="AX74" i="27"/>
  <c r="AW74" i="27"/>
  <c r="AV74" i="27"/>
  <c r="AP74" i="27"/>
  <c r="AM74" i="27"/>
  <c r="AL74" i="27"/>
  <c r="AK74" i="27"/>
  <c r="AJ74" i="27"/>
  <c r="AI74" i="27"/>
  <c r="AH74" i="27"/>
  <c r="AG74" i="27"/>
  <c r="AF74" i="27"/>
  <c r="AX73" i="27"/>
  <c r="AW73" i="27"/>
  <c r="AV73" i="27"/>
  <c r="AP73" i="27"/>
  <c r="AM73" i="27"/>
  <c r="AL73" i="27"/>
  <c r="AK73" i="27"/>
  <c r="AJ73" i="27"/>
  <c r="AI73" i="27"/>
  <c r="AH73" i="27"/>
  <c r="AG73" i="27"/>
  <c r="AF73" i="27"/>
  <c r="AX72" i="27"/>
  <c r="AW72" i="27"/>
  <c r="AV72" i="27"/>
  <c r="AP72" i="27"/>
  <c r="AM72" i="27"/>
  <c r="AL72" i="27"/>
  <c r="AK72" i="27"/>
  <c r="AJ72" i="27"/>
  <c r="AI72" i="27"/>
  <c r="AH72" i="27"/>
  <c r="AG72" i="27"/>
  <c r="AF72" i="27"/>
  <c r="AX71" i="27"/>
  <c r="AW71" i="27"/>
  <c r="AV71" i="27"/>
  <c r="AP71" i="27"/>
  <c r="AM71" i="27"/>
  <c r="AL71" i="27"/>
  <c r="AK71" i="27"/>
  <c r="AJ71" i="27"/>
  <c r="AI71" i="27"/>
  <c r="AH71" i="27"/>
  <c r="AG71" i="27"/>
  <c r="AF71" i="27"/>
  <c r="AX70" i="27"/>
  <c r="AW70" i="27"/>
  <c r="AV70" i="27"/>
  <c r="AP70" i="27"/>
  <c r="AM70" i="27"/>
  <c r="AL70" i="27"/>
  <c r="AK70" i="27"/>
  <c r="AJ70" i="27"/>
  <c r="AI70" i="27"/>
  <c r="AH70" i="27"/>
  <c r="AG70" i="27"/>
  <c r="AF70" i="27"/>
  <c r="AX69" i="27"/>
  <c r="AW69" i="27"/>
  <c r="AV69" i="27"/>
  <c r="AP69" i="27"/>
  <c r="AM69" i="27"/>
  <c r="AL69" i="27"/>
  <c r="AK69" i="27"/>
  <c r="AJ69" i="27"/>
  <c r="AI69" i="27"/>
  <c r="AH69" i="27"/>
  <c r="AG69" i="27"/>
  <c r="AF69" i="27"/>
  <c r="AX68" i="27"/>
  <c r="AW68" i="27"/>
  <c r="AV68" i="27"/>
  <c r="AP68" i="27"/>
  <c r="AM68" i="27"/>
  <c r="AL68" i="27"/>
  <c r="AK68" i="27"/>
  <c r="AJ68" i="27"/>
  <c r="AI68" i="27"/>
  <c r="AH68" i="27"/>
  <c r="AG68" i="27"/>
  <c r="AF68" i="27"/>
  <c r="AE68" i="27"/>
  <c r="AX67" i="27"/>
  <c r="AW67" i="27"/>
  <c r="AV67" i="27"/>
  <c r="AP67" i="27"/>
  <c r="AM67" i="27"/>
  <c r="AL67" i="27"/>
  <c r="AK67" i="27"/>
  <c r="AJ67" i="27"/>
  <c r="AI67" i="27"/>
  <c r="AH67" i="27"/>
  <c r="AG67" i="27"/>
  <c r="AF67" i="27"/>
  <c r="AE67" i="27"/>
  <c r="AX66" i="27"/>
  <c r="AW66" i="27"/>
  <c r="AV66" i="27"/>
  <c r="AP66" i="27"/>
  <c r="AM66" i="27"/>
  <c r="AL66" i="27"/>
  <c r="AK66" i="27"/>
  <c r="AJ66" i="27"/>
  <c r="AI66" i="27"/>
  <c r="AH66" i="27"/>
  <c r="AG66" i="27"/>
  <c r="AF66" i="27"/>
  <c r="AE66" i="27"/>
  <c r="AX65" i="27"/>
  <c r="AW65" i="27"/>
  <c r="AV65" i="27"/>
  <c r="AP65" i="27"/>
  <c r="AM65" i="27"/>
  <c r="AL65" i="27"/>
  <c r="AK65" i="27"/>
  <c r="AJ65" i="27"/>
  <c r="AI65" i="27"/>
  <c r="AH65" i="27"/>
  <c r="AG65" i="27"/>
  <c r="AF65" i="27"/>
  <c r="AX64" i="27"/>
  <c r="AW64" i="27"/>
  <c r="AV64" i="27"/>
  <c r="AP64" i="27"/>
  <c r="AM64" i="27"/>
  <c r="AL64" i="27"/>
  <c r="AK64" i="27"/>
  <c r="AJ64" i="27"/>
  <c r="AI64" i="27"/>
  <c r="AH64" i="27"/>
  <c r="AG64" i="27"/>
  <c r="AF64" i="27"/>
  <c r="AX63" i="27"/>
  <c r="AW63" i="27"/>
  <c r="AV63" i="27"/>
  <c r="AP63" i="27"/>
  <c r="AM63" i="27"/>
  <c r="AL63" i="27"/>
  <c r="AK63" i="27"/>
  <c r="AJ63" i="27"/>
  <c r="AI63" i="27"/>
  <c r="AH63" i="27"/>
  <c r="AG63" i="27"/>
  <c r="AF63" i="27"/>
  <c r="AE63" i="27"/>
  <c r="AX62" i="27"/>
  <c r="AW62" i="27"/>
  <c r="AV62" i="27"/>
  <c r="AP62" i="27"/>
  <c r="AM62" i="27"/>
  <c r="AL62" i="27"/>
  <c r="AK62" i="27"/>
  <c r="AJ62" i="27"/>
  <c r="AI62" i="27"/>
  <c r="AH62" i="27"/>
  <c r="AG62" i="27"/>
  <c r="AF62" i="27"/>
  <c r="AE62" i="27"/>
  <c r="AX61" i="27"/>
  <c r="AW61" i="27"/>
  <c r="AV61" i="27"/>
  <c r="AP61" i="27"/>
  <c r="AM61" i="27"/>
  <c r="AL61" i="27"/>
  <c r="AK61" i="27"/>
  <c r="AJ61" i="27"/>
  <c r="AI61" i="27"/>
  <c r="AH61" i="27"/>
  <c r="AG61" i="27"/>
  <c r="AF61" i="27"/>
  <c r="AE61" i="27"/>
  <c r="AX60" i="27"/>
  <c r="AW60" i="27"/>
  <c r="AV60" i="27"/>
  <c r="AP60" i="27"/>
  <c r="AM60" i="27"/>
  <c r="AL60" i="27"/>
  <c r="AK60" i="27"/>
  <c r="AJ60" i="27"/>
  <c r="AI60" i="27"/>
  <c r="AH60" i="27"/>
  <c r="AG60" i="27"/>
  <c r="AF60" i="27"/>
  <c r="AE60" i="27"/>
  <c r="AX59" i="27"/>
  <c r="AW59" i="27"/>
  <c r="AV59" i="27"/>
  <c r="AP59" i="27"/>
  <c r="AM59" i="27"/>
  <c r="AL59" i="27"/>
  <c r="AK59" i="27"/>
  <c r="AJ59" i="27"/>
  <c r="AI59" i="27"/>
  <c r="AH59" i="27"/>
  <c r="AG59" i="27"/>
  <c r="AF59" i="27"/>
  <c r="AE59" i="27"/>
  <c r="AX58" i="27"/>
  <c r="AW58" i="27"/>
  <c r="AV58" i="27"/>
  <c r="AP58" i="27"/>
  <c r="AM58" i="27"/>
  <c r="AL58" i="27"/>
  <c r="AK58" i="27"/>
  <c r="AJ58" i="27"/>
  <c r="AI58" i="27"/>
  <c r="AH58" i="27"/>
  <c r="AG58" i="27"/>
  <c r="AF58" i="27"/>
  <c r="AE58" i="27"/>
  <c r="AX57" i="27"/>
  <c r="AW57" i="27"/>
  <c r="AV57" i="27"/>
  <c r="AP57" i="27"/>
  <c r="AM57" i="27"/>
  <c r="AL57" i="27"/>
  <c r="AK57" i="27"/>
  <c r="AJ57" i="27"/>
  <c r="AI57" i="27"/>
  <c r="AH57" i="27"/>
  <c r="AG57" i="27"/>
  <c r="AF57" i="27"/>
  <c r="AE57" i="27"/>
  <c r="AX56" i="27"/>
  <c r="AW56" i="27"/>
  <c r="AV56" i="27"/>
  <c r="AP56" i="27"/>
  <c r="AM56" i="27"/>
  <c r="AL56" i="27"/>
  <c r="AK56" i="27"/>
  <c r="AJ56" i="27"/>
  <c r="AI56" i="27"/>
  <c r="AH56" i="27"/>
  <c r="AG56" i="27"/>
  <c r="AF56" i="27"/>
  <c r="AE56" i="27"/>
  <c r="AX55" i="27"/>
  <c r="AW55" i="27"/>
  <c r="AV55" i="27"/>
  <c r="AP55" i="27"/>
  <c r="AM55" i="27"/>
  <c r="AL55" i="27"/>
  <c r="AK55" i="27"/>
  <c r="AJ55" i="27"/>
  <c r="AI55" i="27"/>
  <c r="AH55" i="27"/>
  <c r="AG55" i="27"/>
  <c r="AF55" i="27"/>
  <c r="AE55" i="27"/>
  <c r="AX54" i="27"/>
  <c r="AW54" i="27"/>
  <c r="AV54" i="27"/>
  <c r="AP54" i="27"/>
  <c r="AM54" i="27"/>
  <c r="AL54" i="27"/>
  <c r="AK54" i="27"/>
  <c r="AJ54" i="27"/>
  <c r="AI54" i="27"/>
  <c r="AH54" i="27"/>
  <c r="AG54" i="27"/>
  <c r="AF54" i="27"/>
  <c r="AE54" i="27"/>
  <c r="AX53" i="27"/>
  <c r="AW53" i="27"/>
  <c r="AV53" i="27"/>
  <c r="AP53" i="27"/>
  <c r="AM53" i="27"/>
  <c r="AL53" i="27"/>
  <c r="AK53" i="27"/>
  <c r="AJ53" i="27"/>
  <c r="AI53" i="27"/>
  <c r="AH53" i="27"/>
  <c r="AG53" i="27"/>
  <c r="AF53" i="27"/>
  <c r="AX52" i="27"/>
  <c r="AW52" i="27"/>
  <c r="AV52" i="27"/>
  <c r="AP52" i="27"/>
  <c r="AM52" i="27"/>
  <c r="AL52" i="27"/>
  <c r="AK52" i="27"/>
  <c r="AJ52" i="27"/>
  <c r="AI52" i="27"/>
  <c r="AH52" i="27"/>
  <c r="AG52" i="27"/>
  <c r="AF52" i="27"/>
  <c r="AE52" i="27"/>
  <c r="AX51" i="27"/>
  <c r="AW51" i="27"/>
  <c r="AV51" i="27"/>
  <c r="AP51" i="27"/>
  <c r="AM51" i="27"/>
  <c r="AL51" i="27"/>
  <c r="AK51" i="27"/>
  <c r="AJ51" i="27"/>
  <c r="AI51" i="27"/>
  <c r="AH51" i="27"/>
  <c r="AG51" i="27"/>
  <c r="AF51" i="27"/>
  <c r="AE51" i="27"/>
  <c r="AX50" i="27"/>
  <c r="AW50" i="27"/>
  <c r="AV50" i="27"/>
  <c r="AP50" i="27"/>
  <c r="AM50" i="27"/>
  <c r="AL50" i="27"/>
  <c r="AK50" i="27"/>
  <c r="AJ50" i="27"/>
  <c r="AI50" i="27"/>
  <c r="AH50" i="27"/>
  <c r="AG50" i="27"/>
  <c r="AF50" i="27"/>
  <c r="AE50" i="27"/>
  <c r="AX49" i="27"/>
  <c r="AW49" i="27"/>
  <c r="AV49" i="27"/>
  <c r="AP49" i="27"/>
  <c r="AM49" i="27"/>
  <c r="AL49" i="27"/>
  <c r="AK49" i="27"/>
  <c r="AJ49" i="27"/>
  <c r="AI49" i="27"/>
  <c r="AH49" i="27"/>
  <c r="AG49" i="27"/>
  <c r="AF49" i="27"/>
  <c r="AX48" i="27"/>
  <c r="AW48" i="27"/>
  <c r="AV48" i="27"/>
  <c r="AP48" i="27"/>
  <c r="AM48" i="27"/>
  <c r="AL48" i="27"/>
  <c r="AK48" i="27"/>
  <c r="AJ48" i="27"/>
  <c r="AI48" i="27"/>
  <c r="AH48" i="27"/>
  <c r="AG48" i="27"/>
  <c r="AF48" i="27"/>
  <c r="AX47" i="27"/>
  <c r="AW47" i="27"/>
  <c r="AV47" i="27"/>
  <c r="AP47" i="27"/>
  <c r="AM47" i="27"/>
  <c r="AL47" i="27"/>
  <c r="AK47" i="27"/>
  <c r="AJ47" i="27"/>
  <c r="AI47" i="27"/>
  <c r="AH47" i="27"/>
  <c r="AG47" i="27"/>
  <c r="AF47" i="27"/>
  <c r="AE47" i="27"/>
  <c r="AX46" i="27"/>
  <c r="AW46" i="27"/>
  <c r="AV46" i="27"/>
  <c r="AP46" i="27"/>
  <c r="AM46" i="27"/>
  <c r="AL46" i="27"/>
  <c r="AK46" i="27"/>
  <c r="AJ46" i="27"/>
  <c r="AI46" i="27"/>
  <c r="AH46" i="27"/>
  <c r="AG46" i="27"/>
  <c r="AF46" i="27"/>
  <c r="AX45" i="27"/>
  <c r="AW45" i="27"/>
  <c r="AV45" i="27"/>
  <c r="AP45" i="27"/>
  <c r="AM45" i="27"/>
  <c r="AL45" i="27"/>
  <c r="AK45" i="27"/>
  <c r="AJ45" i="27"/>
  <c r="AI45" i="27"/>
  <c r="AH45" i="27"/>
  <c r="AG45" i="27"/>
  <c r="AF45" i="27"/>
  <c r="AX44" i="27"/>
  <c r="AW44" i="27"/>
  <c r="AV44" i="27"/>
  <c r="AP44" i="27"/>
  <c r="AM44" i="27"/>
  <c r="AL44" i="27"/>
  <c r="AK44" i="27"/>
  <c r="AJ44" i="27"/>
  <c r="AI44" i="27"/>
  <c r="AH44" i="27"/>
  <c r="AG44" i="27"/>
  <c r="AF44" i="27"/>
  <c r="AX43" i="27"/>
  <c r="AW43" i="27"/>
  <c r="AV43" i="27"/>
  <c r="AP43" i="27"/>
  <c r="AM43" i="27"/>
  <c r="AL43" i="27"/>
  <c r="AK43" i="27"/>
  <c r="AJ43" i="27"/>
  <c r="AI43" i="27"/>
  <c r="AH43" i="27"/>
  <c r="AG43" i="27"/>
  <c r="AF43" i="27"/>
  <c r="AX42" i="27"/>
  <c r="AW42" i="27"/>
  <c r="AV42" i="27"/>
  <c r="AP42" i="27"/>
  <c r="AM42" i="27"/>
  <c r="AL42" i="27"/>
  <c r="AK42" i="27"/>
  <c r="AJ42" i="27"/>
  <c r="AI42" i="27"/>
  <c r="AH42" i="27"/>
  <c r="AG42" i="27"/>
  <c r="AF42" i="27"/>
  <c r="AE42" i="27"/>
  <c r="AX41" i="27"/>
  <c r="AW41" i="27"/>
  <c r="AV41" i="27"/>
  <c r="AP41" i="27"/>
  <c r="AM41" i="27"/>
  <c r="AL41" i="27"/>
  <c r="AK41" i="27"/>
  <c r="AJ41" i="27"/>
  <c r="AI41" i="27"/>
  <c r="AH41" i="27"/>
  <c r="AG41" i="27"/>
  <c r="AF41" i="27"/>
  <c r="AE41" i="27"/>
  <c r="AX40" i="27"/>
  <c r="AW40" i="27"/>
  <c r="AV40" i="27"/>
  <c r="AP40" i="27"/>
  <c r="AM40" i="27"/>
  <c r="AL40" i="27"/>
  <c r="AK40" i="27"/>
  <c r="AJ40" i="27"/>
  <c r="AI40" i="27"/>
  <c r="AH40" i="27"/>
  <c r="AG40" i="27"/>
  <c r="AF40" i="27"/>
  <c r="AE40" i="27"/>
  <c r="AX39" i="27"/>
  <c r="AW39" i="27"/>
  <c r="AV39" i="27"/>
  <c r="AP39" i="27"/>
  <c r="AM39" i="27"/>
  <c r="AL39" i="27"/>
  <c r="AK39" i="27"/>
  <c r="AJ39" i="27"/>
  <c r="AI39" i="27"/>
  <c r="AH39" i="27"/>
  <c r="AG39" i="27"/>
  <c r="AF39" i="27"/>
  <c r="AE39" i="27"/>
  <c r="AX38" i="27"/>
  <c r="AW38" i="27"/>
  <c r="AV38" i="27"/>
  <c r="AP38" i="27"/>
  <c r="AM38" i="27"/>
  <c r="AL38" i="27"/>
  <c r="AK38" i="27"/>
  <c r="AJ38" i="27"/>
  <c r="AI38" i="27"/>
  <c r="AH38" i="27"/>
  <c r="AG38" i="27"/>
  <c r="AF38" i="27"/>
  <c r="AE38" i="27"/>
  <c r="AX37" i="27"/>
  <c r="AW37" i="27"/>
  <c r="AV37" i="27"/>
  <c r="AP37" i="27"/>
  <c r="AM37" i="27"/>
  <c r="AL37" i="27"/>
  <c r="AK37" i="27"/>
  <c r="AJ37" i="27"/>
  <c r="AI37" i="27"/>
  <c r="AH37" i="27"/>
  <c r="AG37" i="27"/>
  <c r="AF37" i="27"/>
  <c r="AE37" i="27"/>
  <c r="AX36" i="27"/>
  <c r="AW36" i="27"/>
  <c r="AV36" i="27"/>
  <c r="AP36" i="27"/>
  <c r="AM36" i="27"/>
  <c r="AL36" i="27"/>
  <c r="AK36" i="27"/>
  <c r="AJ36" i="27"/>
  <c r="AI36" i="27"/>
  <c r="AH36" i="27"/>
  <c r="AG36" i="27"/>
  <c r="AF36" i="27"/>
  <c r="AE36" i="27"/>
  <c r="AX35" i="27"/>
  <c r="AW35" i="27"/>
  <c r="AV35" i="27"/>
  <c r="AP35" i="27"/>
  <c r="AM35" i="27"/>
  <c r="AL35" i="27"/>
  <c r="AK35" i="27"/>
  <c r="AJ35" i="27"/>
  <c r="AI35" i="27"/>
  <c r="AH35" i="27"/>
  <c r="AG35" i="27"/>
  <c r="AF35" i="27"/>
  <c r="AE35" i="27"/>
  <c r="AX34" i="27"/>
  <c r="AW34" i="27"/>
  <c r="AV34" i="27"/>
  <c r="AP34" i="27"/>
  <c r="AM34" i="27"/>
  <c r="AL34" i="27"/>
  <c r="AK34" i="27"/>
  <c r="AJ34" i="27"/>
  <c r="AI34" i="27"/>
  <c r="AH34" i="27"/>
  <c r="AG34" i="27"/>
  <c r="AF34" i="27"/>
  <c r="AE34" i="27"/>
  <c r="AX33" i="27"/>
  <c r="AW33" i="27"/>
  <c r="AV33" i="27"/>
  <c r="AP33" i="27"/>
  <c r="AM33" i="27"/>
  <c r="AL33" i="27"/>
  <c r="AK33" i="27"/>
  <c r="AJ33" i="27"/>
  <c r="AI33" i="27"/>
  <c r="AH33" i="27"/>
  <c r="AG33" i="27"/>
  <c r="AF33" i="27"/>
  <c r="AE33" i="27"/>
  <c r="AX32" i="27"/>
  <c r="AW32" i="27"/>
  <c r="AV32" i="27"/>
  <c r="AP32" i="27"/>
  <c r="AM32" i="27"/>
  <c r="AL32" i="27"/>
  <c r="AK32" i="27"/>
  <c r="AJ32" i="27"/>
  <c r="AI32" i="27"/>
  <c r="AH32" i="27"/>
  <c r="AG32" i="27"/>
  <c r="AF32" i="27"/>
  <c r="AE32" i="27"/>
  <c r="AX31" i="27"/>
  <c r="AW31" i="27"/>
  <c r="AV31" i="27"/>
  <c r="AP31" i="27"/>
  <c r="AM31" i="27"/>
  <c r="AL31" i="27"/>
  <c r="AK31" i="27"/>
  <c r="AJ31" i="27"/>
  <c r="AI31" i="27"/>
  <c r="AH31" i="27"/>
  <c r="AG31" i="27"/>
  <c r="AF31" i="27"/>
  <c r="AX30" i="27"/>
  <c r="AW30" i="27"/>
  <c r="AV30" i="27"/>
  <c r="AP30" i="27"/>
  <c r="AM30" i="27"/>
  <c r="AL30" i="27"/>
  <c r="AK30" i="27"/>
  <c r="AJ30" i="27"/>
  <c r="AI30" i="27"/>
  <c r="AH30" i="27"/>
  <c r="AG30" i="27"/>
  <c r="AF30" i="27"/>
  <c r="AE30" i="27"/>
  <c r="AX29" i="27"/>
  <c r="AW29" i="27"/>
  <c r="AV29" i="27"/>
  <c r="AP29" i="27"/>
  <c r="AM29" i="27"/>
  <c r="AL29" i="27"/>
  <c r="AK29" i="27"/>
  <c r="AJ29" i="27"/>
  <c r="AI29" i="27"/>
  <c r="AH29" i="27"/>
  <c r="AG29" i="27"/>
  <c r="AF29" i="27"/>
  <c r="AE29" i="27"/>
  <c r="AX28" i="27"/>
  <c r="AW28" i="27"/>
  <c r="AV28" i="27"/>
  <c r="AP28" i="27"/>
  <c r="AM28" i="27"/>
  <c r="AL28" i="27"/>
  <c r="AK28" i="27"/>
  <c r="AJ28" i="27"/>
  <c r="AI28" i="27"/>
  <c r="AH28" i="27"/>
  <c r="AG28" i="27"/>
  <c r="AF28" i="27"/>
  <c r="AX27" i="27"/>
  <c r="AW27" i="27"/>
  <c r="AV27" i="27"/>
  <c r="AP27" i="27"/>
  <c r="AM27" i="27"/>
  <c r="AL27" i="27"/>
  <c r="AK27" i="27"/>
  <c r="AJ27" i="27"/>
  <c r="AI27" i="27"/>
  <c r="AH27" i="27"/>
  <c r="AG27" i="27"/>
  <c r="AF27" i="27"/>
  <c r="AX26" i="27"/>
  <c r="AW26" i="27"/>
  <c r="AV26" i="27"/>
  <c r="AP26" i="27"/>
  <c r="AM26" i="27"/>
  <c r="AL26" i="27"/>
  <c r="AK26" i="27"/>
  <c r="AJ26" i="27"/>
  <c r="AI26" i="27"/>
  <c r="AH26" i="27"/>
  <c r="AG26" i="27"/>
  <c r="AF26" i="27"/>
  <c r="AE26" i="27"/>
  <c r="AX25" i="27"/>
  <c r="AW25" i="27"/>
  <c r="AV25" i="27"/>
  <c r="AP25" i="27"/>
  <c r="AM25" i="27"/>
  <c r="AL25" i="27"/>
  <c r="AK25" i="27"/>
  <c r="AJ25" i="27"/>
  <c r="AI25" i="27"/>
  <c r="AH25" i="27"/>
  <c r="AG25" i="27"/>
  <c r="AF25" i="27"/>
  <c r="AE25" i="27"/>
  <c r="AX24" i="27"/>
  <c r="AW24" i="27"/>
  <c r="AV24" i="27"/>
  <c r="AP24" i="27"/>
  <c r="AM24" i="27"/>
  <c r="AL24" i="27"/>
  <c r="AK24" i="27"/>
  <c r="AJ24" i="27"/>
  <c r="AI24" i="27"/>
  <c r="AH24" i="27"/>
  <c r="AG24" i="27"/>
  <c r="AF24" i="27"/>
  <c r="AE24" i="27"/>
  <c r="AX23" i="27"/>
  <c r="AW23" i="27"/>
  <c r="AV23" i="27"/>
  <c r="AP23" i="27"/>
  <c r="AM23" i="27"/>
  <c r="AL23" i="27"/>
  <c r="AK23" i="27"/>
  <c r="AJ23" i="27"/>
  <c r="AI23" i="27"/>
  <c r="AH23" i="27"/>
  <c r="AG23" i="27"/>
  <c r="AF23" i="27"/>
  <c r="AE23" i="27"/>
  <c r="AX22" i="27"/>
  <c r="AW22" i="27"/>
  <c r="AV22" i="27"/>
  <c r="AP22" i="27"/>
  <c r="AM22" i="27"/>
  <c r="AL22" i="27"/>
  <c r="AK22" i="27"/>
  <c r="AJ22" i="27"/>
  <c r="AI22" i="27"/>
  <c r="AH22" i="27"/>
  <c r="AG22" i="27"/>
  <c r="AF22" i="27"/>
  <c r="AE22" i="27"/>
  <c r="AX21" i="27"/>
  <c r="AW21" i="27"/>
  <c r="AV21" i="27"/>
  <c r="AP21" i="27"/>
  <c r="AM21" i="27"/>
  <c r="AL21" i="27"/>
  <c r="AK21" i="27"/>
  <c r="AJ21" i="27"/>
  <c r="AI21" i="27"/>
  <c r="AH21" i="27"/>
  <c r="AG21" i="27"/>
  <c r="AF21" i="27"/>
  <c r="AE21" i="27"/>
  <c r="AX20" i="27"/>
  <c r="AW20" i="27"/>
  <c r="AV20" i="27"/>
  <c r="AP20" i="27"/>
  <c r="AM20" i="27"/>
  <c r="AL20" i="27"/>
  <c r="AK20" i="27"/>
  <c r="AJ20" i="27"/>
  <c r="AI20" i="27"/>
  <c r="AH20" i="27"/>
  <c r="AG20" i="27"/>
  <c r="AF20" i="27"/>
  <c r="AE20" i="27"/>
  <c r="AX19" i="27"/>
  <c r="AW19" i="27"/>
  <c r="AV19" i="27"/>
  <c r="AP19" i="27"/>
  <c r="AM19" i="27"/>
  <c r="AL19" i="27"/>
  <c r="AK19" i="27"/>
  <c r="AJ19" i="27"/>
  <c r="AI19" i="27"/>
  <c r="AH19" i="27"/>
  <c r="AG19" i="27"/>
  <c r="AF19" i="27"/>
  <c r="AE19" i="27"/>
  <c r="AX18" i="27"/>
  <c r="AW18" i="27"/>
  <c r="AV18" i="27"/>
  <c r="AP18" i="27"/>
  <c r="AM18" i="27"/>
  <c r="AL18" i="27"/>
  <c r="AK18" i="27"/>
  <c r="AJ18" i="27"/>
  <c r="AI18" i="27"/>
  <c r="AH18" i="27"/>
  <c r="AG18" i="27"/>
  <c r="AF18" i="27"/>
  <c r="AE18" i="27"/>
  <c r="AX17" i="27"/>
  <c r="AW17" i="27"/>
  <c r="AV17" i="27"/>
  <c r="AP17" i="27"/>
  <c r="AM17" i="27"/>
  <c r="AL17" i="27"/>
  <c r="AK17" i="27"/>
  <c r="AJ17" i="27"/>
  <c r="AI17" i="27"/>
  <c r="AH17" i="27"/>
  <c r="AG17" i="27"/>
  <c r="AF17" i="27"/>
  <c r="AX16" i="27"/>
  <c r="AW16" i="27"/>
  <c r="AV16" i="27"/>
  <c r="AP16" i="27"/>
  <c r="AM16" i="27"/>
  <c r="AL16" i="27"/>
  <c r="AK16" i="27"/>
  <c r="AJ16" i="27"/>
  <c r="AI16" i="27"/>
  <c r="AH16" i="27"/>
  <c r="AG16" i="27"/>
  <c r="AF16" i="27"/>
  <c r="AX15" i="27"/>
  <c r="AW15" i="27"/>
  <c r="AV15" i="27"/>
  <c r="AP15" i="27"/>
  <c r="AM15" i="27"/>
  <c r="AL15" i="27"/>
  <c r="AK15" i="27"/>
  <c r="AJ15" i="27"/>
  <c r="AI15" i="27"/>
  <c r="AH15" i="27"/>
  <c r="AG15" i="27"/>
  <c r="AF15" i="27"/>
  <c r="AE15" i="27"/>
  <c r="AX14" i="27"/>
  <c r="AW14" i="27"/>
  <c r="AV14" i="27"/>
  <c r="AP14" i="27"/>
  <c r="AM14" i="27"/>
  <c r="AL14" i="27"/>
  <c r="AK14" i="27"/>
  <c r="AJ14" i="27"/>
  <c r="AI14" i="27"/>
  <c r="AH14" i="27"/>
  <c r="AG14" i="27"/>
  <c r="AF14" i="27"/>
  <c r="AE14" i="27"/>
  <c r="AX13" i="27"/>
  <c r="AW13" i="27"/>
  <c r="AV13" i="27"/>
  <c r="AP13" i="27"/>
  <c r="AM13" i="27"/>
  <c r="AL13" i="27"/>
  <c r="AK13" i="27"/>
  <c r="AJ13" i="27"/>
  <c r="AI13" i="27"/>
  <c r="AH13" i="27"/>
  <c r="AG13" i="27"/>
  <c r="AF13" i="27"/>
  <c r="AE13" i="27"/>
  <c r="AX12" i="27"/>
  <c r="AW12" i="27"/>
  <c r="AV12" i="27"/>
  <c r="AP12" i="27"/>
  <c r="AM12" i="27"/>
  <c r="AL12" i="27"/>
  <c r="AK12" i="27"/>
  <c r="AJ12" i="27"/>
  <c r="AI12" i="27"/>
  <c r="AH12" i="27"/>
  <c r="AG12" i="27"/>
  <c r="AF12" i="27"/>
  <c r="AE12" i="27"/>
  <c r="AX11" i="27"/>
  <c r="AW11" i="27"/>
  <c r="AV11" i="27"/>
  <c r="AP11" i="27"/>
  <c r="AM11" i="27"/>
  <c r="AL11" i="27"/>
  <c r="AK11" i="27"/>
  <c r="AJ11" i="27"/>
  <c r="AI11" i="27"/>
  <c r="AH11" i="27"/>
  <c r="AG11" i="27"/>
  <c r="AF11" i="27"/>
  <c r="AE11" i="27"/>
  <c r="AX10" i="27"/>
  <c r="AW10" i="27"/>
  <c r="AV10" i="27"/>
  <c r="AP10" i="27"/>
  <c r="AM10" i="27"/>
  <c r="AL10" i="27"/>
  <c r="AK10" i="27"/>
  <c r="AJ10" i="27"/>
  <c r="AI10" i="27"/>
  <c r="AH10" i="27"/>
  <c r="AG10" i="27"/>
  <c r="AF10" i="27"/>
  <c r="AE10" i="27"/>
  <c r="AX9" i="27"/>
  <c r="AW9" i="27"/>
  <c r="AV9" i="27"/>
  <c r="AP9" i="27"/>
  <c r="AM9" i="27"/>
  <c r="AL9" i="27"/>
  <c r="AK9" i="27"/>
  <c r="AJ9" i="27"/>
  <c r="AI9" i="27"/>
  <c r="AH9" i="27"/>
  <c r="AG9" i="27"/>
  <c r="AF9" i="27"/>
  <c r="AE9" i="27"/>
  <c r="AX8" i="27"/>
  <c r="AW8" i="27"/>
  <c r="AV8" i="27"/>
  <c r="AP8" i="27"/>
  <c r="AM8" i="27"/>
  <c r="AL8" i="27"/>
  <c r="AK8" i="27"/>
  <c r="AJ8" i="27"/>
  <c r="AI8" i="27"/>
  <c r="AH8" i="27"/>
  <c r="AG8" i="27"/>
  <c r="AF8" i="27"/>
  <c r="AX7" i="27"/>
  <c r="AW7" i="27"/>
  <c r="AV7" i="27"/>
  <c r="AP7" i="27"/>
  <c r="AM7" i="27"/>
  <c r="AL7" i="27"/>
  <c r="AK7" i="27"/>
  <c r="AJ7" i="27"/>
  <c r="AI7" i="27"/>
  <c r="AH7" i="27"/>
  <c r="AG7" i="27"/>
  <c r="AF7" i="27"/>
  <c r="AE7" i="27"/>
  <c r="AX6" i="27"/>
  <c r="AW6" i="27"/>
  <c r="AV6" i="27"/>
  <c r="AP6" i="27"/>
  <c r="AM6" i="27"/>
  <c r="AL6" i="27"/>
  <c r="AK6" i="27"/>
  <c r="AJ6" i="27"/>
  <c r="AI6" i="27"/>
  <c r="AH6" i="27"/>
  <c r="AG6" i="27"/>
  <c r="AF6" i="27"/>
  <c r="AX5" i="27"/>
  <c r="AW5" i="27"/>
  <c r="AV5" i="27"/>
  <c r="AP5" i="27"/>
  <c r="AM5" i="27"/>
  <c r="AL5" i="27"/>
  <c r="AK5" i="27"/>
  <c r="AJ5" i="27"/>
  <c r="AI5" i="27"/>
  <c r="AH5" i="27"/>
  <c r="AG5" i="27"/>
  <c r="AF5" i="27"/>
  <c r="AE5" i="27"/>
  <c r="AX4" i="27"/>
  <c r="AW4" i="27"/>
  <c r="AV4" i="27"/>
  <c r="AP4" i="27"/>
  <c r="AM4" i="27"/>
  <c r="AL4" i="27"/>
  <c r="AK4" i="27"/>
  <c r="AJ4" i="27"/>
  <c r="AI4" i="27"/>
  <c r="AH4" i="27"/>
  <c r="AG4" i="27"/>
  <c r="AF4" i="27"/>
  <c r="AX2" i="27"/>
  <c r="AW2" i="27"/>
  <c r="AV2" i="27"/>
  <c r="AU2" i="27"/>
  <c r="AT2" i="27"/>
  <c r="AS2" i="27"/>
  <c r="AR2" i="27"/>
  <c r="AQ2" i="27"/>
  <c r="AP2" i="27"/>
  <c r="AO2" i="27"/>
  <c r="AN2" i="27"/>
  <c r="AM2" i="27"/>
  <c r="AL2" i="27"/>
  <c r="AK2" i="27"/>
  <c r="AJ2" i="27"/>
  <c r="AI2" i="27"/>
  <c r="AH2" i="27"/>
  <c r="AG2" i="27"/>
  <c r="AF2" i="27"/>
  <c r="AE2" i="27"/>
  <c r="AD2" i="27"/>
  <c r="AC2" i="27"/>
  <c r="AB2" i="27"/>
  <c r="E182" i="27"/>
  <c r="D182" i="27"/>
  <c r="T182" i="27"/>
  <c r="G182" i="27"/>
  <c r="AA181" i="27"/>
  <c r="Z181" i="27"/>
  <c r="Z183" i="27" s="1"/>
  <c r="Y181" i="27"/>
  <c r="X181" i="27"/>
  <c r="X183" i="27" s="1"/>
  <c r="R181" i="27"/>
  <c r="L181" i="27"/>
  <c r="K181" i="27"/>
  <c r="J181" i="27"/>
  <c r="H181" i="27"/>
  <c r="J21" i="13"/>
  <c r="E21" i="13" s="1"/>
  <c r="L182" i="27" l="1"/>
  <c r="L183" i="27" s="1"/>
  <c r="H182" i="27"/>
  <c r="H183" i="27" s="1"/>
  <c r="V181" i="15" l="1"/>
  <c r="T181" i="15"/>
  <c r="R181" i="15"/>
  <c r="S181" i="15"/>
  <c r="U181" i="15" l="1"/>
  <c r="F13" i="14"/>
  <c r="D22" i="14" l="1"/>
  <c r="D24" i="14"/>
  <c r="D51" i="14"/>
  <c r="D48" i="14"/>
  <c r="D46" i="14"/>
  <c r="D53" i="14"/>
  <c r="C51" i="14"/>
  <c r="D40" i="14"/>
  <c r="D38" i="14"/>
  <c r="E31" i="14"/>
  <c r="E71" i="14"/>
  <c r="E33" i="14"/>
  <c r="E35" i="14"/>
  <c r="C73" i="14"/>
  <c r="D71" i="14"/>
  <c r="J11" i="13"/>
  <c r="E11" i="13" s="1"/>
  <c r="J10" i="13"/>
  <c r="E10" i="13" l="1"/>
  <c r="E22" i="14" s="1"/>
  <c r="J12" i="13"/>
  <c r="Q181" i="15"/>
  <c r="W181" i="15"/>
  <c r="AE94" i="27"/>
  <c r="AE141" i="27"/>
  <c r="AE31" i="27"/>
  <c r="AE64" i="27"/>
  <c r="AE79" i="27"/>
  <c r="AE101" i="27"/>
  <c r="AE117" i="27"/>
  <c r="AE142" i="27"/>
  <c r="AE28" i="27"/>
  <c r="AE4" i="27"/>
  <c r="G181" i="27"/>
  <c r="G183" i="27" s="1"/>
  <c r="AE43" i="27"/>
  <c r="AE65" i="27"/>
  <c r="AE80" i="27"/>
  <c r="AE102" i="27"/>
  <c r="AE118" i="27"/>
  <c r="AE146" i="27"/>
  <c r="AE53" i="27"/>
  <c r="AE116" i="27"/>
  <c r="AE74" i="27"/>
  <c r="AE172" i="27"/>
  <c r="AE8" i="27"/>
  <c r="AE45" i="27"/>
  <c r="AE70" i="27"/>
  <c r="AE89" i="27"/>
  <c r="AE108" i="27"/>
  <c r="AE125" i="27"/>
  <c r="AE148" i="27"/>
  <c r="AE16" i="27"/>
  <c r="AE46" i="27"/>
  <c r="AE71" i="27"/>
  <c r="AE90" i="27"/>
  <c r="AE113" i="27"/>
  <c r="AE128" i="27"/>
  <c r="AE151" i="27"/>
  <c r="AE17" i="27"/>
  <c r="AE48" i="27"/>
  <c r="AE72" i="27"/>
  <c r="AE91" i="27"/>
  <c r="AE114" i="27"/>
  <c r="AE129" i="27"/>
  <c r="AE167" i="27"/>
  <c r="AE27" i="27"/>
  <c r="AE49" i="27"/>
  <c r="AE73" i="27"/>
  <c r="AE93" i="27"/>
  <c r="AE115" i="27"/>
  <c r="AE138" i="27"/>
  <c r="AE169" i="27"/>
  <c r="AE6" i="27"/>
  <c r="AE44" i="27"/>
  <c r="AE69" i="27"/>
  <c r="AE83" i="27"/>
  <c r="AE106" i="27"/>
  <c r="AE119" i="27"/>
  <c r="AE147" i="27"/>
  <c r="D35" i="14"/>
  <c r="F32" i="13" s="1"/>
  <c r="D31" i="14"/>
  <c r="F30" i="13" s="1"/>
  <c r="D33" i="14"/>
  <c r="F31" i="13" s="1"/>
  <c r="D28" i="14"/>
  <c r="K182" i="27"/>
  <c r="K183" i="27" s="1"/>
  <c r="M182" i="27"/>
  <c r="M183" i="27" s="1"/>
  <c r="N182" i="27"/>
  <c r="N183" i="27" s="1"/>
  <c r="E40" i="14"/>
  <c r="E38" i="14"/>
  <c r="H72" i="13"/>
  <c r="H80" i="13" s="1"/>
  <c r="H86" i="13" s="1"/>
  <c r="G72" i="13"/>
  <c r="G80" i="13" s="1"/>
  <c r="G86" i="13" s="1"/>
  <c r="E12" i="13" l="1"/>
  <c r="D42" i="14"/>
  <c r="D55" i="14" s="1"/>
  <c r="G365" i="27"/>
  <c r="F35" i="13"/>
  <c r="F182" i="27"/>
  <c r="Y183" i="27"/>
  <c r="AA183" i="27"/>
  <c r="O182" i="27"/>
  <c r="O183" i="27" s="1"/>
  <c r="J182" i="27"/>
  <c r="J183" i="27" s="1"/>
  <c r="H58" i="13"/>
  <c r="G58" i="13"/>
  <c r="H64" i="13"/>
  <c r="H71" i="13" s="1"/>
  <c r="H79" i="13" s="1"/>
  <c r="H85" i="13" s="1"/>
  <c r="G57" i="13"/>
  <c r="G64" i="13" s="1"/>
  <c r="G71" i="13" s="1"/>
  <c r="G79" i="13" s="1"/>
  <c r="G85" i="13" s="1"/>
  <c r="E24" i="14"/>
  <c r="K51" i="13"/>
  <c r="C26" i="22" l="1"/>
  <c r="AB179" i="27"/>
  <c r="AB112" i="27"/>
  <c r="AB160" i="27"/>
  <c r="AB131" i="27"/>
  <c r="AC126" i="27"/>
  <c r="AC36" i="27"/>
  <c r="AB5" i="27"/>
  <c r="AC23" i="27"/>
  <c r="AC72" i="27"/>
  <c r="AB19" i="27"/>
  <c r="AC47" i="27"/>
  <c r="AC87" i="27"/>
  <c r="AB162" i="27"/>
  <c r="AB36" i="27"/>
  <c r="AB72" i="27"/>
  <c r="AC146" i="27"/>
  <c r="AB22" i="27"/>
  <c r="AC51" i="27"/>
  <c r="AC18" i="27"/>
  <c r="AB50" i="27"/>
  <c r="AB109" i="27"/>
  <c r="AB21" i="27"/>
  <c r="AB54" i="27"/>
  <c r="AB101" i="27"/>
  <c r="AB7" i="27"/>
  <c r="AB42" i="27"/>
  <c r="AC73" i="27"/>
  <c r="AC121" i="27"/>
  <c r="AC7" i="27"/>
  <c r="AC42" i="27"/>
  <c r="AC80" i="27"/>
  <c r="AC11" i="27"/>
  <c r="AB41" i="27"/>
  <c r="AB95" i="27"/>
  <c r="AC171" i="27"/>
  <c r="AB94" i="27"/>
  <c r="AB124" i="27"/>
  <c r="AB153" i="27"/>
  <c r="AC74" i="27"/>
  <c r="AB103" i="27"/>
  <c r="AB133" i="27"/>
  <c r="AC161" i="27"/>
  <c r="AC93" i="27"/>
  <c r="AB123" i="27"/>
  <c r="AB152" i="27"/>
  <c r="AC71" i="27"/>
  <c r="AC106" i="27"/>
  <c r="AB140" i="27"/>
  <c r="AB172" i="27"/>
  <c r="AB90" i="27"/>
  <c r="AC122" i="27"/>
  <c r="AC159" i="27"/>
  <c r="AB23" i="27"/>
  <c r="AB79" i="27"/>
  <c r="AB149" i="27"/>
  <c r="AC22" i="27"/>
  <c r="AC55" i="27"/>
  <c r="AB130" i="27"/>
  <c r="AB25" i="27"/>
  <c r="AB58" i="27"/>
  <c r="AB113" i="27"/>
  <c r="AC12" i="27"/>
  <c r="AB48" i="27"/>
  <c r="AB75" i="27"/>
  <c r="AB125" i="27"/>
  <c r="AB11" i="27"/>
  <c r="AC48" i="27"/>
  <c r="AC15" i="27"/>
  <c r="AB47" i="27"/>
  <c r="AC105" i="27"/>
  <c r="AC180" i="27"/>
  <c r="AC95" i="27"/>
  <c r="AB129" i="27"/>
  <c r="AB157" i="27"/>
  <c r="AB78" i="27"/>
  <c r="AC108" i="27"/>
  <c r="AB137" i="27"/>
  <c r="AC165" i="27"/>
  <c r="AC98" i="27"/>
  <c r="AC128" i="27"/>
  <c r="AB156" i="27"/>
  <c r="AC77" i="27"/>
  <c r="AC111" i="27"/>
  <c r="AB145" i="27"/>
  <c r="AC173" i="27"/>
  <c r="AC91" i="27"/>
  <c r="AB126" i="27"/>
  <c r="AC163" i="27"/>
  <c r="AC167" i="27"/>
  <c r="AC177" i="27"/>
  <c r="AC28" i="27"/>
  <c r="AB60" i="27"/>
  <c r="AC114" i="27"/>
  <c r="AC14" i="27"/>
  <c r="AC46" i="27"/>
  <c r="AC96" i="27"/>
  <c r="AC32" i="27"/>
  <c r="AC166" i="27"/>
  <c r="AC31" i="27"/>
  <c r="AC63" i="27"/>
  <c r="AC176" i="27"/>
  <c r="AC35" i="27"/>
  <c r="AB67" i="27"/>
  <c r="AB134" i="27"/>
  <c r="AC21" i="27"/>
  <c r="AB53" i="27"/>
  <c r="AC89" i="27"/>
  <c r="AB138" i="27"/>
  <c r="AB20" i="27"/>
  <c r="AC135" i="27"/>
  <c r="AC24" i="27"/>
  <c r="AC57" i="27"/>
  <c r="AB114" i="27"/>
  <c r="AB74" i="27"/>
  <c r="AC104" i="27"/>
  <c r="AC134" i="27"/>
  <c r="AB165" i="27"/>
  <c r="AC84" i="27"/>
  <c r="AB119" i="27"/>
  <c r="AC143" i="27"/>
  <c r="AC170" i="27"/>
  <c r="AC103" i="27"/>
  <c r="AC137" i="27"/>
  <c r="AB164" i="27"/>
  <c r="AB86" i="27"/>
  <c r="AC117" i="27"/>
  <c r="AB155" i="27"/>
  <c r="AB69" i="27"/>
  <c r="AB100" i="27"/>
  <c r="AB135" i="27"/>
  <c r="AC172" i="27"/>
  <c r="AB99" i="27"/>
  <c r="AB26" i="27"/>
  <c r="AC102" i="27"/>
  <c r="AB166" i="27"/>
  <c r="AC26" i="27"/>
  <c r="AB62" i="27"/>
  <c r="AB15" i="27"/>
  <c r="AB111" i="27"/>
  <c r="AB83" i="27"/>
  <c r="AC133" i="27"/>
  <c r="AC151" i="27"/>
  <c r="AC33" i="27"/>
  <c r="AB106" i="27"/>
  <c r="AB35" i="27"/>
  <c r="AC68" i="27"/>
  <c r="AC8" i="27"/>
  <c r="AC39" i="27"/>
  <c r="AB71" i="27"/>
  <c r="AB144" i="27"/>
  <c r="AC25" i="27"/>
  <c r="AC54" i="27"/>
  <c r="AB104" i="27"/>
  <c r="AC141" i="27"/>
  <c r="AB24" i="27"/>
  <c r="AB151" i="27"/>
  <c r="AB28" i="27"/>
  <c r="AC61" i="27"/>
  <c r="AC75" i="27"/>
  <c r="AB108" i="27"/>
  <c r="AC138" i="27"/>
  <c r="AB170" i="27"/>
  <c r="AC88" i="27"/>
  <c r="AC120" i="27"/>
  <c r="AB174" i="27"/>
  <c r="AB107" i="27"/>
  <c r="AB141" i="27"/>
  <c r="AC169" i="27"/>
  <c r="AB91" i="27"/>
  <c r="AB122" i="27"/>
  <c r="AB159" i="27"/>
  <c r="AC70" i="27"/>
  <c r="AB105" i="27"/>
  <c r="AC140" i="27"/>
  <c r="AB176" i="27"/>
  <c r="AB40" i="27"/>
  <c r="AB27" i="27"/>
  <c r="AB45" i="27"/>
  <c r="AB31" i="27"/>
  <c r="AC59" i="27"/>
  <c r="AB121" i="27"/>
  <c r="AC131" i="27"/>
  <c r="AB52" i="27"/>
  <c r="AB161" i="27"/>
  <c r="AB102" i="27"/>
  <c r="AB116" i="27"/>
  <c r="AB51" i="27"/>
  <c r="AC37" i="27"/>
  <c r="AB117" i="27"/>
  <c r="AC9" i="27"/>
  <c r="AB12" i="27"/>
  <c r="AC150" i="27"/>
  <c r="AC30" i="27"/>
  <c r="AC58" i="27"/>
  <c r="AC107" i="27"/>
  <c r="AC144" i="27"/>
  <c r="AB66" i="27"/>
  <c r="AC29" i="27"/>
  <c r="AB65" i="27"/>
  <c r="AC154" i="27"/>
  <c r="AC79" i="27"/>
  <c r="AC109" i="27"/>
  <c r="AB143" i="27"/>
  <c r="AC175" i="27"/>
  <c r="AB93" i="27"/>
  <c r="AC124" i="27"/>
  <c r="AC148" i="27"/>
  <c r="AB178" i="27"/>
  <c r="AC112" i="27"/>
  <c r="AC142" i="27"/>
  <c r="AC174" i="27"/>
  <c r="AC92" i="27"/>
  <c r="AC127" i="27"/>
  <c r="AB163" i="27"/>
  <c r="AB76" i="27"/>
  <c r="AB110" i="27"/>
  <c r="AC145" i="27"/>
  <c r="AB180" i="27"/>
  <c r="AC52" i="27"/>
  <c r="AC10" i="27"/>
  <c r="AC156" i="27"/>
  <c r="AC16" i="27"/>
  <c r="AB80" i="27"/>
  <c r="AC125" i="27"/>
  <c r="AC130" i="27"/>
  <c r="AB169" i="27"/>
  <c r="AB96" i="27"/>
  <c r="AC19" i="27"/>
  <c r="AB68" i="27"/>
  <c r="AB136" i="27"/>
  <c r="AB39" i="27"/>
  <c r="AC43" i="27"/>
  <c r="AC41" i="27"/>
  <c r="AC27" i="27"/>
  <c r="AC123" i="27"/>
  <c r="AB44" i="27"/>
  <c r="AB43" i="27"/>
  <c r="AB16" i="27"/>
  <c r="AC85" i="27"/>
  <c r="AC110" i="27"/>
  <c r="AC164" i="27"/>
  <c r="AC34" i="27"/>
  <c r="AB70" i="27"/>
  <c r="AB171" i="27"/>
  <c r="AB33" i="27"/>
  <c r="AC66" i="27"/>
  <c r="AB158" i="27"/>
  <c r="AB84" i="27"/>
  <c r="AC113" i="27"/>
  <c r="AB148" i="27"/>
  <c r="AC179" i="27"/>
  <c r="AC94" i="27"/>
  <c r="AB128" i="27"/>
  <c r="AC153" i="27"/>
  <c r="AC83" i="27"/>
  <c r="AB118" i="27"/>
  <c r="AB146" i="27"/>
  <c r="AC178" i="27"/>
  <c r="AC97" i="27"/>
  <c r="AC132" i="27"/>
  <c r="AB167" i="27"/>
  <c r="AB81" i="27"/>
  <c r="AB115" i="27"/>
  <c r="AB150" i="27"/>
  <c r="AC5" i="27"/>
  <c r="AC162" i="27"/>
  <c r="AB56" i="27"/>
  <c r="AC81" i="27"/>
  <c r="AC152" i="27"/>
  <c r="AB30" i="27"/>
  <c r="AC49" i="27"/>
  <c r="AC53" i="27"/>
  <c r="AC20" i="27"/>
  <c r="AC99" i="27"/>
  <c r="AB142" i="27"/>
  <c r="AC82" i="27"/>
  <c r="AC3" i="27"/>
  <c r="AB64" i="27"/>
  <c r="AC4" i="27"/>
  <c r="AC65" i="27"/>
  <c r="AC56" i="27"/>
  <c r="AC40" i="27"/>
  <c r="AB77" i="27"/>
  <c r="AB82" i="27"/>
  <c r="AB10" i="27"/>
  <c r="AC69" i="27"/>
  <c r="AB139" i="27"/>
  <c r="AC60" i="27"/>
  <c r="AC100" i="27"/>
  <c r="AC13" i="27"/>
  <c r="AB85" i="27"/>
  <c r="AB49" i="27"/>
  <c r="AC160" i="27"/>
  <c r="AC62" i="27"/>
  <c r="AB14" i="27"/>
  <c r="AB46" i="27"/>
  <c r="AC76" i="27"/>
  <c r="AC158" i="27"/>
  <c r="AB32" i="27"/>
  <c r="AC64" i="27"/>
  <c r="AC139" i="27"/>
  <c r="AB18" i="27"/>
  <c r="AC45" i="27"/>
  <c r="AC115" i="27"/>
  <c r="AC44" i="27"/>
  <c r="AB97" i="27"/>
  <c r="AC17" i="27"/>
  <c r="AC50" i="27"/>
  <c r="AB89" i="27"/>
  <c r="AB173" i="27"/>
  <c r="AC67" i="27"/>
  <c r="AC118" i="27"/>
  <c r="AC38" i="27"/>
  <c r="AC78" i="27"/>
  <c r="AC6" i="27"/>
  <c r="AB37" i="27"/>
  <c r="AC90" i="27"/>
  <c r="AB88" i="27"/>
  <c r="AB120" i="27"/>
  <c r="AC149" i="27"/>
  <c r="AB73" i="27"/>
  <c r="AB98" i="27"/>
  <c r="AC129" i="27"/>
  <c r="AC157" i="27"/>
  <c r="AB87" i="27"/>
  <c r="AC119" i="27"/>
  <c r="AC147" i="27"/>
  <c r="AB177" i="27"/>
  <c r="AC101" i="27"/>
  <c r="AC136" i="27"/>
  <c r="AC168" i="27"/>
  <c r="AC86" i="27"/>
  <c r="AC116" i="27"/>
  <c r="AC155" i="27"/>
  <c r="AB17" i="27"/>
  <c r="AB38" i="27"/>
  <c r="AB6" i="27"/>
  <c r="AB168" i="27"/>
  <c r="AB127" i="27"/>
  <c r="AB13" i="27"/>
  <c r="AB55" i="27"/>
  <c r="AB92" i="27"/>
  <c r="D181" i="27"/>
  <c r="AB3" i="27"/>
  <c r="AB59" i="27"/>
  <c r="AB175" i="27"/>
  <c r="AB63" i="27"/>
  <c r="AB57" i="27"/>
  <c r="AB34" i="27"/>
  <c r="AB4" i="27"/>
  <c r="AB8" i="27"/>
  <c r="AB61" i="27"/>
  <c r="AB132" i="27"/>
  <c r="AB147" i="27"/>
  <c r="AB9" i="27"/>
  <c r="AB29" i="27"/>
  <c r="AB154" i="27"/>
  <c r="E181" i="27"/>
  <c r="E183" i="27" s="1"/>
  <c r="AC181" i="27" l="1"/>
  <c r="AC183" i="27" s="1"/>
  <c r="D365" i="27"/>
  <c r="E365" i="27"/>
  <c r="AD147" i="27"/>
  <c r="AD85" i="27"/>
  <c r="AD174" i="27"/>
  <c r="AD23" i="27"/>
  <c r="AD177" i="27"/>
  <c r="AD75" i="27"/>
  <c r="AD148" i="27"/>
  <c r="AD45" i="27"/>
  <c r="AD50" i="27"/>
  <c r="AD66" i="27"/>
  <c r="AD119" i="27"/>
  <c r="AD138" i="27"/>
  <c r="AD76" i="27"/>
  <c r="AD28" i="27"/>
  <c r="AD100" i="27"/>
  <c r="AD102" i="27"/>
  <c r="AD80" i="27"/>
  <c r="AD56" i="27"/>
  <c r="AD40" i="27"/>
  <c r="AD152" i="27"/>
  <c r="AD73" i="27"/>
  <c r="AD18" i="27"/>
  <c r="AD10" i="27"/>
  <c r="AD111" i="27"/>
  <c r="AD170" i="27"/>
  <c r="AD70" i="27"/>
  <c r="AD93" i="27"/>
  <c r="AD26" i="27"/>
  <c r="AD11" i="27"/>
  <c r="AD116" i="27"/>
  <c r="AD154" i="27"/>
  <c r="AD132" i="27"/>
  <c r="AD92" i="27"/>
  <c r="AD168" i="27"/>
  <c r="AD52" i="27"/>
  <c r="AD90" i="27"/>
  <c r="AD173" i="27"/>
  <c r="AD88" i="27"/>
  <c r="AD43" i="27"/>
  <c r="AD135" i="27"/>
  <c r="AD165" i="27"/>
  <c r="AD130" i="27"/>
  <c r="AD158" i="27"/>
  <c r="AD69" i="27"/>
  <c r="AD27" i="27"/>
  <c r="AD47" i="27"/>
  <c r="AD123" i="27"/>
  <c r="AD22" i="27"/>
  <c r="AD95" i="27"/>
  <c r="AD32" i="27"/>
  <c r="AD5" i="27"/>
  <c r="AD172" i="27"/>
  <c r="AD60" i="27"/>
  <c r="AD143" i="27"/>
  <c r="AD161" i="27"/>
  <c r="AD99" i="27"/>
  <c r="AD7" i="27"/>
  <c r="AD157" i="27"/>
  <c r="AD34" i="27"/>
  <c r="AD44" i="27"/>
  <c r="AD134" i="27"/>
  <c r="AD3" i="27"/>
  <c r="AD54" i="27"/>
  <c r="AD46" i="27"/>
  <c r="AD163" i="27"/>
  <c r="AD103" i="27"/>
  <c r="AD83" i="27"/>
  <c r="AD82" i="27"/>
  <c r="AD53" i="27"/>
  <c r="AD136" i="27"/>
  <c r="AD129" i="27"/>
  <c r="AD29" i="27"/>
  <c r="AD61" i="27"/>
  <c r="AD55" i="27"/>
  <c r="AD6" i="27"/>
  <c r="AD118" i="27"/>
  <c r="AD108" i="27"/>
  <c r="AD86" i="27"/>
  <c r="AD15" i="27"/>
  <c r="AD49" i="27"/>
  <c r="AD74" i="27"/>
  <c r="AD121" i="27"/>
  <c r="AD176" i="27"/>
  <c r="AD142" i="27"/>
  <c r="AD72" i="27"/>
  <c r="AD39" i="27"/>
  <c r="AD81" i="27"/>
  <c r="AD105" i="27"/>
  <c r="AD24" i="27"/>
  <c r="AD64" i="27"/>
  <c r="AD67" i="27"/>
  <c r="AD112" i="27"/>
  <c r="AD30" i="27"/>
  <c r="AD124" i="27"/>
  <c r="AD162" i="27"/>
  <c r="AD36" i="27"/>
  <c r="AD14" i="27"/>
  <c r="AD12" i="27"/>
  <c r="AD153" i="27"/>
  <c r="AD179" i="27"/>
  <c r="AD117" i="27"/>
  <c r="AD151" i="27"/>
  <c r="AD171" i="27"/>
  <c r="AD101" i="27"/>
  <c r="AD48" i="27"/>
  <c r="AD57" i="27"/>
  <c r="AD180" i="27"/>
  <c r="AD156" i="27"/>
  <c r="AD33" i="27"/>
  <c r="AD113" i="27"/>
  <c r="AD35" i="27"/>
  <c r="AD37" i="27"/>
  <c r="AD87" i="27"/>
  <c r="AD84" i="27"/>
  <c r="AD175" i="27"/>
  <c r="AD150" i="27"/>
  <c r="AD65" i="27"/>
  <c r="AD141" i="27"/>
  <c r="AD104" i="27"/>
  <c r="AD131" i="27"/>
  <c r="AD126" i="27"/>
  <c r="AD41" i="27"/>
  <c r="AD19" i="27"/>
  <c r="AD16" i="27"/>
  <c r="AD77" i="27"/>
  <c r="AD94" i="27"/>
  <c r="AD140" i="27"/>
  <c r="AD169" i="27"/>
  <c r="AD20" i="27"/>
  <c r="AD42" i="27"/>
  <c r="AD149" i="27"/>
  <c r="AD71" i="27"/>
  <c r="AD68" i="27"/>
  <c r="AD9" i="27"/>
  <c r="AD8" i="27"/>
  <c r="AD59" i="27"/>
  <c r="AD13" i="27"/>
  <c r="AD38" i="27"/>
  <c r="AD114" i="27"/>
  <c r="AD166" i="27"/>
  <c r="AD109" i="27"/>
  <c r="AD178" i="27"/>
  <c r="AD122" i="27"/>
  <c r="AD110" i="27"/>
  <c r="AD160" i="27"/>
  <c r="AD78" i="27"/>
  <c r="AD89" i="27"/>
  <c r="AD25" i="27"/>
  <c r="AD115" i="27"/>
  <c r="AD139" i="27"/>
  <c r="AD51" i="27"/>
  <c r="AD164" i="27"/>
  <c r="AD62" i="27"/>
  <c r="AD133" i="27"/>
  <c r="AD167" i="27"/>
  <c r="AD146" i="27"/>
  <c r="AD107" i="27"/>
  <c r="AD144" i="27"/>
  <c r="AD96" i="27"/>
  <c r="AD31" i="27"/>
  <c r="AD79" i="27"/>
  <c r="AD145" i="27"/>
  <c r="AD58" i="27"/>
  <c r="AD21" i="27"/>
  <c r="AD98" i="27"/>
  <c r="AD128" i="27"/>
  <c r="AD91" i="27"/>
  <c r="AD97" i="27"/>
  <c r="AD120" i="27"/>
  <c r="AD137" i="27"/>
  <c r="AD125" i="27"/>
  <c r="AD159" i="27"/>
  <c r="AD155" i="27"/>
  <c r="AD106" i="27"/>
  <c r="AD63" i="27"/>
  <c r="AD4" i="27"/>
  <c r="AD127" i="27"/>
  <c r="AD17" i="27"/>
  <c r="F181" i="27"/>
  <c r="F183" i="27" s="1"/>
  <c r="D26" i="14"/>
  <c r="E27" i="13"/>
  <c r="F27" i="13" s="1"/>
  <c r="C27" i="13"/>
  <c r="D27" i="13" s="1"/>
  <c r="A17" i="14"/>
  <c r="D4" i="13" s="1"/>
  <c r="A15" i="14"/>
  <c r="C21" i="22" l="1"/>
  <c r="J59" i="13"/>
  <c r="F59" i="13" s="1"/>
  <c r="J66" i="13"/>
  <c r="F66" i="13" s="1"/>
  <c r="F67" i="13" s="1"/>
  <c r="J73" i="13"/>
  <c r="F73" i="13" s="1"/>
  <c r="F74" i="13" s="1"/>
  <c r="E97" i="13" s="1"/>
  <c r="J87" i="13"/>
  <c r="F87" i="13" s="1"/>
  <c r="F88" i="13" s="1"/>
  <c r="J81" i="13"/>
  <c r="F81" i="13" s="1"/>
  <c r="F82" i="13" s="1"/>
  <c r="F365" i="27"/>
  <c r="AQ152" i="27"/>
  <c r="AS66" i="27"/>
  <c r="AT82" i="27"/>
  <c r="AR70" i="27"/>
  <c r="AT135" i="27"/>
  <c r="AS89" i="27"/>
  <c r="AS103" i="27"/>
  <c r="AR88" i="27"/>
  <c r="AS155" i="27"/>
  <c r="AS58" i="27"/>
  <c r="AQ77" i="27"/>
  <c r="AQ91" i="27"/>
  <c r="AS94" i="27"/>
  <c r="AR115" i="27"/>
  <c r="AR147" i="27"/>
  <c r="AR117" i="27"/>
  <c r="AT153" i="27"/>
  <c r="AT12" i="27"/>
  <c r="AR36" i="27"/>
  <c r="AS105" i="27"/>
  <c r="AR161" i="27"/>
  <c r="AT27" i="27"/>
  <c r="AQ8" i="27"/>
  <c r="AS127" i="27"/>
  <c r="AT87" i="27"/>
  <c r="AR82" i="27"/>
  <c r="AT11" i="27"/>
  <c r="AR129" i="27"/>
  <c r="AQ130" i="27"/>
  <c r="AQ43" i="27"/>
  <c r="AR61" i="27"/>
  <c r="AS122" i="27"/>
  <c r="AQ173" i="27"/>
  <c r="AR177" i="27"/>
  <c r="AS90" i="27"/>
  <c r="AT166" i="27"/>
  <c r="AS114" i="27"/>
  <c r="AT174" i="27"/>
  <c r="AT85" i="27"/>
  <c r="AS118" i="27"/>
  <c r="AR59" i="27"/>
  <c r="AS125" i="27"/>
  <c r="AT97" i="27"/>
  <c r="AS128" i="27"/>
  <c r="AR21" i="27"/>
  <c r="AT144" i="27"/>
  <c r="AS146" i="27"/>
  <c r="AR104" i="27"/>
  <c r="AQ34" i="27"/>
  <c r="AS106" i="27"/>
  <c r="AR91" i="27"/>
  <c r="AR71" i="27"/>
  <c r="AT68" i="27"/>
  <c r="AR133" i="27"/>
  <c r="AQ164" i="27"/>
  <c r="AR149" i="27"/>
  <c r="AS141" i="27"/>
  <c r="AS39" i="27"/>
  <c r="AQ163" i="27"/>
  <c r="AT134" i="27"/>
  <c r="AQ55" i="27"/>
  <c r="AT101" i="27"/>
  <c r="AT147" i="27"/>
  <c r="AQ151" i="27"/>
  <c r="AS117" i="27"/>
  <c r="AR153" i="27"/>
  <c r="AQ36" i="27"/>
  <c r="AQ124" i="27"/>
  <c r="AQ30" i="27"/>
  <c r="AT67" i="27"/>
  <c r="AT105" i="27"/>
  <c r="AT53" i="27"/>
  <c r="AR72" i="27"/>
  <c r="AT60" i="27"/>
  <c r="AQ158" i="27"/>
  <c r="AR127" i="27"/>
  <c r="AT65" i="27"/>
  <c r="AR10" i="27"/>
  <c r="AS139" i="27"/>
  <c r="AT37" i="27"/>
  <c r="AQ61" i="27"/>
  <c r="AS108" i="27"/>
  <c r="AS174" i="27"/>
  <c r="AT59" i="27"/>
  <c r="AR128" i="27"/>
  <c r="AQ146" i="27"/>
  <c r="AQ106" i="27"/>
  <c r="AS140" i="27"/>
  <c r="AQ149" i="27"/>
  <c r="AQ134" i="27"/>
  <c r="AT55" i="27"/>
  <c r="AQ92" i="27"/>
  <c r="AQ99" i="27"/>
  <c r="AS32" i="27"/>
  <c r="AS123" i="27"/>
  <c r="AT158" i="27"/>
  <c r="AT152" i="27"/>
  <c r="AR44" i="27"/>
  <c r="AQ66" i="27"/>
  <c r="AQ15" i="27"/>
  <c r="AQ126" i="27"/>
  <c r="AR65" i="27"/>
  <c r="AQ93" i="27"/>
  <c r="AS70" i="27"/>
  <c r="AT40" i="27"/>
  <c r="AR135" i="27"/>
  <c r="AQ119" i="27"/>
  <c r="AS37" i="27"/>
  <c r="AS136" i="27"/>
  <c r="AQ75" i="27"/>
  <c r="AS42" i="27"/>
  <c r="AR92" i="27"/>
  <c r="AQ48" i="27"/>
  <c r="AT157" i="27"/>
  <c r="AS99" i="27"/>
  <c r="AR60" i="27"/>
  <c r="AS5" i="27"/>
  <c r="AT32" i="27"/>
  <c r="AT22" i="27"/>
  <c r="AR27" i="27"/>
  <c r="AT69" i="27"/>
  <c r="AR158" i="27"/>
  <c r="AR8" i="27"/>
  <c r="AR152" i="27"/>
  <c r="AQ102" i="27"/>
  <c r="AR100" i="27"/>
  <c r="AT44" i="27"/>
  <c r="AQ138" i="27"/>
  <c r="AQ25" i="27"/>
  <c r="AR66" i="27"/>
  <c r="AR87" i="27"/>
  <c r="AR15" i="27"/>
  <c r="AT110" i="27"/>
  <c r="AQ148" i="27"/>
  <c r="AR126" i="27"/>
  <c r="AS65" i="27"/>
  <c r="AT116" i="27"/>
  <c r="AQ11" i="27"/>
  <c r="AT93" i="27"/>
  <c r="AT111" i="27"/>
  <c r="AQ73" i="27"/>
  <c r="AR40" i="27"/>
  <c r="AQ76" i="27"/>
  <c r="AT129" i="27"/>
  <c r="AQ62" i="27"/>
  <c r="AR139" i="27"/>
  <c r="AT119" i="27"/>
  <c r="AT165" i="27"/>
  <c r="AQ50" i="27"/>
  <c r="AQ37" i="27"/>
  <c r="AT43" i="27"/>
  <c r="AQ136" i="27"/>
  <c r="AQ142" i="27"/>
  <c r="AS61" i="27"/>
  <c r="AT86" i="27"/>
  <c r="AR75" i="27"/>
  <c r="AT178" i="27"/>
  <c r="AR108" i="27"/>
  <c r="AR173" i="27"/>
  <c r="AT90" i="27"/>
  <c r="AQ23" i="27"/>
  <c r="AR166" i="27"/>
  <c r="AQ114" i="27"/>
  <c r="AR85" i="27"/>
  <c r="AS59" i="27"/>
  <c r="AS159" i="27"/>
  <c r="AQ125" i="27"/>
  <c r="AS97" i="27"/>
  <c r="AS21" i="27"/>
  <c r="AQ145" i="27"/>
  <c r="AQ31" i="27"/>
  <c r="AQ144" i="27"/>
  <c r="AT42" i="27"/>
  <c r="AR41" i="27"/>
  <c r="AT104" i="27"/>
  <c r="AS34" i="27"/>
  <c r="AT91" i="27"/>
  <c r="AQ107" i="27"/>
  <c r="AS71" i="27"/>
  <c r="AT19" i="27"/>
  <c r="AR68" i="27"/>
  <c r="AS133" i="27"/>
  <c r="AS149" i="27"/>
  <c r="AR16" i="27"/>
  <c r="AQ141" i="27"/>
  <c r="AT39" i="27"/>
  <c r="AR134" i="27"/>
  <c r="AS6" i="27"/>
  <c r="AS55" i="27"/>
  <c r="AR101" i="27"/>
  <c r="AR151" i="27"/>
  <c r="AQ153" i="27"/>
  <c r="AR14" i="27"/>
  <c r="AT36" i="27"/>
  <c r="AR124" i="27"/>
  <c r="AR67" i="27"/>
  <c r="AR24" i="27"/>
  <c r="AR105" i="27"/>
  <c r="AR53" i="27"/>
  <c r="AT92" i="27"/>
  <c r="AS172" i="27"/>
  <c r="AQ9" i="27"/>
  <c r="AS74" i="27"/>
  <c r="AQ35" i="27"/>
  <c r="AQ51" i="27"/>
  <c r="AR111" i="27"/>
  <c r="AT130" i="27"/>
  <c r="AS169" i="27"/>
  <c r="AR90" i="27"/>
  <c r="AQ85" i="27"/>
  <c r="AS104" i="27"/>
  <c r="AT71" i="27"/>
  <c r="AS164" i="27"/>
  <c r="AT163" i="27"/>
  <c r="AQ72" i="27"/>
  <c r="AS157" i="27"/>
  <c r="AQ60" i="27"/>
  <c r="AS22" i="27"/>
  <c r="AS9" i="27"/>
  <c r="AQ100" i="27"/>
  <c r="AS138" i="27"/>
  <c r="AR78" i="27"/>
  <c r="AR148" i="27"/>
  <c r="AQ111" i="27"/>
  <c r="AT76" i="27"/>
  <c r="AT139" i="27"/>
  <c r="AR165" i="27"/>
  <c r="AT169" i="27"/>
  <c r="AR86" i="27"/>
  <c r="AQ108" i="27"/>
  <c r="AS31" i="27"/>
  <c r="AS168" i="27"/>
  <c r="AS92" i="27"/>
  <c r="AT48" i="27"/>
  <c r="AT99" i="27"/>
  <c r="AQ143" i="27"/>
  <c r="AS60" i="27"/>
  <c r="AQ5" i="27"/>
  <c r="AQ22" i="27"/>
  <c r="AS47" i="27"/>
  <c r="AS27" i="27"/>
  <c r="AQ69" i="27"/>
  <c r="AS8" i="27"/>
  <c r="AQ18" i="27"/>
  <c r="AS152" i="27"/>
  <c r="AR102" i="27"/>
  <c r="AQ44" i="27"/>
  <c r="AT57" i="27"/>
  <c r="AR138" i="27"/>
  <c r="AS25" i="27"/>
  <c r="AS87" i="27"/>
  <c r="AS45" i="27"/>
  <c r="AS15" i="27"/>
  <c r="AQ110" i="27"/>
  <c r="AS126" i="27"/>
  <c r="AT46" i="27"/>
  <c r="AQ65" i="27"/>
  <c r="AQ116" i="27"/>
  <c r="AR93" i="27"/>
  <c r="AS170" i="27"/>
  <c r="AS111" i="27"/>
  <c r="AS73" i="27"/>
  <c r="AR76" i="27"/>
  <c r="AT131" i="27"/>
  <c r="AS129" i="27"/>
  <c r="AR62" i="27"/>
  <c r="AR119" i="27"/>
  <c r="AQ84" i="27"/>
  <c r="AQ165" i="27"/>
  <c r="AR50" i="27"/>
  <c r="AR43" i="27"/>
  <c r="AS167" i="27"/>
  <c r="AT136" i="27"/>
  <c r="AT142" i="27"/>
  <c r="AQ86" i="27"/>
  <c r="AR113" i="27"/>
  <c r="AS75" i="27"/>
  <c r="AR178" i="27"/>
  <c r="AS173" i="27"/>
  <c r="AQ109" i="27"/>
  <c r="AQ90" i="27"/>
  <c r="AR23" i="27"/>
  <c r="AT114" i="27"/>
  <c r="AR180" i="27"/>
  <c r="AS85" i="27"/>
  <c r="AQ13" i="27"/>
  <c r="AQ59" i="27"/>
  <c r="AQ159" i="27"/>
  <c r="AQ97" i="27"/>
  <c r="AQ98" i="27"/>
  <c r="AT21" i="27"/>
  <c r="AT145" i="27"/>
  <c r="AR144" i="27"/>
  <c r="AT154" i="27"/>
  <c r="AQ42" i="27"/>
  <c r="AT41" i="27"/>
  <c r="AR34" i="27"/>
  <c r="AT137" i="27"/>
  <c r="AS91" i="27"/>
  <c r="AS107" i="27"/>
  <c r="AQ19" i="27"/>
  <c r="AQ133" i="27"/>
  <c r="AR132" i="27"/>
  <c r="AT149" i="27"/>
  <c r="AQ16" i="27"/>
  <c r="AQ39" i="27"/>
  <c r="AQ3" i="27"/>
  <c r="S181" i="27"/>
  <c r="AS134" i="27"/>
  <c r="AT6" i="27"/>
  <c r="AS101" i="27"/>
  <c r="AS151" i="27"/>
  <c r="AS179" i="27"/>
  <c r="AS153" i="27"/>
  <c r="AQ14" i="27"/>
  <c r="AS124" i="27"/>
  <c r="AQ112" i="27"/>
  <c r="AS67" i="27"/>
  <c r="AQ24" i="27"/>
  <c r="AS53" i="27"/>
  <c r="AS176" i="27"/>
  <c r="AQ157" i="27"/>
  <c r="AQ121" i="27"/>
  <c r="AQ129" i="27"/>
  <c r="AQ177" i="27"/>
  <c r="AS30" i="27"/>
  <c r="AQ168" i="27"/>
  <c r="AR48" i="27"/>
  <c r="AQ7" i="27"/>
  <c r="AR99" i="27"/>
  <c r="AS143" i="27"/>
  <c r="AR5" i="27"/>
  <c r="AR95" i="27"/>
  <c r="AR22" i="27"/>
  <c r="AQ47" i="27"/>
  <c r="AR69" i="27"/>
  <c r="AQ150" i="27"/>
  <c r="AT8" i="27"/>
  <c r="AT18" i="27"/>
  <c r="AS102" i="27"/>
  <c r="AS28" i="27"/>
  <c r="AS44" i="27"/>
  <c r="AR57" i="27"/>
  <c r="AT25" i="27"/>
  <c r="AT49" i="27"/>
  <c r="AQ87" i="27"/>
  <c r="AT45" i="27"/>
  <c r="AR110" i="27"/>
  <c r="AQ20" i="27"/>
  <c r="AT126" i="27"/>
  <c r="AS46" i="27"/>
  <c r="AR116" i="27"/>
  <c r="AQ26" i="27"/>
  <c r="AS93" i="27"/>
  <c r="AR170" i="27"/>
  <c r="AT73" i="27"/>
  <c r="AQ80" i="27"/>
  <c r="AS76" i="27"/>
  <c r="AR131" i="27"/>
  <c r="AS62" i="27"/>
  <c r="AT17" i="27"/>
  <c r="AS119" i="27"/>
  <c r="AR84" i="27"/>
  <c r="AS50" i="27"/>
  <c r="AS160" i="27"/>
  <c r="AS43" i="27"/>
  <c r="AT167" i="27"/>
  <c r="AR142" i="27"/>
  <c r="AS29" i="27"/>
  <c r="AS86" i="27"/>
  <c r="AS113" i="27"/>
  <c r="AS178" i="27"/>
  <c r="AT33" i="27"/>
  <c r="AT173" i="27"/>
  <c r="AS109" i="27"/>
  <c r="AS23" i="27"/>
  <c r="AS52" i="27"/>
  <c r="AR114" i="27"/>
  <c r="AT180" i="27"/>
  <c r="AR13" i="27"/>
  <c r="AR159" i="27"/>
  <c r="AR120" i="27"/>
  <c r="AR97" i="27"/>
  <c r="AR98" i="27"/>
  <c r="AR145" i="27"/>
  <c r="AT96" i="27"/>
  <c r="AS144" i="27"/>
  <c r="AR154" i="27"/>
  <c r="AS41" i="27"/>
  <c r="AR38" i="27"/>
  <c r="AT34" i="27"/>
  <c r="AR137" i="27"/>
  <c r="AT107" i="27"/>
  <c r="AR19" i="27"/>
  <c r="AQ83" i="27"/>
  <c r="AT133" i="27"/>
  <c r="AT132" i="27"/>
  <c r="AT16" i="27"/>
  <c r="AS4" i="27"/>
  <c r="AR39" i="27"/>
  <c r="U181" i="27"/>
  <c r="AS3" i="27"/>
  <c r="AQ6" i="27"/>
  <c r="AR175" i="27"/>
  <c r="AQ101" i="27"/>
  <c r="AR171" i="27"/>
  <c r="AT151" i="27"/>
  <c r="AR179" i="27"/>
  <c r="AT14" i="27"/>
  <c r="AR162" i="27"/>
  <c r="AT124" i="27"/>
  <c r="AT112" i="27"/>
  <c r="AT24" i="27"/>
  <c r="AT81" i="27"/>
  <c r="AQ53" i="27"/>
  <c r="AR176" i="27"/>
  <c r="AT63" i="27"/>
  <c r="AR123" i="27"/>
  <c r="AT100" i="27"/>
  <c r="AT148" i="27"/>
  <c r="AR54" i="27"/>
  <c r="AS64" i="27"/>
  <c r="AR63" i="27"/>
  <c r="AQ95" i="27"/>
  <c r="AS69" i="27"/>
  <c r="AT56" i="27"/>
  <c r="AT28" i="27"/>
  <c r="AS57" i="27"/>
  <c r="AR25" i="27"/>
  <c r="AR49" i="27"/>
  <c r="AQ45" i="27"/>
  <c r="AR35" i="27"/>
  <c r="AS110" i="27"/>
  <c r="AT20" i="27"/>
  <c r="AQ46" i="27"/>
  <c r="AT51" i="27"/>
  <c r="AS116" i="27"/>
  <c r="AT26" i="27"/>
  <c r="AQ170" i="27"/>
  <c r="AS10" i="27"/>
  <c r="AT80" i="27"/>
  <c r="AS131" i="27"/>
  <c r="AS54" i="27"/>
  <c r="AT62" i="27"/>
  <c r="AR17" i="27"/>
  <c r="AS84" i="27"/>
  <c r="AQ89" i="27"/>
  <c r="AT50" i="27"/>
  <c r="AR160" i="27"/>
  <c r="AQ167" i="27"/>
  <c r="AQ103" i="27"/>
  <c r="AS142" i="27"/>
  <c r="AT29" i="27"/>
  <c r="AQ113" i="27"/>
  <c r="AT88" i="27"/>
  <c r="AQ178" i="27"/>
  <c r="AQ33" i="27"/>
  <c r="AT109" i="27"/>
  <c r="AR156" i="27"/>
  <c r="AT23" i="27"/>
  <c r="AT52" i="27"/>
  <c r="AS180" i="27"/>
  <c r="AS13" i="27"/>
  <c r="AQ155" i="27"/>
  <c r="AT159" i="27"/>
  <c r="AS120" i="27"/>
  <c r="AS98" i="27"/>
  <c r="AQ58" i="27"/>
  <c r="AS145" i="27"/>
  <c r="AR96" i="27"/>
  <c r="AS154" i="27"/>
  <c r="AT77" i="27"/>
  <c r="AQ41" i="27"/>
  <c r="AT38" i="27"/>
  <c r="AS137" i="27"/>
  <c r="AQ79" i="27"/>
  <c r="AR107" i="27"/>
  <c r="AT140" i="27"/>
  <c r="AS19" i="27"/>
  <c r="AS83" i="27"/>
  <c r="AQ132" i="27"/>
  <c r="AT94" i="27"/>
  <c r="AS16" i="27"/>
  <c r="AT4" i="27"/>
  <c r="AR3" i="27"/>
  <c r="T181" i="27"/>
  <c r="T183" i="27" s="1"/>
  <c r="AQ115" i="27"/>
  <c r="AR6" i="27"/>
  <c r="AT175" i="27"/>
  <c r="AS171" i="27"/>
  <c r="AT179" i="27"/>
  <c r="AS12" i="27"/>
  <c r="AS14" i="27"/>
  <c r="AS162" i="27"/>
  <c r="AR112" i="27"/>
  <c r="AQ64" i="27"/>
  <c r="AS24" i="27"/>
  <c r="AS81" i="27"/>
  <c r="AQ176" i="27"/>
  <c r="AR32" i="27"/>
  <c r="AT138" i="27"/>
  <c r="AT15" i="27"/>
  <c r="AS11" i="27"/>
  <c r="AQ40" i="27"/>
  <c r="AQ122" i="27"/>
  <c r="AS156" i="27"/>
  <c r="AQ118" i="27"/>
  <c r="AQ21" i="27"/>
  <c r="AR42" i="27"/>
  <c r="AS68" i="27"/>
  <c r="AR141" i="27"/>
  <c r="AQ67" i="27"/>
  <c r="AR168" i="27"/>
  <c r="AR7" i="27"/>
  <c r="AQ172" i="27"/>
  <c r="AT47" i="27"/>
  <c r="AT168" i="27"/>
  <c r="AS63" i="27"/>
  <c r="AS7" i="27"/>
  <c r="AS161" i="27"/>
  <c r="AR143" i="27"/>
  <c r="AT172" i="27"/>
  <c r="AT95" i="27"/>
  <c r="AQ123" i="27"/>
  <c r="AR47" i="27"/>
  <c r="AR121" i="27"/>
  <c r="AT150" i="27"/>
  <c r="AR9" i="27"/>
  <c r="AS18" i="27"/>
  <c r="AS56" i="27"/>
  <c r="AR28" i="27"/>
  <c r="AT127" i="27"/>
  <c r="AQ57" i="27"/>
  <c r="AT74" i="27"/>
  <c r="AS49" i="27"/>
  <c r="AT78" i="27"/>
  <c r="AR45" i="27"/>
  <c r="AS35" i="27"/>
  <c r="AR20" i="27"/>
  <c r="AS82" i="27"/>
  <c r="AR46" i="27"/>
  <c r="AR51" i="27"/>
  <c r="AR26" i="27"/>
  <c r="AT70" i="27"/>
  <c r="AT170" i="27"/>
  <c r="AQ10" i="27"/>
  <c r="AR80" i="27"/>
  <c r="AQ135" i="27"/>
  <c r="AQ131" i="27"/>
  <c r="AT54" i="27"/>
  <c r="AQ17" i="27"/>
  <c r="AR130" i="27"/>
  <c r="AT84" i="27"/>
  <c r="AT89" i="27"/>
  <c r="AQ160" i="27"/>
  <c r="AQ169" i="27"/>
  <c r="AR167" i="27"/>
  <c r="AT103" i="27"/>
  <c r="AQ29" i="27"/>
  <c r="AR122" i="27"/>
  <c r="AT113" i="27"/>
  <c r="AS88" i="27"/>
  <c r="AR33" i="27"/>
  <c r="AS177" i="27"/>
  <c r="AR109" i="27"/>
  <c r="AQ156" i="27"/>
  <c r="AQ52" i="27"/>
  <c r="AR174" i="27"/>
  <c r="AQ180" i="27"/>
  <c r="AR118" i="27"/>
  <c r="AT13" i="27"/>
  <c r="AT155" i="27"/>
  <c r="AT120" i="27"/>
  <c r="AQ128" i="27"/>
  <c r="AT98" i="27"/>
  <c r="AT58" i="27"/>
  <c r="AQ96" i="27"/>
  <c r="AT146" i="27"/>
  <c r="AQ154" i="27"/>
  <c r="AR77" i="27"/>
  <c r="AS38" i="27"/>
  <c r="AR106" i="27"/>
  <c r="AQ137" i="27"/>
  <c r="AS79" i="27"/>
  <c r="AQ140" i="27"/>
  <c r="AT83" i="27"/>
  <c r="AR164" i="27"/>
  <c r="AS132" i="27"/>
  <c r="AQ94" i="27"/>
  <c r="AQ4" i="27"/>
  <c r="AR163" i="27"/>
  <c r="AT3" i="27"/>
  <c r="V181" i="27"/>
  <c r="AS115" i="27"/>
  <c r="AS175" i="27"/>
  <c r="AQ147" i="27"/>
  <c r="AT171" i="27"/>
  <c r="AQ117" i="27"/>
  <c r="AQ179" i="27"/>
  <c r="AR12" i="27"/>
  <c r="AQ162" i="27"/>
  <c r="AR30" i="27"/>
  <c r="AS112" i="27"/>
  <c r="AT64" i="27"/>
  <c r="AQ81" i="27"/>
  <c r="AT72" i="27"/>
  <c r="AT176" i="27"/>
  <c r="AQ161" i="27"/>
  <c r="AQ27" i="27"/>
  <c r="AR56" i="27"/>
  <c r="AQ78" i="27"/>
  <c r="AS165" i="27"/>
  <c r="AR136" i="27"/>
  <c r="AT75" i="27"/>
  <c r="AQ166" i="27"/>
  <c r="AR125" i="27"/>
  <c r="AT31" i="27"/>
  <c r="AR79" i="27"/>
  <c r="AS48" i="27"/>
  <c r="AT143" i="27"/>
  <c r="AT5" i="27"/>
  <c r="AT121" i="27"/>
  <c r="AR150" i="27"/>
  <c r="AR18" i="27"/>
  <c r="AT102" i="27"/>
  <c r="AQ74" i="27"/>
  <c r="AR73" i="27"/>
  <c r="AQ63" i="27"/>
  <c r="AR157" i="27"/>
  <c r="AT7" i="27"/>
  <c r="AT161" i="27"/>
  <c r="AR172" i="27"/>
  <c r="AQ32" i="27"/>
  <c r="AS95" i="27"/>
  <c r="AT123" i="27"/>
  <c r="AS121" i="27"/>
  <c r="AS158" i="27"/>
  <c r="AS150" i="27"/>
  <c r="AT9" i="27"/>
  <c r="AQ56" i="27"/>
  <c r="AS100" i="27"/>
  <c r="AQ28" i="27"/>
  <c r="AQ127" i="27"/>
  <c r="AR74" i="27"/>
  <c r="AT66" i="27"/>
  <c r="AQ49" i="27"/>
  <c r="AS78" i="27"/>
  <c r="AT35" i="27"/>
  <c r="AS148" i="27"/>
  <c r="AS20" i="27"/>
  <c r="AQ82" i="27"/>
  <c r="AS51" i="27"/>
  <c r="AR11" i="27"/>
  <c r="AS26" i="27"/>
  <c r="AQ70" i="27"/>
  <c r="AT10" i="27"/>
  <c r="AS40" i="27"/>
  <c r="AS80" i="27"/>
  <c r="AS135" i="27"/>
  <c r="AQ54" i="27"/>
  <c r="AQ139" i="27"/>
  <c r="AS17" i="27"/>
  <c r="AS130" i="27"/>
  <c r="AR89" i="27"/>
  <c r="AR37" i="27"/>
  <c r="AT160" i="27"/>
  <c r="AR169" i="27"/>
  <c r="AR103" i="27"/>
  <c r="AT61" i="27"/>
  <c r="AR29" i="27"/>
  <c r="AT122" i="27"/>
  <c r="AQ88" i="27"/>
  <c r="AT108" i="27"/>
  <c r="AS33" i="27"/>
  <c r="AT177" i="27"/>
  <c r="AT156" i="27"/>
  <c r="AS166" i="27"/>
  <c r="AR52" i="27"/>
  <c r="AQ174" i="27"/>
  <c r="AT118" i="27"/>
  <c r="AR155" i="27"/>
  <c r="AT125" i="27"/>
  <c r="AQ120" i="27"/>
  <c r="AT128" i="27"/>
  <c r="AR58" i="27"/>
  <c r="AR31" i="27"/>
  <c r="AS96" i="27"/>
  <c r="AR146" i="27"/>
  <c r="AS77" i="27"/>
  <c r="AQ104" i="27"/>
  <c r="AQ38" i="27"/>
  <c r="AT106" i="27"/>
  <c r="AT79" i="27"/>
  <c r="AQ71" i="27"/>
  <c r="AR140" i="27"/>
  <c r="AQ68" i="27"/>
  <c r="AR83" i="27"/>
  <c r="AT164" i="27"/>
  <c r="AR94" i="27"/>
  <c r="AT141" i="27"/>
  <c r="AR4" i="27"/>
  <c r="AS163" i="27"/>
  <c r="AT115" i="27"/>
  <c r="AR55" i="27"/>
  <c r="AQ175" i="27"/>
  <c r="AS147" i="27"/>
  <c r="AQ171" i="27"/>
  <c r="AT117" i="27"/>
  <c r="AQ12" i="27"/>
  <c r="AS36" i="27"/>
  <c r="AT162" i="27"/>
  <c r="AT30" i="27"/>
  <c r="AR64" i="27"/>
  <c r="AQ105" i="27"/>
  <c r="AR81" i="27"/>
  <c r="AS72" i="27"/>
  <c r="J47" i="13"/>
  <c r="F47" i="13" s="1"/>
  <c r="H47" i="13" s="1"/>
  <c r="J46" i="13"/>
  <c r="F46" i="13" s="1"/>
  <c r="H46" i="13" s="1"/>
  <c r="E32" i="13"/>
  <c r="E30" i="13"/>
  <c r="Q136" i="27"/>
  <c r="AN136" i="27"/>
  <c r="Q103" i="27"/>
  <c r="AN103" i="27"/>
  <c r="AN3" i="27"/>
  <c r="Q3" i="27"/>
  <c r="Q157" i="27"/>
  <c r="AN157" i="27"/>
  <c r="Q143" i="27"/>
  <c r="AN143" i="27"/>
  <c r="Q32" i="27"/>
  <c r="AN32" i="27"/>
  <c r="Q47" i="27"/>
  <c r="AN47" i="27"/>
  <c r="Q130" i="27"/>
  <c r="AN130" i="27"/>
  <c r="Q88" i="27"/>
  <c r="AN88" i="27"/>
  <c r="AN168" i="27"/>
  <c r="Q168" i="27"/>
  <c r="AN4" i="27"/>
  <c r="Q4" i="27"/>
  <c r="Q159" i="27"/>
  <c r="AN159" i="27"/>
  <c r="Q97" i="27"/>
  <c r="AN97" i="27"/>
  <c r="Q21" i="27"/>
  <c r="AN21" i="27"/>
  <c r="Q31" i="27"/>
  <c r="AN31" i="27"/>
  <c r="Q146" i="27"/>
  <c r="AN146" i="27"/>
  <c r="Q164" i="27"/>
  <c r="AN164" i="27"/>
  <c r="Q25" i="27"/>
  <c r="AN25" i="27"/>
  <c r="AN110" i="27"/>
  <c r="Q110" i="27"/>
  <c r="AN166" i="27"/>
  <c r="Q166" i="27"/>
  <c r="Q59" i="27"/>
  <c r="AN59" i="27"/>
  <c r="Q71" i="27"/>
  <c r="AN71" i="27"/>
  <c r="Q169" i="27"/>
  <c r="AN169" i="27"/>
  <c r="Q16" i="27"/>
  <c r="AN16" i="27"/>
  <c r="Q131" i="27"/>
  <c r="AN131" i="27"/>
  <c r="AN150" i="27"/>
  <c r="Q150" i="27"/>
  <c r="Q37" i="27"/>
  <c r="AN37" i="27"/>
  <c r="Q156" i="27"/>
  <c r="AN156" i="27"/>
  <c r="Q101" i="27"/>
  <c r="AN101" i="27"/>
  <c r="Q179" i="27"/>
  <c r="AN179" i="27"/>
  <c r="AN36" i="27"/>
  <c r="Q36" i="27"/>
  <c r="Q112" i="27"/>
  <c r="AN112" i="27"/>
  <c r="Q105" i="27"/>
  <c r="AN105" i="27"/>
  <c r="AN142" i="27"/>
  <c r="Q142" i="27"/>
  <c r="Q49" i="27"/>
  <c r="AN49" i="27"/>
  <c r="Q118" i="27"/>
  <c r="AN118" i="27"/>
  <c r="AN116" i="27"/>
  <c r="Q116" i="27"/>
  <c r="Q70" i="27"/>
  <c r="AN70" i="27"/>
  <c r="Q18" i="27"/>
  <c r="AN18" i="27"/>
  <c r="Q56" i="27"/>
  <c r="AN56" i="27"/>
  <c r="AN28" i="27"/>
  <c r="Q28" i="27"/>
  <c r="Q66" i="27"/>
  <c r="AN66" i="27"/>
  <c r="Q75" i="27"/>
  <c r="AN75" i="27"/>
  <c r="Q61" i="27"/>
  <c r="AN61" i="27"/>
  <c r="Q53" i="27"/>
  <c r="AN53" i="27"/>
  <c r="AN163" i="27"/>
  <c r="Q163" i="27"/>
  <c r="Q134" i="27"/>
  <c r="AN134" i="27"/>
  <c r="Q7" i="27"/>
  <c r="AN7" i="27"/>
  <c r="Q60" i="27"/>
  <c r="AN60" i="27"/>
  <c r="Q95" i="27"/>
  <c r="AN95" i="27"/>
  <c r="AN27" i="27"/>
  <c r="Q27" i="27"/>
  <c r="Q165" i="27"/>
  <c r="AN165" i="27"/>
  <c r="AN173" i="27"/>
  <c r="Q173" i="27"/>
  <c r="AN92" i="27"/>
  <c r="Q92" i="27"/>
  <c r="AD181" i="27"/>
  <c r="AD183" i="27" s="1"/>
  <c r="AN63" i="27"/>
  <c r="Q63" i="27"/>
  <c r="Q125" i="27"/>
  <c r="AN125" i="27"/>
  <c r="AN91" i="27"/>
  <c r="Q91" i="27"/>
  <c r="AN58" i="27"/>
  <c r="Q58" i="27"/>
  <c r="Q96" i="27"/>
  <c r="AN96" i="27"/>
  <c r="Q167" i="27"/>
  <c r="AN167" i="27"/>
  <c r="AN51" i="27"/>
  <c r="Q51" i="27"/>
  <c r="Q89" i="27"/>
  <c r="AN89" i="27"/>
  <c r="Q122" i="27"/>
  <c r="AN122" i="27"/>
  <c r="Q114" i="27"/>
  <c r="AN114" i="27"/>
  <c r="AN8" i="27"/>
  <c r="Q8" i="27"/>
  <c r="AN149" i="27"/>
  <c r="Q149" i="27"/>
  <c r="Q140" i="27"/>
  <c r="AN140" i="27"/>
  <c r="AN19" i="27"/>
  <c r="Q19" i="27"/>
  <c r="AN104" i="27"/>
  <c r="Q104" i="27"/>
  <c r="Q175" i="27"/>
  <c r="AN175" i="27"/>
  <c r="Q35" i="27"/>
  <c r="AN35" i="27"/>
  <c r="AN180" i="27"/>
  <c r="Q180" i="27"/>
  <c r="Q171" i="27"/>
  <c r="AN171" i="27"/>
  <c r="Q153" i="27"/>
  <c r="AN153" i="27"/>
  <c r="Q162" i="27"/>
  <c r="AN162" i="27"/>
  <c r="Q67" i="27"/>
  <c r="AN67" i="27"/>
  <c r="Q81" i="27"/>
  <c r="AN81" i="27"/>
  <c r="Q176" i="27"/>
  <c r="AN176" i="27"/>
  <c r="Q15" i="27"/>
  <c r="AN15" i="27"/>
  <c r="Q6" i="27"/>
  <c r="AN6" i="27"/>
  <c r="Q11" i="27"/>
  <c r="AN11" i="27"/>
  <c r="Q170" i="27"/>
  <c r="AN170" i="27"/>
  <c r="Q73" i="27"/>
  <c r="AN73" i="27"/>
  <c r="AN80" i="27"/>
  <c r="Q80" i="27"/>
  <c r="Q76" i="27"/>
  <c r="AN76" i="27"/>
  <c r="Q50" i="27"/>
  <c r="AN50" i="27"/>
  <c r="Q177" i="27"/>
  <c r="AN177" i="27"/>
  <c r="Q29" i="27"/>
  <c r="AN29" i="27"/>
  <c r="Q82" i="27"/>
  <c r="AN82" i="27"/>
  <c r="Q46" i="27"/>
  <c r="AN46" i="27"/>
  <c r="AN44" i="27"/>
  <c r="Q44" i="27"/>
  <c r="AN99" i="27"/>
  <c r="Q99" i="27"/>
  <c r="AN172" i="27"/>
  <c r="Q172" i="27"/>
  <c r="Q22" i="27"/>
  <c r="AN22" i="27"/>
  <c r="Q69" i="27"/>
  <c r="AN69" i="27"/>
  <c r="AN135" i="27"/>
  <c r="Q135" i="27"/>
  <c r="Q90" i="27"/>
  <c r="AN90" i="27"/>
  <c r="AN147" i="27"/>
  <c r="Q147" i="27"/>
  <c r="Q17" i="27"/>
  <c r="AN17" i="27"/>
  <c r="Q106" i="27"/>
  <c r="AN106" i="27"/>
  <c r="Q137" i="27"/>
  <c r="AN137" i="27"/>
  <c r="Q128" i="27"/>
  <c r="AN128" i="27"/>
  <c r="Q145" i="27"/>
  <c r="AN145" i="27"/>
  <c r="Q144" i="27"/>
  <c r="AN144" i="27"/>
  <c r="Q133" i="27"/>
  <c r="AN133" i="27"/>
  <c r="Q139" i="27"/>
  <c r="AN139" i="27"/>
  <c r="Q78" i="27"/>
  <c r="AN78" i="27"/>
  <c r="Q178" i="27"/>
  <c r="AN178" i="27"/>
  <c r="Q38" i="27"/>
  <c r="AN38" i="27"/>
  <c r="AN9" i="27"/>
  <c r="Q9" i="27"/>
  <c r="AN42" i="27"/>
  <c r="Q42" i="27"/>
  <c r="AN94" i="27"/>
  <c r="Q94" i="27"/>
  <c r="AN41" i="27"/>
  <c r="Q41" i="27"/>
  <c r="Q141" i="27"/>
  <c r="AN141" i="27"/>
  <c r="Q84" i="27"/>
  <c r="AN84" i="27"/>
  <c r="Q113" i="27"/>
  <c r="AN113" i="27"/>
  <c r="Q57" i="27"/>
  <c r="AN57" i="27"/>
  <c r="Q151" i="27"/>
  <c r="AN151" i="27"/>
  <c r="Q12" i="27"/>
  <c r="AN12" i="27"/>
  <c r="Q124" i="27"/>
  <c r="AN124" i="27"/>
  <c r="Q64" i="27"/>
  <c r="AN64" i="27"/>
  <c r="Q39" i="27"/>
  <c r="AN39" i="27"/>
  <c r="Q121" i="27"/>
  <c r="AN121" i="27"/>
  <c r="Q86" i="27"/>
  <c r="AN86" i="27"/>
  <c r="Q55" i="27"/>
  <c r="AN55" i="27"/>
  <c r="Q132" i="27"/>
  <c r="AN132" i="27"/>
  <c r="Q26" i="27"/>
  <c r="AN26" i="27"/>
  <c r="Q111" i="27"/>
  <c r="AN111" i="27"/>
  <c r="Q152" i="27"/>
  <c r="AN152" i="27"/>
  <c r="Q102" i="27"/>
  <c r="AN102" i="27"/>
  <c r="AN138" i="27"/>
  <c r="Q138" i="27"/>
  <c r="Q45" i="27"/>
  <c r="AN45" i="27"/>
  <c r="Q23" i="27"/>
  <c r="AN23" i="27"/>
  <c r="Q129" i="27"/>
  <c r="AN129" i="27"/>
  <c r="Q83" i="27"/>
  <c r="AN83" i="27"/>
  <c r="Q54" i="27"/>
  <c r="AN54" i="27"/>
  <c r="Q34" i="27"/>
  <c r="AN34" i="27"/>
  <c r="Q161" i="27"/>
  <c r="AN161" i="27"/>
  <c r="Q5" i="27"/>
  <c r="AN5" i="27"/>
  <c r="Q123" i="27"/>
  <c r="AN123" i="27"/>
  <c r="Q158" i="27"/>
  <c r="AN158" i="27"/>
  <c r="Q43" i="27"/>
  <c r="AN43" i="27"/>
  <c r="AN52" i="27"/>
  <c r="Q52" i="27"/>
  <c r="AN85" i="27"/>
  <c r="Q85" i="27"/>
  <c r="Q127" i="27"/>
  <c r="AN127" i="27"/>
  <c r="Q155" i="27"/>
  <c r="AN155" i="27"/>
  <c r="Q120" i="27"/>
  <c r="AN120" i="27"/>
  <c r="AN98" i="27"/>
  <c r="Q98" i="27"/>
  <c r="Q79" i="27"/>
  <c r="AN79" i="27"/>
  <c r="Q107" i="27"/>
  <c r="AN107" i="27"/>
  <c r="AN62" i="27"/>
  <c r="Q62" i="27"/>
  <c r="Q115" i="27"/>
  <c r="AN115" i="27"/>
  <c r="Q160" i="27"/>
  <c r="AN160" i="27"/>
  <c r="Q109" i="27"/>
  <c r="D56" i="14" s="1"/>
  <c r="AN109" i="27"/>
  <c r="Q13" i="27"/>
  <c r="AN13" i="27"/>
  <c r="AN68" i="27"/>
  <c r="Q68" i="27"/>
  <c r="Q20" i="27"/>
  <c r="AN20" i="27"/>
  <c r="Q77" i="27"/>
  <c r="AN77" i="27"/>
  <c r="Q126" i="27"/>
  <c r="AN126" i="27"/>
  <c r="Q65" i="27"/>
  <c r="AN65" i="27"/>
  <c r="Q87" i="27"/>
  <c r="AN87" i="27"/>
  <c r="Q33" i="27"/>
  <c r="AN33" i="27"/>
  <c r="Q48" i="27"/>
  <c r="AN48" i="27"/>
  <c r="Q117" i="27"/>
  <c r="AN117" i="27"/>
  <c r="AN14" i="27"/>
  <c r="Q14" i="27"/>
  <c r="Q30" i="27"/>
  <c r="AN30" i="27"/>
  <c r="Q24" i="27"/>
  <c r="AN24" i="27"/>
  <c r="Q72" i="27"/>
  <c r="AN72" i="27"/>
  <c r="AN74" i="27"/>
  <c r="Q74" i="27"/>
  <c r="Q108" i="27"/>
  <c r="AN108" i="27"/>
  <c r="Q154" i="27"/>
  <c r="AN154" i="27"/>
  <c r="Q93" i="27"/>
  <c r="AN93" i="27"/>
  <c r="AN10" i="27"/>
  <c r="Q10" i="27"/>
  <c r="Q40" i="27"/>
  <c r="AN40" i="27"/>
  <c r="Q100" i="27"/>
  <c r="AN100" i="27"/>
  <c r="Q119" i="27"/>
  <c r="AN119" i="27"/>
  <c r="AN148" i="27"/>
  <c r="Q148" i="27"/>
  <c r="Q174" i="27"/>
  <c r="AN174" i="27"/>
  <c r="P181" i="27"/>
  <c r="E31" i="13"/>
  <c r="J41" i="13"/>
  <c r="L41" i="13" s="1"/>
  <c r="F41" i="13" s="1"/>
  <c r="E48" i="14" s="1"/>
  <c r="J43" i="13"/>
  <c r="E33" i="13"/>
  <c r="J40" i="13"/>
  <c r="L40" i="13" s="1"/>
  <c r="M40" i="13" s="1"/>
  <c r="J45" i="13"/>
  <c r="F45" i="13" s="1"/>
  <c r="H45" i="13" s="1"/>
  <c r="E26" i="14"/>
  <c r="J44" i="13"/>
  <c r="F44" i="13" s="1"/>
  <c r="E34" i="13"/>
  <c r="J51" i="13"/>
  <c r="L51" i="13" s="1"/>
  <c r="F51" i="13" s="1"/>
  <c r="E53" i="14" s="1"/>
  <c r="X83" i="13"/>
  <c r="AC83" i="13" s="1"/>
  <c r="AD83" i="13" s="1"/>
  <c r="C71" i="14"/>
  <c r="C66" i="14"/>
  <c r="D87" i="13" s="1"/>
  <c r="C64" i="14"/>
  <c r="D81" i="13" s="1"/>
  <c r="C62" i="14"/>
  <c r="C60" i="14"/>
  <c r="C58" i="14"/>
  <c r="D60" i="13" s="1"/>
  <c r="C53" i="14"/>
  <c r="D51" i="13" s="1"/>
  <c r="D49" i="13"/>
  <c r="F105" i="13" s="1"/>
  <c r="C48" i="14"/>
  <c r="D41" i="13" s="1"/>
  <c r="C46" i="14"/>
  <c r="D40" i="13" s="1"/>
  <c r="C40" i="14"/>
  <c r="D34" i="13" s="1"/>
  <c r="C38" i="14"/>
  <c r="D33" i="13" s="1"/>
  <c r="C35" i="14"/>
  <c r="D32" i="13" s="1"/>
  <c r="C33" i="14"/>
  <c r="D31" i="13" s="1"/>
  <c r="C31" i="14"/>
  <c r="D30" i="13" s="1"/>
  <c r="H41" i="13" l="1"/>
  <c r="M41" i="13"/>
  <c r="F43" i="13"/>
  <c r="M87" i="13"/>
  <c r="M81" i="13"/>
  <c r="E81" i="13" s="1"/>
  <c r="E82" i="13" s="1"/>
  <c r="M59" i="13"/>
  <c r="E59" i="13" s="1"/>
  <c r="M66" i="13"/>
  <c r="E98" i="13"/>
  <c r="E64" i="14"/>
  <c r="M51" i="13"/>
  <c r="M46" i="13"/>
  <c r="E46" i="13" s="1"/>
  <c r="G46" i="13" s="1"/>
  <c r="E99" i="13"/>
  <c r="C36" i="22"/>
  <c r="E66" i="14"/>
  <c r="M45" i="13"/>
  <c r="E60" i="14"/>
  <c r="E96" i="13"/>
  <c r="H59" i="13"/>
  <c r="F60" i="13"/>
  <c r="E95" i="13" s="1"/>
  <c r="L53" i="13"/>
  <c r="F40" i="13"/>
  <c r="M73" i="13"/>
  <c r="E73" i="13" s="1"/>
  <c r="M47" i="13"/>
  <c r="E47" i="13" s="1"/>
  <c r="G47" i="13" s="1"/>
  <c r="M44" i="13"/>
  <c r="P365" i="27"/>
  <c r="S365" i="27"/>
  <c r="T365" i="27"/>
  <c r="V365" i="27"/>
  <c r="U365" i="27"/>
  <c r="S182" i="27"/>
  <c r="S183" i="27" s="1"/>
  <c r="V182" i="27"/>
  <c r="V183" i="27" s="1"/>
  <c r="U182" i="27"/>
  <c r="D82" i="13"/>
  <c r="D98" i="13" s="1"/>
  <c r="H33" i="13"/>
  <c r="D95" i="13"/>
  <c r="H87" i="13"/>
  <c r="H81" i="13"/>
  <c r="W54" i="27"/>
  <c r="AO54" i="27"/>
  <c r="AO9" i="27"/>
  <c r="W9" i="27"/>
  <c r="AO135" i="27"/>
  <c r="W135" i="27"/>
  <c r="W75" i="27"/>
  <c r="AO75" i="27"/>
  <c r="W131" i="27"/>
  <c r="AO131" i="27"/>
  <c r="W164" i="27"/>
  <c r="AO164" i="27"/>
  <c r="W157" i="27"/>
  <c r="AO157" i="27"/>
  <c r="W174" i="27"/>
  <c r="AO174" i="27"/>
  <c r="W115" i="27"/>
  <c r="AO115" i="27"/>
  <c r="W158" i="27"/>
  <c r="AO158" i="27"/>
  <c r="W111" i="27"/>
  <c r="AO111" i="27"/>
  <c r="W55" i="27"/>
  <c r="AO55" i="27"/>
  <c r="W39" i="27"/>
  <c r="AO39" i="27"/>
  <c r="W12" i="27"/>
  <c r="AO12" i="27"/>
  <c r="AO41" i="27"/>
  <c r="W41" i="27"/>
  <c r="W78" i="27"/>
  <c r="AO78" i="27"/>
  <c r="AO147" i="27"/>
  <c r="W147" i="27"/>
  <c r="AO172" i="27"/>
  <c r="W172" i="27"/>
  <c r="W81" i="27"/>
  <c r="AO81" i="27"/>
  <c r="W89" i="27"/>
  <c r="AO89" i="27"/>
  <c r="AO27" i="27"/>
  <c r="W27" i="27"/>
  <c r="W118" i="27"/>
  <c r="AO118" i="27"/>
  <c r="W71" i="27"/>
  <c r="AO71" i="27"/>
  <c r="W110" i="27"/>
  <c r="AO110" i="27"/>
  <c r="W21" i="27"/>
  <c r="AO21" i="27"/>
  <c r="AO4" i="27"/>
  <c r="W4" i="27"/>
  <c r="W88" i="27"/>
  <c r="AO88" i="27"/>
  <c r="W32" i="27"/>
  <c r="AO32" i="27"/>
  <c r="W3" i="27"/>
  <c r="AO3" i="27"/>
  <c r="Q181" i="27"/>
  <c r="W74" i="27"/>
  <c r="AO74" i="27"/>
  <c r="W13" i="27"/>
  <c r="AO13" i="27"/>
  <c r="W165" i="27"/>
  <c r="AO165" i="27"/>
  <c r="W100" i="27"/>
  <c r="AO100" i="27"/>
  <c r="W93" i="27"/>
  <c r="AO93" i="27"/>
  <c r="W30" i="27"/>
  <c r="AO30" i="27"/>
  <c r="W48" i="27"/>
  <c r="AO48" i="27"/>
  <c r="AO65" i="27"/>
  <c r="W65" i="27"/>
  <c r="W79" i="27"/>
  <c r="AO79" i="27"/>
  <c r="W155" i="27"/>
  <c r="AO155" i="27"/>
  <c r="AO52" i="27"/>
  <c r="W52" i="27"/>
  <c r="W161" i="27"/>
  <c r="AO161" i="27"/>
  <c r="W83" i="27"/>
  <c r="AO83" i="27"/>
  <c r="W23" i="27"/>
  <c r="AO23" i="27"/>
  <c r="W113" i="27"/>
  <c r="AO113" i="27"/>
  <c r="W144" i="27"/>
  <c r="AO144" i="27"/>
  <c r="W137" i="27"/>
  <c r="AO137" i="27"/>
  <c r="W46" i="27"/>
  <c r="AO46" i="27"/>
  <c r="W76" i="27"/>
  <c r="AO76" i="27"/>
  <c r="W153" i="27"/>
  <c r="AO153" i="27"/>
  <c r="W35" i="27"/>
  <c r="AO35" i="27"/>
  <c r="AO19" i="27"/>
  <c r="W19" i="27"/>
  <c r="W96" i="27"/>
  <c r="AO96" i="27"/>
  <c r="AO92" i="27"/>
  <c r="W92" i="27"/>
  <c r="AO7" i="27"/>
  <c r="W7" i="27"/>
  <c r="W53" i="27"/>
  <c r="AO53" i="27"/>
  <c r="W66" i="27"/>
  <c r="AO66" i="27"/>
  <c r="W18" i="27"/>
  <c r="AO18" i="27"/>
  <c r="W105" i="27"/>
  <c r="AO105" i="27"/>
  <c r="W179" i="27"/>
  <c r="AO179" i="27"/>
  <c r="W37" i="27"/>
  <c r="AO37" i="27"/>
  <c r="W77" i="27"/>
  <c r="AO77" i="27"/>
  <c r="W120" i="27"/>
  <c r="AO120" i="27"/>
  <c r="W20" i="27"/>
  <c r="AO20" i="27"/>
  <c r="W109" i="27"/>
  <c r="AO109" i="27"/>
  <c r="W62" i="27"/>
  <c r="AO62" i="27"/>
  <c r="W102" i="27"/>
  <c r="AO102" i="27"/>
  <c r="W26" i="27"/>
  <c r="AO26" i="27"/>
  <c r="W64" i="27"/>
  <c r="AO64" i="27"/>
  <c r="W170" i="27"/>
  <c r="AO170" i="27"/>
  <c r="AO15" i="27"/>
  <c r="W15" i="27"/>
  <c r="AO51" i="27"/>
  <c r="W51" i="27"/>
  <c r="W125" i="27"/>
  <c r="AO125" i="27"/>
  <c r="AO28" i="27"/>
  <c r="W28" i="27"/>
  <c r="W16" i="27"/>
  <c r="AO16" i="27"/>
  <c r="W146" i="27"/>
  <c r="AO146" i="27"/>
  <c r="W130" i="27"/>
  <c r="AO130" i="27"/>
  <c r="W73" i="27"/>
  <c r="AO73" i="27"/>
  <c r="AO6" i="27"/>
  <c r="W6" i="27"/>
  <c r="AO8" i="27"/>
  <c r="W8" i="27"/>
  <c r="AO148" i="27"/>
  <c r="W148" i="27"/>
  <c r="W154" i="27"/>
  <c r="AO154" i="27"/>
  <c r="W72" i="27"/>
  <c r="AO72" i="27"/>
  <c r="W14" i="27"/>
  <c r="AO14" i="27"/>
  <c r="AO68" i="27"/>
  <c r="W68" i="27"/>
  <c r="W98" i="27"/>
  <c r="AO98" i="27"/>
  <c r="W123" i="27"/>
  <c r="AO123" i="27"/>
  <c r="W129" i="27"/>
  <c r="AO129" i="27"/>
  <c r="W86" i="27"/>
  <c r="AO86" i="27"/>
  <c r="AO151" i="27"/>
  <c r="W151" i="27"/>
  <c r="W84" i="27"/>
  <c r="AO84" i="27"/>
  <c r="W94" i="27"/>
  <c r="AO94" i="27"/>
  <c r="W38" i="27"/>
  <c r="AO38" i="27"/>
  <c r="W139" i="27"/>
  <c r="AO139" i="27"/>
  <c r="W106" i="27"/>
  <c r="AO106" i="27"/>
  <c r="AO69" i="27"/>
  <c r="W69" i="27"/>
  <c r="AO99" i="27"/>
  <c r="W99" i="27"/>
  <c r="W82" i="27"/>
  <c r="AO82" i="27"/>
  <c r="W177" i="27"/>
  <c r="AO177" i="27"/>
  <c r="AO80" i="27"/>
  <c r="W80" i="27"/>
  <c r="W67" i="27"/>
  <c r="AO67" i="27"/>
  <c r="W171" i="27"/>
  <c r="AO171" i="27"/>
  <c r="W114" i="27"/>
  <c r="AO114" i="27"/>
  <c r="W58" i="27"/>
  <c r="AO58" i="27"/>
  <c r="W134" i="27"/>
  <c r="AO134" i="27"/>
  <c r="W70" i="27"/>
  <c r="AO70" i="27"/>
  <c r="W49" i="27"/>
  <c r="AO49" i="27"/>
  <c r="AO150" i="27"/>
  <c r="W150" i="27"/>
  <c r="W59" i="27"/>
  <c r="AO59" i="27"/>
  <c r="W97" i="27"/>
  <c r="AO97" i="27"/>
  <c r="W143" i="27"/>
  <c r="AO143" i="27"/>
  <c r="W103" i="27"/>
  <c r="AO103" i="27"/>
  <c r="W40" i="27"/>
  <c r="AO40" i="27"/>
  <c r="W33" i="27"/>
  <c r="AO33" i="27"/>
  <c r="W126" i="27"/>
  <c r="AO126" i="27"/>
  <c r="W127" i="27"/>
  <c r="AO127" i="27"/>
  <c r="W34" i="27"/>
  <c r="AO34" i="27"/>
  <c r="W45" i="27"/>
  <c r="AO45" i="27"/>
  <c r="W145" i="27"/>
  <c r="AO145" i="27"/>
  <c r="W11" i="27"/>
  <c r="AO11" i="27"/>
  <c r="W175" i="27"/>
  <c r="AO175" i="27"/>
  <c r="W140" i="27"/>
  <c r="AO140" i="27"/>
  <c r="AO63" i="27"/>
  <c r="W63" i="27"/>
  <c r="AO173" i="27"/>
  <c r="W173" i="27"/>
  <c r="W95" i="27"/>
  <c r="AO95" i="27"/>
  <c r="W61" i="27"/>
  <c r="AO61" i="27"/>
  <c r="AO116" i="27"/>
  <c r="W116" i="27"/>
  <c r="AO112" i="27"/>
  <c r="W112" i="27"/>
  <c r="W101" i="27"/>
  <c r="AO101" i="27"/>
  <c r="W25" i="27"/>
  <c r="AO25" i="27"/>
  <c r="W168" i="27"/>
  <c r="AO168" i="27"/>
  <c r="AO128" i="27"/>
  <c r="W128" i="27"/>
  <c r="W160" i="27"/>
  <c r="AO160" i="27"/>
  <c r="W43" i="27"/>
  <c r="AO43" i="27"/>
  <c r="W152" i="27"/>
  <c r="AO152" i="27"/>
  <c r="W132" i="27"/>
  <c r="AO132" i="27"/>
  <c r="W121" i="27"/>
  <c r="AO121" i="27"/>
  <c r="W124" i="27"/>
  <c r="AO124" i="27"/>
  <c r="AO42" i="27"/>
  <c r="W42" i="27"/>
  <c r="W90" i="27"/>
  <c r="AO90" i="27"/>
  <c r="AO44" i="27"/>
  <c r="W44" i="27"/>
  <c r="W176" i="27"/>
  <c r="AO176" i="27"/>
  <c r="W180" i="27"/>
  <c r="AO180" i="27"/>
  <c r="AO149" i="27"/>
  <c r="W149" i="27"/>
  <c r="AO163" i="27"/>
  <c r="W163" i="27"/>
  <c r="W142" i="27"/>
  <c r="AO142" i="27"/>
  <c r="W169" i="27"/>
  <c r="AO169" i="27"/>
  <c r="W166" i="27"/>
  <c r="AO166" i="27"/>
  <c r="W31" i="27"/>
  <c r="AO31" i="27"/>
  <c r="W47" i="27"/>
  <c r="AO47" i="27"/>
  <c r="AO136" i="27"/>
  <c r="W136" i="27"/>
  <c r="W119" i="27"/>
  <c r="AO119" i="27"/>
  <c r="W10" i="27"/>
  <c r="AO10" i="27"/>
  <c r="W108" i="27"/>
  <c r="AO108" i="27"/>
  <c r="W24" i="27"/>
  <c r="AO24" i="27"/>
  <c r="W117" i="27"/>
  <c r="AO117" i="27"/>
  <c r="W87" i="27"/>
  <c r="AO87" i="27"/>
  <c r="W107" i="27"/>
  <c r="AO107" i="27"/>
  <c r="W85" i="27"/>
  <c r="AO85" i="27"/>
  <c r="W5" i="27"/>
  <c r="AO5" i="27"/>
  <c r="AO138" i="27"/>
  <c r="W138" i="27"/>
  <c r="W57" i="27"/>
  <c r="AO57" i="27"/>
  <c r="AO141" i="27"/>
  <c r="W141" i="27"/>
  <c r="W178" i="27"/>
  <c r="AO178" i="27"/>
  <c r="W133" i="27"/>
  <c r="AO133" i="27"/>
  <c r="W17" i="27"/>
  <c r="AO17" i="27"/>
  <c r="W22" i="27"/>
  <c r="AO22" i="27"/>
  <c r="W29" i="27"/>
  <c r="AO29" i="27"/>
  <c r="W50" i="27"/>
  <c r="AO50" i="27"/>
  <c r="W162" i="27"/>
  <c r="AO162" i="27"/>
  <c r="AO104" i="27"/>
  <c r="W104" i="27"/>
  <c r="W122" i="27"/>
  <c r="AO122" i="27"/>
  <c r="W167" i="27"/>
  <c r="AO167" i="27"/>
  <c r="AO91" i="27"/>
  <c r="W91" i="27"/>
  <c r="W60" i="27"/>
  <c r="AO60" i="27"/>
  <c r="W56" i="27"/>
  <c r="AO56" i="27"/>
  <c r="W36" i="27"/>
  <c r="AO36" i="27"/>
  <c r="W156" i="27"/>
  <c r="AO156" i="27"/>
  <c r="W159" i="27"/>
  <c r="AO159" i="27"/>
  <c r="E35" i="13"/>
  <c r="H31" i="13"/>
  <c r="H32" i="13"/>
  <c r="D66" i="13"/>
  <c r="H66" i="13" s="1"/>
  <c r="E74" i="13"/>
  <c r="D73" i="13"/>
  <c r="D88" i="13"/>
  <c r="H34" i="13"/>
  <c r="K53" i="13"/>
  <c r="AA83" i="13"/>
  <c r="AB83" i="13" s="1"/>
  <c r="B1" i="15"/>
  <c r="C1" i="15" s="1"/>
  <c r="D1" i="15" s="1"/>
  <c r="E1" i="15" s="1"/>
  <c r="F1" i="15" s="1"/>
  <c r="G1" i="15" s="1"/>
  <c r="H1" i="15" s="1"/>
  <c r="I1" i="15" s="1"/>
  <c r="J1" i="15" s="1"/>
  <c r="K1" i="15" s="1"/>
  <c r="L1" i="15" s="1"/>
  <c r="M1" i="15" s="1"/>
  <c r="N1" i="15" s="1"/>
  <c r="O1" i="15" s="1"/>
  <c r="P1" i="15" s="1"/>
  <c r="Q1" i="15" s="1"/>
  <c r="R1" i="15" s="1"/>
  <c r="S1" i="15" s="1"/>
  <c r="T1" i="15" s="1"/>
  <c r="U1" i="15" s="1"/>
  <c r="V1" i="15" s="1"/>
  <c r="W1" i="15" s="1"/>
  <c r="X1" i="15" s="1"/>
  <c r="Y1" i="15" s="1"/>
  <c r="Z1" i="15" s="1"/>
  <c r="C28" i="14"/>
  <c r="D21" i="13" s="1"/>
  <c r="C22" i="14"/>
  <c r="D10" i="13" s="1"/>
  <c r="E14" i="13" s="1"/>
  <c r="B26" i="22" l="1"/>
  <c r="D73" i="14"/>
  <c r="E73" i="14"/>
  <c r="F49" i="13"/>
  <c r="E51" i="14" s="1"/>
  <c r="F51" i="14" s="1"/>
  <c r="H43" i="13"/>
  <c r="C28" i="22"/>
  <c r="M43" i="13"/>
  <c r="M53" i="13" s="1"/>
  <c r="F98" i="13"/>
  <c r="C27" i="22"/>
  <c r="E46" i="14"/>
  <c r="F95" i="13"/>
  <c r="H40" i="13"/>
  <c r="G59" i="13"/>
  <c r="E60" i="13"/>
  <c r="B32" i="22" s="1"/>
  <c r="Z12" i="17" s="1"/>
  <c r="H82" i="13"/>
  <c r="AU91" i="27"/>
  <c r="AU175" i="27"/>
  <c r="AU139" i="27"/>
  <c r="AU146" i="27"/>
  <c r="AU120" i="27"/>
  <c r="AU7" i="27"/>
  <c r="AU65" i="27"/>
  <c r="AU4" i="27"/>
  <c r="AU89" i="27"/>
  <c r="AU111" i="27"/>
  <c r="AU75" i="27"/>
  <c r="AU162" i="27"/>
  <c r="AU17" i="27"/>
  <c r="AU57" i="27"/>
  <c r="AU87" i="27"/>
  <c r="AU10" i="27"/>
  <c r="AU169" i="27"/>
  <c r="AU149" i="27"/>
  <c r="AU176" i="27"/>
  <c r="AU42" i="27"/>
  <c r="AU173" i="27"/>
  <c r="AU126" i="27"/>
  <c r="AU59" i="27"/>
  <c r="AU99" i="27"/>
  <c r="AU123" i="27"/>
  <c r="AU72" i="27"/>
  <c r="AU8" i="27"/>
  <c r="AU26" i="27"/>
  <c r="AU105" i="27"/>
  <c r="AU153" i="27"/>
  <c r="AU144" i="27"/>
  <c r="AU161" i="27"/>
  <c r="AU118" i="27"/>
  <c r="AU172" i="27"/>
  <c r="AU90" i="27"/>
  <c r="AU45" i="27"/>
  <c r="AU171" i="27"/>
  <c r="AU56" i="27"/>
  <c r="AU136" i="27"/>
  <c r="AU31" i="27"/>
  <c r="AU152" i="27"/>
  <c r="AU143" i="27"/>
  <c r="AU70" i="27"/>
  <c r="AU67" i="27"/>
  <c r="AU38" i="27"/>
  <c r="AU86" i="27"/>
  <c r="AU148" i="27"/>
  <c r="AU16" i="27"/>
  <c r="AU170" i="27"/>
  <c r="AU77" i="27"/>
  <c r="AU92" i="27"/>
  <c r="AU52" i="27"/>
  <c r="AU93" i="27"/>
  <c r="AU27" i="27"/>
  <c r="AU81" i="27"/>
  <c r="AU12" i="27"/>
  <c r="AU47" i="27"/>
  <c r="AU49" i="27"/>
  <c r="AU117" i="27"/>
  <c r="AU142" i="27"/>
  <c r="AU116" i="27"/>
  <c r="AU80" i="27"/>
  <c r="AU69" i="27"/>
  <c r="AU98" i="27"/>
  <c r="AU154" i="27"/>
  <c r="AU6" i="27"/>
  <c r="AU130" i="27"/>
  <c r="AU102" i="27"/>
  <c r="AU62" i="27"/>
  <c r="AU18" i="27"/>
  <c r="AU76" i="27"/>
  <c r="AU48" i="27"/>
  <c r="AU13" i="27"/>
  <c r="AU3" i="27"/>
  <c r="AU21" i="27"/>
  <c r="AU147" i="27"/>
  <c r="AU82" i="27"/>
  <c r="AU63" i="27"/>
  <c r="AU58" i="27"/>
  <c r="AU94" i="27"/>
  <c r="AU68" i="27"/>
  <c r="AU125" i="27"/>
  <c r="AU19" i="27"/>
  <c r="AU100" i="27"/>
  <c r="AU165" i="27"/>
  <c r="AU39" i="27"/>
  <c r="AU164" i="27"/>
  <c r="AU135" i="27"/>
  <c r="AU54" i="27"/>
  <c r="AU95" i="27"/>
  <c r="AU50" i="27"/>
  <c r="AU122" i="27"/>
  <c r="AU85" i="27"/>
  <c r="AU128" i="27"/>
  <c r="AU23" i="27"/>
  <c r="AU110" i="27"/>
  <c r="AU132" i="27"/>
  <c r="AU25" i="27"/>
  <c r="AU103" i="27"/>
  <c r="AU167" i="27"/>
  <c r="AU5" i="27"/>
  <c r="AU33" i="27"/>
  <c r="AU134" i="27"/>
  <c r="AU36" i="27"/>
  <c r="AU178" i="27"/>
  <c r="AU44" i="27"/>
  <c r="AU101" i="27"/>
  <c r="AU145" i="27"/>
  <c r="AU150" i="27"/>
  <c r="AU51" i="27"/>
  <c r="AU66" i="27"/>
  <c r="AU30" i="27"/>
  <c r="AU32" i="27"/>
  <c r="AU158" i="27"/>
  <c r="AU159" i="27"/>
  <c r="AU104" i="27"/>
  <c r="AU141" i="27"/>
  <c r="AU121" i="27"/>
  <c r="AU112" i="27"/>
  <c r="AU61" i="27"/>
  <c r="AU140" i="27"/>
  <c r="AU114" i="27"/>
  <c r="AU177" i="27"/>
  <c r="AU106" i="27"/>
  <c r="AU84" i="27"/>
  <c r="AU73" i="27"/>
  <c r="AU28" i="27"/>
  <c r="AU113" i="27"/>
  <c r="AU78" i="27"/>
  <c r="AU55" i="27"/>
  <c r="AU131" i="27"/>
  <c r="AU9" i="27"/>
  <c r="AU156" i="27"/>
  <c r="AU133" i="27"/>
  <c r="AU119" i="27"/>
  <c r="AU168" i="27"/>
  <c r="AU60" i="27"/>
  <c r="AU124" i="27"/>
  <c r="AU29" i="27"/>
  <c r="AU138" i="27"/>
  <c r="AU24" i="27"/>
  <c r="AU11" i="27"/>
  <c r="AU34" i="27"/>
  <c r="AU40" i="27"/>
  <c r="AU109" i="27"/>
  <c r="AU37" i="27"/>
  <c r="AU96" i="27"/>
  <c r="AU46" i="27"/>
  <c r="AU155" i="27"/>
  <c r="AU74" i="27"/>
  <c r="AU22" i="27"/>
  <c r="AU107" i="27"/>
  <c r="AU108" i="27"/>
  <c r="AU166" i="27"/>
  <c r="AU163" i="27"/>
  <c r="AU180" i="27"/>
  <c r="AU43" i="27"/>
  <c r="AU160" i="27"/>
  <c r="AU127" i="27"/>
  <c r="AU97" i="27"/>
  <c r="AU151" i="27"/>
  <c r="AU129" i="27"/>
  <c r="AU14" i="27"/>
  <c r="AU15" i="27"/>
  <c r="AU64" i="27"/>
  <c r="AU20" i="27"/>
  <c r="AU179" i="27"/>
  <c r="AU53" i="27"/>
  <c r="AU35" i="27"/>
  <c r="AU137" i="27"/>
  <c r="AU83" i="27"/>
  <c r="AU79" i="27"/>
  <c r="AU88" i="27"/>
  <c r="AU71" i="27"/>
  <c r="AU41" i="27"/>
  <c r="AU115" i="27"/>
  <c r="AU174" i="27"/>
  <c r="AU157" i="27"/>
  <c r="F104" i="13"/>
  <c r="D35" i="13"/>
  <c r="H35" i="13" s="1"/>
  <c r="D74" i="13"/>
  <c r="D67" i="13"/>
  <c r="H73" i="13"/>
  <c r="Q182" i="27"/>
  <c r="U183" i="27"/>
  <c r="P182" i="27"/>
  <c r="P183" i="27" s="1"/>
  <c r="W181" i="27"/>
  <c r="C24" i="14"/>
  <c r="D11" i="13" s="1"/>
  <c r="E15" i="13" s="1"/>
  <c r="AB181" i="27"/>
  <c r="AB183" i="27" s="1"/>
  <c r="B35" i="22"/>
  <c r="Z12" i="20" s="1"/>
  <c r="D99" i="13"/>
  <c r="F99" i="13" s="1"/>
  <c r="H88" i="13"/>
  <c r="C42" i="14"/>
  <c r="C26" i="14"/>
  <c r="D97" i="13" l="1"/>
  <c r="F97" i="13" s="1"/>
  <c r="H74" i="13"/>
  <c r="D96" i="13"/>
  <c r="F96" i="13" s="1"/>
  <c r="H67" i="13"/>
  <c r="F53" i="13"/>
  <c r="E94" i="13" s="1"/>
  <c r="L54" i="13"/>
  <c r="W365" i="27"/>
  <c r="D53" i="13"/>
  <c r="D94" i="13" s="1"/>
  <c r="R182" i="27"/>
  <c r="R183" i="27" s="1"/>
  <c r="W182" i="27"/>
  <c r="W183" i="27" s="1"/>
  <c r="D12" i="13"/>
  <c r="D19" i="13" l="1"/>
  <c r="D18" i="13"/>
  <c r="Q183" i="27"/>
  <c r="E16" i="13"/>
  <c r="E41" i="13"/>
  <c r="E44" i="13"/>
  <c r="G44" i="13" s="1"/>
  <c r="E51" i="13"/>
  <c r="E40" i="13"/>
  <c r="E43" i="13"/>
  <c r="E45" i="13"/>
  <c r="G45" i="13" s="1"/>
  <c r="P36" i="20"/>
  <c r="O36" i="20"/>
  <c r="H36" i="20"/>
  <c r="G36" i="20"/>
  <c r="U34" i="20"/>
  <c r="T34" i="20"/>
  <c r="S34" i="20"/>
  <c r="R34" i="20"/>
  <c r="Q34" i="20"/>
  <c r="P34" i="20"/>
  <c r="O34" i="20"/>
  <c r="N34" i="20"/>
  <c r="M34" i="20"/>
  <c r="L34" i="20"/>
  <c r="K34" i="20"/>
  <c r="J34" i="20"/>
  <c r="I34" i="20"/>
  <c r="H34" i="20"/>
  <c r="G34" i="20"/>
  <c r="F34" i="20"/>
  <c r="E34" i="20"/>
  <c r="D34" i="20"/>
  <c r="C34" i="20"/>
  <c r="T32" i="20"/>
  <c r="V32" i="20" s="1"/>
  <c r="T30" i="20"/>
  <c r="T29" i="20"/>
  <c r="T28" i="20"/>
  <c r="T27" i="20"/>
  <c r="T26" i="20"/>
  <c r="V23" i="20" s="1"/>
  <c r="T25" i="20"/>
  <c r="T24" i="20"/>
  <c r="T23" i="20"/>
  <c r="U21" i="20"/>
  <c r="U36" i="20" s="1"/>
  <c r="S21" i="20"/>
  <c r="S36" i="20" s="1"/>
  <c r="R21" i="20"/>
  <c r="R36" i="20" s="1"/>
  <c r="Q21" i="20"/>
  <c r="Q36" i="20" s="1"/>
  <c r="P21" i="20"/>
  <c r="O21" i="20"/>
  <c r="N21" i="20"/>
  <c r="N36" i="20" s="1"/>
  <c r="M21" i="20"/>
  <c r="M36" i="20" s="1"/>
  <c r="L21" i="20"/>
  <c r="L36" i="20" s="1"/>
  <c r="K21" i="20"/>
  <c r="K36" i="20" s="1"/>
  <c r="J21" i="20"/>
  <c r="J36" i="20" s="1"/>
  <c r="I21" i="20"/>
  <c r="I36" i="20" s="1"/>
  <c r="H21" i="20"/>
  <c r="G21" i="20"/>
  <c r="F21" i="20"/>
  <c r="F36" i="20" s="1"/>
  <c r="E21" i="20"/>
  <c r="E36" i="20" s="1"/>
  <c r="D21" i="20"/>
  <c r="D36" i="20" s="1"/>
  <c r="C21" i="20"/>
  <c r="C36" i="20" s="1"/>
  <c r="T19" i="20"/>
  <c r="V19" i="20" s="1"/>
  <c r="T18" i="20"/>
  <c r="T17" i="20"/>
  <c r="V17" i="20" s="1"/>
  <c r="T15" i="20"/>
  <c r="T14" i="20"/>
  <c r="V14" i="20" s="1"/>
  <c r="Z13" i="20"/>
  <c r="T13" i="20"/>
  <c r="V13" i="20" s="1"/>
  <c r="U36" i="19"/>
  <c r="M36" i="19"/>
  <c r="E36" i="19"/>
  <c r="U34" i="19"/>
  <c r="S34" i="19"/>
  <c r="S36" i="19" s="1"/>
  <c r="R34" i="19"/>
  <c r="Q34" i="19"/>
  <c r="Q36" i="19" s="1"/>
  <c r="P34" i="19"/>
  <c r="O34" i="19"/>
  <c r="N34" i="19"/>
  <c r="M34" i="19"/>
  <c r="L34" i="19"/>
  <c r="K34" i="19"/>
  <c r="K36" i="19" s="1"/>
  <c r="J34" i="19"/>
  <c r="I34" i="19"/>
  <c r="I36" i="19" s="1"/>
  <c r="H34" i="19"/>
  <c r="G34" i="19"/>
  <c r="F34" i="19"/>
  <c r="E34" i="19"/>
  <c r="D34" i="19"/>
  <c r="C34" i="19"/>
  <c r="C36" i="19" s="1"/>
  <c r="T32" i="19"/>
  <c r="V32" i="19" s="1"/>
  <c r="T30" i="19"/>
  <c r="T29" i="19"/>
  <c r="T28" i="19"/>
  <c r="T27" i="19"/>
  <c r="T26" i="19"/>
  <c r="T25" i="19"/>
  <c r="T24" i="19"/>
  <c r="T23" i="19"/>
  <c r="V23" i="19" s="1"/>
  <c r="V34" i="19" s="1"/>
  <c r="U21" i="19"/>
  <c r="S21" i="19"/>
  <c r="R21" i="19"/>
  <c r="R36" i="19" s="1"/>
  <c r="Q21" i="19"/>
  <c r="P21" i="19"/>
  <c r="P36" i="19" s="1"/>
  <c r="O21" i="19"/>
  <c r="O36" i="19" s="1"/>
  <c r="N21" i="19"/>
  <c r="N36" i="19" s="1"/>
  <c r="M21" i="19"/>
  <c r="L21" i="19"/>
  <c r="L36" i="19" s="1"/>
  <c r="K21" i="19"/>
  <c r="J21" i="19"/>
  <c r="J36" i="19" s="1"/>
  <c r="I21" i="19"/>
  <c r="H21" i="19"/>
  <c r="H36" i="19" s="1"/>
  <c r="G21" i="19"/>
  <c r="G36" i="19" s="1"/>
  <c r="F21" i="19"/>
  <c r="F36" i="19" s="1"/>
  <c r="E21" i="19"/>
  <c r="D21" i="19"/>
  <c r="D36" i="19" s="1"/>
  <c r="C21" i="19"/>
  <c r="V19" i="19"/>
  <c r="T19" i="19"/>
  <c r="T18" i="19"/>
  <c r="V13" i="19" s="1"/>
  <c r="V21" i="19" s="1"/>
  <c r="T17" i="19"/>
  <c r="V17" i="19" s="1"/>
  <c r="T15" i="19"/>
  <c r="T14" i="19"/>
  <c r="V14" i="19" s="1"/>
  <c r="Z13" i="19"/>
  <c r="T13" i="19"/>
  <c r="O36" i="18"/>
  <c r="G36" i="18"/>
  <c r="U34" i="18"/>
  <c r="S34" i="18"/>
  <c r="R34" i="18"/>
  <c r="Q34" i="18"/>
  <c r="P34" i="18"/>
  <c r="O34" i="18"/>
  <c r="N34" i="18"/>
  <c r="M34" i="18"/>
  <c r="L34" i="18"/>
  <c r="K34" i="18"/>
  <c r="J34" i="18"/>
  <c r="I34" i="18"/>
  <c r="H34" i="18"/>
  <c r="G34" i="18"/>
  <c r="F34" i="18"/>
  <c r="E34" i="18"/>
  <c r="D34" i="18"/>
  <c r="C34" i="18"/>
  <c r="T32" i="18"/>
  <c r="V32" i="18" s="1"/>
  <c r="T30" i="18"/>
  <c r="T29" i="18"/>
  <c r="T28" i="18"/>
  <c r="T27" i="18"/>
  <c r="T26" i="18"/>
  <c r="T25" i="18"/>
  <c r="T24" i="18"/>
  <c r="T23" i="18"/>
  <c r="V23" i="18" s="1"/>
  <c r="V34" i="18" s="1"/>
  <c r="U21" i="18"/>
  <c r="U36" i="18" s="1"/>
  <c r="S21" i="18"/>
  <c r="S36" i="18" s="1"/>
  <c r="R21" i="18"/>
  <c r="R36" i="18" s="1"/>
  <c r="Q21" i="18"/>
  <c r="Q36" i="18" s="1"/>
  <c r="P21" i="18"/>
  <c r="P36" i="18" s="1"/>
  <c r="O21" i="18"/>
  <c r="N21" i="18"/>
  <c r="N36" i="18" s="1"/>
  <c r="M21" i="18"/>
  <c r="M36" i="18" s="1"/>
  <c r="L21" i="18"/>
  <c r="L36" i="18" s="1"/>
  <c r="K21" i="18"/>
  <c r="K36" i="18" s="1"/>
  <c r="J21" i="18"/>
  <c r="J36" i="18" s="1"/>
  <c r="I21" i="18"/>
  <c r="I36" i="18" s="1"/>
  <c r="H21" i="18"/>
  <c r="H36" i="18" s="1"/>
  <c r="G21" i="18"/>
  <c r="F21" i="18"/>
  <c r="F36" i="18" s="1"/>
  <c r="E21" i="18"/>
  <c r="E36" i="18" s="1"/>
  <c r="D21" i="18"/>
  <c r="D36" i="18" s="1"/>
  <c r="C21" i="18"/>
  <c r="C36" i="18" s="1"/>
  <c r="T19" i="18"/>
  <c r="V19" i="18" s="1"/>
  <c r="T18" i="18"/>
  <c r="T17" i="18"/>
  <c r="T21" i="18" s="1"/>
  <c r="T15" i="18"/>
  <c r="V14" i="18"/>
  <c r="T14" i="18"/>
  <c r="Z13" i="18"/>
  <c r="V13" i="18"/>
  <c r="T13" i="18"/>
  <c r="U34" i="17"/>
  <c r="S34" i="17"/>
  <c r="R34" i="17"/>
  <c r="Q34" i="17"/>
  <c r="P34" i="17"/>
  <c r="O34" i="17"/>
  <c r="N34" i="17"/>
  <c r="N36" i="17" s="1"/>
  <c r="M34" i="17"/>
  <c r="L34" i="17"/>
  <c r="K34" i="17"/>
  <c r="J34" i="17"/>
  <c r="I34" i="17"/>
  <c r="H34" i="17"/>
  <c r="G34" i="17"/>
  <c r="F34" i="17"/>
  <c r="E34" i="17"/>
  <c r="D34" i="17"/>
  <c r="C34" i="17"/>
  <c r="T32" i="17"/>
  <c r="V32" i="17" s="1"/>
  <c r="T30" i="17"/>
  <c r="T29" i="17"/>
  <c r="T28" i="17"/>
  <c r="T27" i="17"/>
  <c r="T26" i="17"/>
  <c r="T25" i="17"/>
  <c r="T24" i="17"/>
  <c r="T23" i="17"/>
  <c r="U21" i="17"/>
  <c r="S21" i="17"/>
  <c r="S36" i="17" s="1"/>
  <c r="R21" i="17"/>
  <c r="R36" i="17" s="1"/>
  <c r="Q21" i="17"/>
  <c r="P21" i="17"/>
  <c r="O21" i="17"/>
  <c r="N21" i="17"/>
  <c r="M21" i="17"/>
  <c r="L21" i="17"/>
  <c r="K21" i="17"/>
  <c r="J21" i="17"/>
  <c r="J36" i="17" s="1"/>
  <c r="I21" i="17"/>
  <c r="H21" i="17"/>
  <c r="G21" i="17"/>
  <c r="F21" i="17"/>
  <c r="F36" i="17" s="1"/>
  <c r="E21" i="17"/>
  <c r="D21" i="17"/>
  <c r="C21" i="17"/>
  <c r="T19" i="17"/>
  <c r="V19" i="17" s="1"/>
  <c r="T18" i="17"/>
  <c r="T17" i="17"/>
  <c r="T15" i="17"/>
  <c r="T14" i="17"/>
  <c r="Z13" i="17"/>
  <c r="T13" i="17"/>
  <c r="V13" i="17" s="1"/>
  <c r="B27" i="22" l="1"/>
  <c r="B28" i="22"/>
  <c r="E49" i="13"/>
  <c r="M54" i="13" s="1"/>
  <c r="C40" i="13"/>
  <c r="G40" i="13" s="1"/>
  <c r="C33" i="13"/>
  <c r="G33" i="13" s="1"/>
  <c r="C51" i="13"/>
  <c r="G51" i="13" s="1"/>
  <c r="C41" i="13"/>
  <c r="G41" i="13" s="1"/>
  <c r="C31" i="13"/>
  <c r="G31" i="13" s="1"/>
  <c r="C49" i="13"/>
  <c r="C87" i="13"/>
  <c r="C88" i="13" s="1"/>
  <c r="C32" i="13"/>
  <c r="G32" i="13" s="1"/>
  <c r="C34" i="13"/>
  <c r="G34" i="13" s="1"/>
  <c r="C60" i="13"/>
  <c r="G60" i="13" s="1"/>
  <c r="C81" i="13"/>
  <c r="C82" i="13" s="1"/>
  <c r="G82" i="13" s="1"/>
  <c r="C30" i="13"/>
  <c r="C73" i="13"/>
  <c r="C66" i="13"/>
  <c r="C67" i="13" s="1"/>
  <c r="E18" i="13"/>
  <c r="E87" i="13" s="1"/>
  <c r="E19" i="13"/>
  <c r="B29" i="22"/>
  <c r="G43" i="13"/>
  <c r="V34" i="20"/>
  <c r="V21" i="20"/>
  <c r="T21" i="20"/>
  <c r="T36" i="20" s="1"/>
  <c r="V36" i="20" s="1"/>
  <c r="T21" i="19"/>
  <c r="T36" i="19" s="1"/>
  <c r="V36" i="19" s="1"/>
  <c r="T34" i="19"/>
  <c r="V21" i="18"/>
  <c r="V17" i="18"/>
  <c r="T34" i="18"/>
  <c r="T36" i="18" s="1"/>
  <c r="V36" i="18" s="1"/>
  <c r="U36" i="17"/>
  <c r="K36" i="17"/>
  <c r="D36" i="17"/>
  <c r="L36" i="17"/>
  <c r="G36" i="17"/>
  <c r="O36" i="17"/>
  <c r="H36" i="17"/>
  <c r="P36" i="17"/>
  <c r="E36" i="17"/>
  <c r="M36" i="17"/>
  <c r="C36" i="17"/>
  <c r="V23" i="17"/>
  <c r="V34" i="17" s="1"/>
  <c r="V14" i="17"/>
  <c r="I36" i="17"/>
  <c r="Q36" i="17"/>
  <c r="T21" i="17"/>
  <c r="V17" i="17"/>
  <c r="T34" i="17"/>
  <c r="E53" i="13" l="1"/>
  <c r="G81" i="13"/>
  <c r="C74" i="13"/>
  <c r="G74" i="13" s="1"/>
  <c r="G73" i="13"/>
  <c r="E88" i="13"/>
  <c r="B36" i="22" s="1"/>
  <c r="G87" i="13"/>
  <c r="C35" i="13"/>
  <c r="V21" i="17"/>
  <c r="T36" i="17"/>
  <c r="V36" i="17" s="1"/>
  <c r="C53" i="13" l="1"/>
  <c r="G35" i="13"/>
  <c r="B34" i="22"/>
  <c r="Z12" i="19" s="1"/>
  <c r="G88" i="13"/>
  <c r="E44" i="16"/>
  <c r="D44" i="16"/>
  <c r="T44" i="16" s="1"/>
  <c r="E43" i="16"/>
  <c r="D43" i="16"/>
  <c r="T43" i="16" s="1"/>
  <c r="S42" i="16"/>
  <c r="R42" i="16"/>
  <c r="Q42" i="16"/>
  <c r="P42" i="16"/>
  <c r="O42" i="16"/>
  <c r="N42" i="16"/>
  <c r="M42" i="16"/>
  <c r="L42" i="16"/>
  <c r="K42" i="16"/>
  <c r="J42" i="16"/>
  <c r="I42" i="16"/>
  <c r="H42" i="16"/>
  <c r="G42" i="16"/>
  <c r="F42" i="16"/>
  <c r="E42" i="16"/>
  <c r="D42" i="16"/>
  <c r="C42" i="16"/>
  <c r="G36" i="16"/>
  <c r="U34" i="16"/>
  <c r="U36" i="16" s="1"/>
  <c r="S34" i="16"/>
  <c r="R34" i="16"/>
  <c r="Q34" i="16"/>
  <c r="P34" i="16"/>
  <c r="O34" i="16"/>
  <c r="N34" i="16"/>
  <c r="M34" i="16"/>
  <c r="M36" i="16" s="1"/>
  <c r="L34" i="16"/>
  <c r="K34" i="16"/>
  <c r="J34" i="16"/>
  <c r="I34" i="16"/>
  <c r="H34" i="16"/>
  <c r="G34" i="16"/>
  <c r="F34" i="16"/>
  <c r="E34" i="16"/>
  <c r="E36" i="16" s="1"/>
  <c r="D34" i="16"/>
  <c r="C34" i="16"/>
  <c r="T32" i="16"/>
  <c r="V32" i="16" s="1"/>
  <c r="T30" i="16"/>
  <c r="T29" i="16"/>
  <c r="T28" i="16"/>
  <c r="T27" i="16"/>
  <c r="T26" i="16"/>
  <c r="T25" i="16"/>
  <c r="T24" i="16"/>
  <c r="V23" i="16" s="1"/>
  <c r="T23" i="16"/>
  <c r="U21" i="16"/>
  <c r="S21" i="16"/>
  <c r="S36" i="16" s="1"/>
  <c r="R21" i="16"/>
  <c r="R36" i="16" s="1"/>
  <c r="Q21" i="16"/>
  <c r="P21" i="16"/>
  <c r="P36" i="16" s="1"/>
  <c r="O21" i="16"/>
  <c r="O36" i="16" s="1"/>
  <c r="N21" i="16"/>
  <c r="N36" i="16" s="1"/>
  <c r="M21" i="16"/>
  <c r="L21" i="16"/>
  <c r="L36" i="16" s="1"/>
  <c r="K21" i="16"/>
  <c r="K36" i="16" s="1"/>
  <c r="J21" i="16"/>
  <c r="J36" i="16" s="1"/>
  <c r="I21" i="16"/>
  <c r="H21" i="16"/>
  <c r="H36" i="16" s="1"/>
  <c r="G21" i="16"/>
  <c r="F21" i="16"/>
  <c r="F36" i="16" s="1"/>
  <c r="E21" i="16"/>
  <c r="D21" i="16"/>
  <c r="D36" i="16" s="1"/>
  <c r="C21" i="16"/>
  <c r="V19" i="16"/>
  <c r="T19" i="16"/>
  <c r="T18" i="16"/>
  <c r="T17" i="16"/>
  <c r="T42" i="16" s="1"/>
  <c r="T15" i="16"/>
  <c r="T14" i="16"/>
  <c r="Z13" i="16"/>
  <c r="T13" i="16"/>
  <c r="V13" i="16" s="1"/>
  <c r="E28" i="14"/>
  <c r="F66" i="14"/>
  <c r="C45" i="22"/>
  <c r="C44" i="22"/>
  <c r="F19" i="14"/>
  <c r="V14" i="16" l="1"/>
  <c r="C36" i="16"/>
  <c r="T34" i="16"/>
  <c r="V17" i="16"/>
  <c r="E66" i="13"/>
  <c r="Q36" i="16"/>
  <c r="I36" i="16"/>
  <c r="V34" i="16"/>
  <c r="T21" i="16"/>
  <c r="C55" i="14"/>
  <c r="C56" i="14" s="1"/>
  <c r="F64" i="14"/>
  <c r="F48" i="14"/>
  <c r="F60" i="14"/>
  <c r="F38" i="14"/>
  <c r="F40" i="14"/>
  <c r="F35" i="14"/>
  <c r="G66" i="13" l="1"/>
  <c r="E67" i="13"/>
  <c r="G67" i="13" s="1"/>
  <c r="F110" i="13"/>
  <c r="F62" i="14"/>
  <c r="V21" i="16"/>
  <c r="T36" i="16"/>
  <c r="V36" i="16" s="1"/>
  <c r="C68" i="14"/>
  <c r="C69" i="14" s="1"/>
  <c r="N72" i="13"/>
  <c r="N65" i="13"/>
  <c r="B33" i="22" l="1"/>
  <c r="Z12" i="18" s="1"/>
  <c r="C33" i="22"/>
  <c r="C34" i="22"/>
  <c r="K6" i="19" l="1"/>
  <c r="Z14" i="19"/>
  <c r="P6" i="19"/>
  <c r="R6" i="19"/>
  <c r="L6" i="19"/>
  <c r="I6" i="19"/>
  <c r="O6" i="19"/>
  <c r="Q6" i="19"/>
  <c r="N6" i="19"/>
  <c r="M6" i="19"/>
  <c r="J6" i="19"/>
  <c r="K6" i="18"/>
  <c r="N6" i="18"/>
  <c r="Z14" i="18"/>
  <c r="O6" i="18"/>
  <c r="I6" i="18"/>
  <c r="P6" i="18"/>
  <c r="J6" i="18"/>
  <c r="L6" i="18"/>
  <c r="Q6" i="18"/>
  <c r="M6" i="18"/>
  <c r="R6" i="18"/>
  <c r="T6" i="18" l="1"/>
  <c r="T6" i="19"/>
  <c r="Z23" i="18"/>
  <c r="Z25" i="18" s="1"/>
  <c r="AB17" i="18"/>
  <c r="AC18" i="18"/>
  <c r="Z23" i="19"/>
  <c r="Z25" i="19" s="1"/>
  <c r="AB17" i="19"/>
  <c r="AC18" i="19"/>
  <c r="Q19" i="13" l="1"/>
  <c r="R19" i="13" s="1"/>
  <c r="S19" i="13" s="1"/>
  <c r="F127" i="13" l="1"/>
  <c r="E126" i="13"/>
  <c r="D126" i="13"/>
  <c r="D128" i="13" s="1"/>
  <c r="E121" i="13"/>
  <c r="D121" i="13"/>
  <c r="F120" i="13"/>
  <c r="F119" i="13"/>
  <c r="B115" i="13"/>
  <c r="X79" i="13"/>
  <c r="AA79" i="13" s="1"/>
  <c r="AC78" i="13"/>
  <c r="AA78" i="13"/>
  <c r="X77" i="13"/>
  <c r="AC77" i="13" s="1"/>
  <c r="AD77" i="13" s="1"/>
  <c r="D100" i="13" l="1"/>
  <c r="F46" i="14"/>
  <c r="AC79" i="13"/>
  <c r="AD79" i="13" s="1"/>
  <c r="F121" i="13"/>
  <c r="AD78" i="13"/>
  <c r="F126" i="13"/>
  <c r="E128" i="13"/>
  <c r="F128" i="13" s="1"/>
  <c r="AA77" i="13"/>
  <c r="AB77" i="13" s="1"/>
  <c r="D122" i="13" l="1"/>
  <c r="D123" i="13" s="1"/>
  <c r="F103" i="13"/>
  <c r="F106" i="13" s="1"/>
  <c r="F108" i="13" s="1"/>
  <c r="D129" i="13"/>
  <c r="D130" i="13" s="1"/>
  <c r="D101" i="13"/>
  <c r="AB79" i="13"/>
  <c r="AB78" i="13"/>
  <c r="H51" i="13"/>
  <c r="H44" i="13"/>
  <c r="F53" i="14" l="1"/>
  <c r="C29" i="22"/>
  <c r="C35" i="22"/>
  <c r="E58" i="14" l="1"/>
  <c r="F58" i="14" s="1"/>
  <c r="H60" i="13"/>
  <c r="B37" i="22" s="1"/>
  <c r="B30" i="22"/>
  <c r="Z12" i="16" s="1"/>
  <c r="E55" i="14"/>
  <c r="H53" i="13"/>
  <c r="H49" i="13"/>
  <c r="C30" i="22"/>
  <c r="K6" i="20"/>
  <c r="P6" i="20"/>
  <c r="Z14" i="20"/>
  <c r="M6" i="20"/>
  <c r="O6" i="20"/>
  <c r="I6" i="20"/>
  <c r="Q6" i="20"/>
  <c r="N6" i="20"/>
  <c r="J6" i="20"/>
  <c r="L6" i="20"/>
  <c r="R6" i="20"/>
  <c r="C32" i="22"/>
  <c r="C37" i="22" s="1"/>
  <c r="B39" i="22" l="1"/>
  <c r="E56" i="14"/>
  <c r="E68" i="14" s="1"/>
  <c r="L6" i="16"/>
  <c r="C39" i="22"/>
  <c r="C20" i="22" s="1"/>
  <c r="Z23" i="20"/>
  <c r="Z25" i="20" s="1"/>
  <c r="AC18" i="20"/>
  <c r="AB17" i="20"/>
  <c r="R6" i="17"/>
  <c r="Q6" i="17"/>
  <c r="O6" i="17"/>
  <c r="I6" i="17"/>
  <c r="P6" i="17"/>
  <c r="K6" i="17"/>
  <c r="N6" i="17"/>
  <c r="J6" i="17"/>
  <c r="M6" i="17"/>
  <c r="L6" i="17"/>
  <c r="Z14" i="17"/>
  <c r="T6" i="20"/>
  <c r="F94" i="13"/>
  <c r="E100" i="13"/>
  <c r="E69" i="14" l="1"/>
  <c r="E101" i="13"/>
  <c r="F56" i="14"/>
  <c r="F68" i="14" s="1"/>
  <c r="C40" i="22"/>
  <c r="Z14" i="16"/>
  <c r="AB17" i="16" s="1"/>
  <c r="I6" i="16"/>
  <c r="M6" i="16"/>
  <c r="N6" i="16"/>
  <c r="J6" i="16"/>
  <c r="Q6" i="16"/>
  <c r="O6" i="16"/>
  <c r="P6" i="16"/>
  <c r="R6" i="16"/>
  <c r="K6" i="16"/>
  <c r="T6" i="17"/>
  <c r="Z23" i="17"/>
  <c r="Z25" i="17" s="1"/>
  <c r="AC18" i="17"/>
  <c r="AB17" i="17"/>
  <c r="J53" i="13"/>
  <c r="E122" i="13"/>
  <c r="F100" i="13"/>
  <c r="E129" i="13"/>
  <c r="B40" i="22" l="1"/>
  <c r="F69" i="14"/>
  <c r="F101" i="13"/>
  <c r="Z23" i="16"/>
  <c r="Z25" i="16" s="1"/>
  <c r="AC18" i="16"/>
  <c r="T6" i="16"/>
  <c r="F112" i="13"/>
  <c r="G129" i="13"/>
  <c r="F129" i="13"/>
  <c r="E130" i="13"/>
  <c r="G122" i="13"/>
  <c r="F122" i="13"/>
  <c r="E123" i="13"/>
  <c r="G123" i="13" l="1"/>
  <c r="F123" i="13"/>
  <c r="G130" i="13"/>
  <c r="F130" i="13"/>
  <c r="G53" i="13"/>
  <c r="G49" i="13"/>
  <c r="G30" i="13"/>
  <c r="H30" i="13"/>
  <c r="D183"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R14" authorId="0" shapeId="0" xr:uid="{62848FD6-19CC-482F-A504-E8FCCFD4EE07}">
      <text>
        <r>
          <rPr>
            <sz val="10"/>
            <color rgb="FF000000"/>
            <rFont val="Courier"/>
            <scheme val="minor"/>
          </rPr>
          <t>======
ID#AAAAUAzswds
Mark Rydberg    (2022-01-24 21:22:45)
Book to FY23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R14" authorId="0" shapeId="0" xr:uid="{40C5EF85-3886-4642-AA05-7F17B93EDBA3}">
      <text>
        <r>
          <rPr>
            <sz val="10"/>
            <color rgb="FF000000"/>
            <rFont val="Courier"/>
            <scheme val="minor"/>
          </rPr>
          <t>======
ID#AAAAUAzswds
Mark Rydberg    (2022-01-24 21:22:45)
Book to FY23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R14" authorId="0" shapeId="0" xr:uid="{5525130A-6DC2-4EC6-866E-601650D3BC6D}">
      <text>
        <r>
          <rPr>
            <sz val="10"/>
            <color rgb="FF000000"/>
            <rFont val="Courier"/>
            <scheme val="minor"/>
          </rPr>
          <t>======
ID#AAAAUAzswds
Mark Rydberg    (2022-01-24 21:22:45)
Book to FY23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R14" authorId="0" shapeId="0" xr:uid="{1581F03A-0F96-4346-BEE9-DB2AF7564423}">
      <text>
        <r>
          <rPr>
            <sz val="10"/>
            <color rgb="FF000000"/>
            <rFont val="Courier"/>
            <scheme val="minor"/>
          </rPr>
          <t>======
ID#AAAAUAzswds
Mark Rydberg    (2022-01-24 21:22:45)
Book to FY23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R14" authorId="0" shapeId="0" xr:uid="{FD8D317F-0DCA-4A30-B8AB-49709312C1D8}">
      <text>
        <r>
          <rPr>
            <sz val="10"/>
            <color rgb="FF000000"/>
            <rFont val="Courier"/>
            <scheme val="minor"/>
          </rPr>
          <t>======
ID#AAAAUAzswds
Mark Rydberg    (2022-01-24 21:22:45)
Book to FY23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Tim Kahle</author>
  </authors>
  <commentList>
    <comment ref="O87" authorId="0" shapeId="0" xr:uid="{CB27CAD8-BE37-4C86-8CA4-A16584617110}">
      <text>
        <r>
          <rPr>
            <b/>
            <sz val="9"/>
            <color rgb="FF000000"/>
            <rFont val="Tahoma"/>
            <family val="2"/>
          </rPr>
          <t xml:space="preserve">Fixed at 3.515
</t>
        </r>
      </text>
    </comment>
  </commentList>
</comments>
</file>

<file path=xl/sharedStrings.xml><?xml version="1.0" encoding="utf-8"?>
<sst xmlns="http://schemas.openxmlformats.org/spreadsheetml/2006/main" count="3320" uniqueCount="998">
  <si>
    <t>Assessed Valuation</t>
  </si>
  <si>
    <t>Abatements</t>
  </si>
  <si>
    <t>Variance</t>
  </si>
  <si>
    <t>General Fund</t>
  </si>
  <si>
    <t>Rounded to 3</t>
  </si>
  <si>
    <t xml:space="preserve">  Abatements</t>
  </si>
  <si>
    <t xml:space="preserve">      Total</t>
  </si>
  <si>
    <t>Total Mill Levy</t>
  </si>
  <si>
    <t>County tax collection rate</t>
  </si>
  <si>
    <t>Residential</t>
  </si>
  <si>
    <t>Market value</t>
  </si>
  <si>
    <t>Assessment rate</t>
  </si>
  <si>
    <t>Assessed value</t>
  </si>
  <si>
    <t>Mill levy</t>
  </si>
  <si>
    <t>Commercial</t>
  </si>
  <si>
    <t>10 year</t>
  </si>
  <si>
    <t>Do Nothing</t>
  </si>
  <si>
    <t>On-going</t>
  </si>
  <si>
    <t>Annual Commercial Taxes</t>
  </si>
  <si>
    <t>Dollar Value</t>
  </si>
  <si>
    <t>Total General Fund</t>
  </si>
  <si>
    <t>Bond Redemption Fund</t>
  </si>
  <si>
    <t>DATA FROM THE COUNTY ASSESSOR PROVIDED IN AUGUST(DRAFT) AND DECEMBER(FINAL)</t>
  </si>
  <si>
    <t>Input</t>
  </si>
  <si>
    <t>Calculation</t>
  </si>
  <si>
    <t>Total Program HB20-1418</t>
  </si>
  <si>
    <t>Temporary Tax Credit</t>
  </si>
  <si>
    <t>Effect on Market of $100,000</t>
  </si>
  <si>
    <t>Actual $ Amount from Election Question</t>
  </si>
  <si>
    <t>Actual Calculated to = Actual $</t>
  </si>
  <si>
    <t>Input Dollar Amount of MLO from Ballot Question</t>
  </si>
  <si>
    <t>TOTAL MILLS</t>
  </si>
  <si>
    <t>Calculation Form</t>
  </si>
  <si>
    <t>Certification of Mill Levies</t>
  </si>
  <si>
    <t>0010</t>
  </si>
  <si>
    <t>* when printed,  the form will print without these comments</t>
  </si>
  <si>
    <t>Colorado Department of Education (CDE)  Mill Levy Estimated as of</t>
  </si>
  <si>
    <t>School District Final Mill Levy Certified as of</t>
  </si>
  <si>
    <t>Estimated School District Revenue from Mill Levy</t>
  </si>
  <si>
    <t>CATEGORY</t>
  </si>
  <si>
    <t>Gross Assessed Valuation</t>
  </si>
  <si>
    <t>Tax Increment Financing</t>
  </si>
  <si>
    <t>Net Assessed Valuation</t>
  </si>
  <si>
    <t>* Gross assessed valuation less approved AV related to approved TIF districts.</t>
  </si>
  <si>
    <t>(Total across all counties)</t>
  </si>
  <si>
    <t xml:space="preserve">   calculation of the abatement levy in order to get 100% of total program funding.</t>
  </si>
  <si>
    <t xml:space="preserve"> 1.  Mill Levy per HB20-1418</t>
  </si>
  <si>
    <t xml:space="preserve">    1a.  HB20-1418 Tax Credit</t>
  </si>
  <si>
    <t>* The district's school board will need to grant this tax credit by resolution per HB20-1418.</t>
  </si>
  <si>
    <t>* Tax credit will be 1.0 mills lower than prior year credit until credit is zero for district.</t>
  </si>
  <si>
    <t xml:space="preserve">    1b.  HB20-1418 Net Mill Levy</t>
  </si>
  <si>
    <t>* Net mills should equal prior year net plus one (or fraction if prior year credit was less than one).</t>
  </si>
  <si>
    <t>(amt collected by county)</t>
  </si>
  <si>
    <t xml:space="preserve"> 2.  Categorical Buyout</t>
  </si>
  <si>
    <t xml:space="preserve"> 3. Total Program Reserve Fund</t>
  </si>
  <si>
    <t xml:space="preserve"> 4.  Total Program Mill</t>
  </si>
  <si>
    <t xml:space="preserve"> 5.  Overrides:</t>
  </si>
  <si>
    <t>* District is responsible for calculating the voter-approved mill levy. Please verify your voter-approved override mill based on your ballot question. Your MLO may be fixed mill or fixed dollar or a combination.</t>
  </si>
  <si>
    <t xml:space="preserve"> 6.  Abatement</t>
  </si>
  <si>
    <t xml:space="preserve"> 7.  Total General Fund</t>
  </si>
  <si>
    <t xml:space="preserve"> 8.  Bond Redemption Fund</t>
  </si>
  <si>
    <t xml:space="preserve"> 9.  Transportation Fund</t>
  </si>
  <si>
    <t xml:space="preserve"> </t>
  </si>
  <si>
    <t>Information provided by state for certification to county treasurer:</t>
  </si>
  <si>
    <t>Form completed by</t>
  </si>
  <si>
    <t>Phone Number</t>
  </si>
  <si>
    <t>DIST</t>
  </si>
  <si>
    <t>COUNTY</t>
  </si>
  <si>
    <t>DISTRICT</t>
  </si>
  <si>
    <t>GROSS ASSESSED VALUATION</t>
  </si>
  <si>
    <t>TIF</t>
  </si>
  <si>
    <t>NET ASSESSED VALUATION</t>
  </si>
  <si>
    <t>GENERAL FUND MILL</t>
  </si>
  <si>
    <t>CATEGORICAL</t>
  </si>
  <si>
    <t>Total Prog Reserve</t>
  </si>
  <si>
    <t>HOLD HARMLESS OVERRIDE</t>
  </si>
  <si>
    <t>EXCESS OVERRIDE</t>
  </si>
  <si>
    <t>VOTER APPROVED OVERRIDE</t>
  </si>
  <si>
    <t>ABATEMENT mill</t>
  </si>
  <si>
    <t>FULL TOTAL PROGRAM MILL</t>
  </si>
  <si>
    <t>TOTAL PRG</t>
  </si>
  <si>
    <t>STATE SHARE FUND</t>
  </si>
  <si>
    <t xml:space="preserve"> ABATE AMOUNT</t>
  </si>
  <si>
    <t>TRANSP</t>
  </si>
  <si>
    <t>SPEC BLDG</t>
  </si>
  <si>
    <t>Other</t>
  </si>
  <si>
    <t>BOND</t>
  </si>
  <si>
    <t>Total Mills</t>
  </si>
  <si>
    <t>Mill Levy per HB20-1418</t>
  </si>
  <si>
    <t>Remaining Tax Credit</t>
  </si>
  <si>
    <t>ADAMS</t>
  </si>
  <si>
    <t>MAPLETON</t>
  </si>
  <si>
    <t>0020</t>
  </si>
  <si>
    <t>ADAMS 12 FIVE STAR</t>
  </si>
  <si>
    <t>0030</t>
  </si>
  <si>
    <t>COMMERCE CITY</t>
  </si>
  <si>
    <t>0040</t>
  </si>
  <si>
    <t>BRIGHTON</t>
  </si>
  <si>
    <t>0050</t>
  </si>
  <si>
    <t>BENNETT</t>
  </si>
  <si>
    <t>0060</t>
  </si>
  <si>
    <t>STRASBURG</t>
  </si>
  <si>
    <t>0070</t>
  </si>
  <si>
    <t>WESTMINSTER</t>
  </si>
  <si>
    <t>0100</t>
  </si>
  <si>
    <t>ALAMOSA</t>
  </si>
  <si>
    <t>0110</t>
  </si>
  <si>
    <t>SANGRE DE CRISTO</t>
  </si>
  <si>
    <t>0120</t>
  </si>
  <si>
    <t>ARAPAHOE</t>
  </si>
  <si>
    <t>ENGLEWOOD</t>
  </si>
  <si>
    <t>0123</t>
  </si>
  <si>
    <t>SHERIDAN</t>
  </si>
  <si>
    <t>0130</t>
  </si>
  <si>
    <t>CHERRY CREEK</t>
  </si>
  <si>
    <t>0140</t>
  </si>
  <si>
    <t>LITTLETON</t>
  </si>
  <si>
    <t>0170</t>
  </si>
  <si>
    <t>DEER TRAIL</t>
  </si>
  <si>
    <t>0180</t>
  </si>
  <si>
    <t>AURORA</t>
  </si>
  <si>
    <t>0190</t>
  </si>
  <si>
    <t>BYERS</t>
  </si>
  <si>
    <t>0220</t>
  </si>
  <si>
    <t>ARCHULETA</t>
  </si>
  <si>
    <t>0230</t>
  </si>
  <si>
    <t>BACA</t>
  </si>
  <si>
    <t>WALSH</t>
  </si>
  <si>
    <t>0240</t>
  </si>
  <si>
    <t>PRITCHETT</t>
  </si>
  <si>
    <t>0250</t>
  </si>
  <si>
    <t>SPRINGFIELD</t>
  </si>
  <si>
    <t>0260</t>
  </si>
  <si>
    <t>VILAS</t>
  </si>
  <si>
    <t>0270</t>
  </si>
  <si>
    <t>CAMPO</t>
  </si>
  <si>
    <t>0290</t>
  </si>
  <si>
    <t>BENT</t>
  </si>
  <si>
    <t>LAS ANIMAS</t>
  </si>
  <si>
    <t>0310</t>
  </si>
  <si>
    <t>MCCLAVE</t>
  </si>
  <si>
    <t>0470</t>
  </si>
  <si>
    <t>BOULDER</t>
  </si>
  <si>
    <t>ST VRAIN</t>
  </si>
  <si>
    <t>0480</t>
  </si>
  <si>
    <t>0490</t>
  </si>
  <si>
    <t>CHAFFEE</t>
  </si>
  <si>
    <t>BUENA VISTA</t>
  </si>
  <si>
    <t>0500</t>
  </si>
  <si>
    <t>SALIDA</t>
  </si>
  <si>
    <t>0510</t>
  </si>
  <si>
    <t>CHEYENNE</t>
  </si>
  <si>
    <t>KIT CARSON</t>
  </si>
  <si>
    <t>0520</t>
  </si>
  <si>
    <t>0540</t>
  </si>
  <si>
    <t>CLEAR CREEK</t>
  </si>
  <si>
    <t>0550</t>
  </si>
  <si>
    <t>CONEJOS</t>
  </si>
  <si>
    <t>NORTH CONEJOS</t>
  </si>
  <si>
    <t>0560</t>
  </si>
  <si>
    <t>SANFORD</t>
  </si>
  <si>
    <t>0580</t>
  </si>
  <si>
    <t>SOUTH CONEJOS</t>
  </si>
  <si>
    <t>0640</t>
  </si>
  <si>
    <t>COSTILLA</t>
  </si>
  <si>
    <t>CENTENNIAL</t>
  </si>
  <si>
    <t>0740</t>
  </si>
  <si>
    <t>SIERRA GRANDE</t>
  </si>
  <si>
    <t>0770</t>
  </si>
  <si>
    <t>CROWLEY</t>
  </si>
  <si>
    <t>0860</t>
  </si>
  <si>
    <t>CUSTER</t>
  </si>
  <si>
    <t>WESTCLIFFE</t>
  </si>
  <si>
    <t>0870</t>
  </si>
  <si>
    <t>DELTA</t>
  </si>
  <si>
    <t>0880</t>
  </si>
  <si>
    <t>DENVER</t>
  </si>
  <si>
    <t>0890</t>
  </si>
  <si>
    <t>DOLORES</t>
  </si>
  <si>
    <t>0900</t>
  </si>
  <si>
    <t>DOUGLAS</t>
  </si>
  <si>
    <t>0910</t>
  </si>
  <si>
    <t>EAGLE</t>
  </si>
  <si>
    <t>0920</t>
  </si>
  <si>
    <t>ELBERT</t>
  </si>
  <si>
    <t>ELIZABETH</t>
  </si>
  <si>
    <t>0930</t>
  </si>
  <si>
    <t>KIOWA</t>
  </si>
  <si>
    <t>0940</t>
  </si>
  <si>
    <t>BIG SANDY</t>
  </si>
  <si>
    <t>0950</t>
  </si>
  <si>
    <t>0960</t>
  </si>
  <si>
    <t>AGATE</t>
  </si>
  <si>
    <t>0970</t>
  </si>
  <si>
    <t>EL PASO</t>
  </si>
  <si>
    <t>CALHAN</t>
  </si>
  <si>
    <t>0980</t>
  </si>
  <si>
    <t>HARRISON</t>
  </si>
  <si>
    <t>0990</t>
  </si>
  <si>
    <t>WIDEFIELD</t>
  </si>
  <si>
    <t>1000</t>
  </si>
  <si>
    <t>FOUNTAIN</t>
  </si>
  <si>
    <t>1010</t>
  </si>
  <si>
    <t>COLORADO SPRINGS</t>
  </si>
  <si>
    <t>1020</t>
  </si>
  <si>
    <t>CHEYENNE MOUNTAIN</t>
  </si>
  <si>
    <t>1030</t>
  </si>
  <si>
    <t>MANITOU SPRINGS</t>
  </si>
  <si>
    <t>1040</t>
  </si>
  <si>
    <t>ACADEMY</t>
  </si>
  <si>
    <t>1050</t>
  </si>
  <si>
    <t>ELLICOTT</t>
  </si>
  <si>
    <t>1060</t>
  </si>
  <si>
    <t>PEYTON</t>
  </si>
  <si>
    <t>1070</t>
  </si>
  <si>
    <t>HANOVER</t>
  </si>
  <si>
    <t>1080</t>
  </si>
  <si>
    <t>LEWIS-PALMER</t>
  </si>
  <si>
    <t>1110</t>
  </si>
  <si>
    <t>DISTRICT 49</t>
  </si>
  <si>
    <t>1120</t>
  </si>
  <si>
    <t>EDISON</t>
  </si>
  <si>
    <t>1130</t>
  </si>
  <si>
    <t>MIAMI-YODER</t>
  </si>
  <si>
    <t>1140</t>
  </si>
  <si>
    <t>FREMONT</t>
  </si>
  <si>
    <t>CANON CITY</t>
  </si>
  <si>
    <t>1150</t>
  </si>
  <si>
    <t>FREMONT RE-2</t>
  </si>
  <si>
    <t>1160</t>
  </si>
  <si>
    <t>COTOPAXI</t>
  </si>
  <si>
    <t>1180</t>
  </si>
  <si>
    <t>GARFIELD</t>
  </si>
  <si>
    <t>ROARING FORK</t>
  </si>
  <si>
    <t>1195</t>
  </si>
  <si>
    <t>RIFLE</t>
  </si>
  <si>
    <t>1220</t>
  </si>
  <si>
    <t>PARACHUTE</t>
  </si>
  <si>
    <t>1330</t>
  </si>
  <si>
    <t>GILPIN</t>
  </si>
  <si>
    <t>1340</t>
  </si>
  <si>
    <t>GRAND</t>
  </si>
  <si>
    <t>WEST GRAND</t>
  </si>
  <si>
    <t>1350</t>
  </si>
  <si>
    <t>EAST GRAND</t>
  </si>
  <si>
    <t>1360</t>
  </si>
  <si>
    <t>GUNNISON</t>
  </si>
  <si>
    <t>1380</t>
  </si>
  <si>
    <t>HINSDALE</t>
  </si>
  <si>
    <t>1390</t>
  </si>
  <si>
    <t>HUERFANO</t>
  </si>
  <si>
    <t>1400</t>
  </si>
  <si>
    <t>LA VETA</t>
  </si>
  <si>
    <t>1410</t>
  </si>
  <si>
    <t>JACKSON</t>
  </si>
  <si>
    <t>NORTH PARK</t>
  </si>
  <si>
    <t>1420</t>
  </si>
  <si>
    <t>JEFFERSON</t>
  </si>
  <si>
    <t>1430</t>
  </si>
  <si>
    <t>EADS</t>
  </si>
  <si>
    <t>1440</t>
  </si>
  <si>
    <t>PLAINVIEW</t>
  </si>
  <si>
    <t>1450</t>
  </si>
  <si>
    <t>ARRIBA-FLAGLER</t>
  </si>
  <si>
    <t>1460</t>
  </si>
  <si>
    <t>HI PLAINS</t>
  </si>
  <si>
    <t>1480</t>
  </si>
  <si>
    <t>STRATTON</t>
  </si>
  <si>
    <t>1490</t>
  </si>
  <si>
    <t>BETHUNE</t>
  </si>
  <si>
    <t>1500</t>
  </si>
  <si>
    <t>BURLINGTON</t>
  </si>
  <si>
    <t>1510</t>
  </si>
  <si>
    <t>LAKE</t>
  </si>
  <si>
    <t>1520</t>
  </si>
  <si>
    <t>LA PLATA</t>
  </si>
  <si>
    <t>DURANGO</t>
  </si>
  <si>
    <t>1530</t>
  </si>
  <si>
    <t>BAYFIELD</t>
  </si>
  <si>
    <t>1540</t>
  </si>
  <si>
    <t>IGNACIO</t>
  </si>
  <si>
    <t>1550</t>
  </si>
  <si>
    <t>LARIMER</t>
  </si>
  <si>
    <t>POUDRE</t>
  </si>
  <si>
    <t>1560</t>
  </si>
  <si>
    <t>THOMPSON</t>
  </si>
  <si>
    <t>1570</t>
  </si>
  <si>
    <t>ESTES PARK</t>
  </si>
  <si>
    <t>1580</t>
  </si>
  <si>
    <t>TRINIDAD</t>
  </si>
  <si>
    <t>1590</t>
  </si>
  <si>
    <t>PRIMERO</t>
  </si>
  <si>
    <t>1600</t>
  </si>
  <si>
    <t>HOEHNE</t>
  </si>
  <si>
    <t>1620</t>
  </si>
  <si>
    <t>AGUILAR</t>
  </si>
  <si>
    <t>1750</t>
  </si>
  <si>
    <t>BRANSON</t>
  </si>
  <si>
    <t>1760</t>
  </si>
  <si>
    <t>KIM</t>
  </si>
  <si>
    <t>1780</t>
  </si>
  <si>
    <t>LINCOLN</t>
  </si>
  <si>
    <t>GENOA-HUGO</t>
  </si>
  <si>
    <t>1790</t>
  </si>
  <si>
    <t>LIMON</t>
  </si>
  <si>
    <t>1810</t>
  </si>
  <si>
    <t>KARVAL</t>
  </si>
  <si>
    <t>1828</t>
  </si>
  <si>
    <t>LOGAN</t>
  </si>
  <si>
    <t>VALLEY</t>
  </si>
  <si>
    <t>1850</t>
  </si>
  <si>
    <t>FRENCHMAN</t>
  </si>
  <si>
    <t>1860</t>
  </si>
  <si>
    <t>BUFFALO</t>
  </si>
  <si>
    <t>1870</t>
  </si>
  <si>
    <t>PLATEAU</t>
  </si>
  <si>
    <t>1980</t>
  </si>
  <si>
    <t>MESA</t>
  </si>
  <si>
    <t>DEBEQUE</t>
  </si>
  <si>
    <t>1990</t>
  </si>
  <si>
    <t>PLATEAU VALLEY</t>
  </si>
  <si>
    <t>2000</t>
  </si>
  <si>
    <t>MESA VALLEY</t>
  </si>
  <si>
    <t>2010</t>
  </si>
  <si>
    <t>MINERAL</t>
  </si>
  <si>
    <t>CREEDE</t>
  </si>
  <si>
    <t>2020</t>
  </si>
  <si>
    <t>MOFFAT</t>
  </si>
  <si>
    <t>2035</t>
  </si>
  <si>
    <t>MONTEZUMA</t>
  </si>
  <si>
    <t>2055</t>
  </si>
  <si>
    <t>2070</t>
  </si>
  <si>
    <t>MANCOS</t>
  </si>
  <si>
    <t>2180</t>
  </si>
  <si>
    <t>MONTROSE</t>
  </si>
  <si>
    <t>2190</t>
  </si>
  <si>
    <t>WEST END</t>
  </si>
  <si>
    <t>2395</t>
  </si>
  <si>
    <t>MORGAN</t>
  </si>
  <si>
    <t>BRUSH</t>
  </si>
  <si>
    <t>2405</t>
  </si>
  <si>
    <t>FT. MORGAN</t>
  </si>
  <si>
    <t>2505</t>
  </si>
  <si>
    <t>WELDON</t>
  </si>
  <si>
    <t>2515</t>
  </si>
  <si>
    <t>WIGGINS</t>
  </si>
  <si>
    <t>2520</t>
  </si>
  <si>
    <t>OTERO</t>
  </si>
  <si>
    <t>EAST OTERO</t>
  </si>
  <si>
    <t>2530</t>
  </si>
  <si>
    <t>ROCKY FORD</t>
  </si>
  <si>
    <t>2535</t>
  </si>
  <si>
    <t>MANZANOLA</t>
  </si>
  <si>
    <t>2540</t>
  </si>
  <si>
    <t>FOWLER</t>
  </si>
  <si>
    <t>2560</t>
  </si>
  <si>
    <t>CHERAW</t>
  </si>
  <si>
    <t>2570</t>
  </si>
  <si>
    <t>SWINK</t>
  </si>
  <si>
    <t>2580</t>
  </si>
  <si>
    <t>OURAY</t>
  </si>
  <si>
    <t>2590</t>
  </si>
  <si>
    <t>RIDGWAY</t>
  </si>
  <si>
    <t>2600</t>
  </si>
  <si>
    <t>PARK</t>
  </si>
  <si>
    <t>PLATTE CANYON</t>
  </si>
  <si>
    <t>2610</t>
  </si>
  <si>
    <t>2620</t>
  </si>
  <si>
    <t>PHILLIPS</t>
  </si>
  <si>
    <t>HOLYOKE</t>
  </si>
  <si>
    <t>2630</t>
  </si>
  <si>
    <t>HAXTUN</t>
  </si>
  <si>
    <t>2640</t>
  </si>
  <si>
    <t>PITKIN</t>
  </si>
  <si>
    <t>ASPEN</t>
  </si>
  <si>
    <t>2650</t>
  </si>
  <si>
    <t>PROWERS</t>
  </si>
  <si>
    <t>GRANADA</t>
  </si>
  <si>
    <t>2660</t>
  </si>
  <si>
    <t>LAMAR</t>
  </si>
  <si>
    <t>2670</t>
  </si>
  <si>
    <t>HOLLY</t>
  </si>
  <si>
    <t>2680</t>
  </si>
  <si>
    <t>WILEY</t>
  </si>
  <si>
    <t>2690</t>
  </si>
  <si>
    <t>PUEBLO</t>
  </si>
  <si>
    <t>PUEBLO CITY</t>
  </si>
  <si>
    <t>2700</t>
  </si>
  <si>
    <t>PUEBLO RURAL</t>
  </si>
  <si>
    <t>2710</t>
  </si>
  <si>
    <t>RIO BLANCO</t>
  </si>
  <si>
    <t>MEEKER</t>
  </si>
  <si>
    <t>2720</t>
  </si>
  <si>
    <t>RANGELY</t>
  </si>
  <si>
    <t>2730</t>
  </si>
  <si>
    <t>RIO GRANDE</t>
  </si>
  <si>
    <t>DEL NORTE</t>
  </si>
  <si>
    <t>2740</t>
  </si>
  <si>
    <t>MONTE VISTA</t>
  </si>
  <si>
    <t>2750</t>
  </si>
  <si>
    <t>SARGENT</t>
  </si>
  <si>
    <t>2760</t>
  </si>
  <si>
    <t>ROUTT</t>
  </si>
  <si>
    <t>HAYDEN</t>
  </si>
  <si>
    <t>2770</t>
  </si>
  <si>
    <t>STEAMBOAT SPRINGS</t>
  </si>
  <si>
    <t>2780</t>
  </si>
  <si>
    <t>SOUTH ROUTT</t>
  </si>
  <si>
    <t>2790</t>
  </si>
  <si>
    <t>SAGUACHE</t>
  </si>
  <si>
    <t>MOUNTAIN VALLEY</t>
  </si>
  <si>
    <t>2800</t>
  </si>
  <si>
    <t>2810</t>
  </si>
  <si>
    <t>CENTER</t>
  </si>
  <si>
    <t>2820</t>
  </si>
  <si>
    <t>SAN JUAN</t>
  </si>
  <si>
    <t>SILVERTON</t>
  </si>
  <si>
    <t>2830</t>
  </si>
  <si>
    <t>SAN MIGUEL</t>
  </si>
  <si>
    <t>TELLURIDE</t>
  </si>
  <si>
    <t>2840</t>
  </si>
  <si>
    <t>NORWOOD</t>
  </si>
  <si>
    <t>2862</t>
  </si>
  <si>
    <t>SEDGWICK</t>
  </si>
  <si>
    <t>JULESBURG</t>
  </si>
  <si>
    <t>2865</t>
  </si>
  <si>
    <t>REVERE</t>
  </si>
  <si>
    <t>3000</t>
  </si>
  <si>
    <t>SUMMIT</t>
  </si>
  <si>
    <t>3010</t>
  </si>
  <si>
    <t>TELLER</t>
  </si>
  <si>
    <t>CRIPPLE CREEK</t>
  </si>
  <si>
    <t>3020</t>
  </si>
  <si>
    <t>WOODLAND PARK</t>
  </si>
  <si>
    <t>3030</t>
  </si>
  <si>
    <t>WASHINGTON</t>
  </si>
  <si>
    <t>AKRON</t>
  </si>
  <si>
    <t>3040</t>
  </si>
  <si>
    <t>ARICKAREE</t>
  </si>
  <si>
    <t>3050</t>
  </si>
  <si>
    <t>OTIS</t>
  </si>
  <si>
    <t>3060</t>
  </si>
  <si>
    <t>LONE STAR</t>
  </si>
  <si>
    <t>3070</t>
  </si>
  <si>
    <t>WOODLIN</t>
  </si>
  <si>
    <t>3080</t>
  </si>
  <si>
    <t>WELD</t>
  </si>
  <si>
    <t>GILCREST</t>
  </si>
  <si>
    <t>3085</t>
  </si>
  <si>
    <t>EATON</t>
  </si>
  <si>
    <t>3090</t>
  </si>
  <si>
    <t>KEENESBURG</t>
  </si>
  <si>
    <t>3100</t>
  </si>
  <si>
    <t>WINDSOR</t>
  </si>
  <si>
    <t>3110</t>
  </si>
  <si>
    <t>JOHNSTOWN</t>
  </si>
  <si>
    <t>3120</t>
  </si>
  <si>
    <t>GREELEY</t>
  </si>
  <si>
    <t>3130</t>
  </si>
  <si>
    <t>PLATTE VALLEY</t>
  </si>
  <si>
    <t>3140</t>
  </si>
  <si>
    <t>FT. LUPTON</t>
  </si>
  <si>
    <t>3145</t>
  </si>
  <si>
    <t>AULT-HIGHLAND</t>
  </si>
  <si>
    <t>3146</t>
  </si>
  <si>
    <t>BRIGGSDALE</t>
  </si>
  <si>
    <t>3147</t>
  </si>
  <si>
    <t>PRAIRIE</t>
  </si>
  <si>
    <t>3148</t>
  </si>
  <si>
    <t>PAWNEE</t>
  </si>
  <si>
    <t>3200</t>
  </si>
  <si>
    <t>YUMA</t>
  </si>
  <si>
    <t>YUMA 1</t>
  </si>
  <si>
    <t>3210</t>
  </si>
  <si>
    <t>WRAY RD-2</t>
  </si>
  <si>
    <t>3220</t>
  </si>
  <si>
    <t>IDALIA RJ-3</t>
  </si>
  <si>
    <t>3230</t>
  </si>
  <si>
    <t>LIBERTY J-4</t>
  </si>
  <si>
    <t>Transportation Fund</t>
  </si>
  <si>
    <t xml:space="preserve">Input Dollar Amount of MLO from Ballot Question </t>
  </si>
  <si>
    <t>Special Building and Tech Fund</t>
  </si>
  <si>
    <t>General fund</t>
  </si>
  <si>
    <t>Bond fund</t>
  </si>
  <si>
    <t>Special Building &amp; Tech Fund</t>
  </si>
  <si>
    <t>All Funds taxes, Excluding Bond</t>
  </si>
  <si>
    <t xml:space="preserve">    Total Mills</t>
  </si>
  <si>
    <t>Total $ Property Tax</t>
  </si>
  <si>
    <t>District Name</t>
  </si>
  <si>
    <t>This Schedule Assumes that January(Paid Feb 10th) through July(Paid Aug 10).  If your district ends includes going through August (Paid Sep 10), You'll to insert a new column between R &amp; S</t>
  </si>
  <si>
    <t>Should be booked to next Fiscal Year</t>
  </si>
  <si>
    <t>AUDIT SECTION</t>
  </si>
  <si>
    <t>Property Tax Receipts</t>
  </si>
  <si>
    <t>Booked in Current Fiscal year</t>
  </si>
  <si>
    <t>General Fund #10</t>
  </si>
  <si>
    <t>Time Period that relates to Mill Certification in December of the fiscal year</t>
  </si>
  <si>
    <t>Total</t>
  </si>
  <si>
    <t xml:space="preserve"> % Collected in Current Fiscal Year</t>
  </si>
  <si>
    <t>Input from</t>
  </si>
  <si>
    <t>GL</t>
  </si>
  <si>
    <t>Paid on Date</t>
  </si>
  <si>
    <t>Concept is to show the EXPECTED Property tax collection remaining to be collected in the Calendar year.</t>
  </si>
  <si>
    <t>Property Tax is Collected January-December &amp; District Fiscal Year is July-June</t>
  </si>
  <si>
    <t>Period</t>
  </si>
  <si>
    <t>July</t>
  </si>
  <si>
    <t>August</t>
  </si>
  <si>
    <t>September</t>
  </si>
  <si>
    <t>October</t>
  </si>
  <si>
    <t>November</t>
  </si>
  <si>
    <t>December</t>
  </si>
  <si>
    <t>January</t>
  </si>
  <si>
    <t>February</t>
  </si>
  <si>
    <t>March 1-20</t>
  </si>
  <si>
    <t>March 21-31</t>
  </si>
  <si>
    <t>April</t>
  </si>
  <si>
    <t>May 1-20</t>
  </si>
  <si>
    <t>May 21-31</t>
  </si>
  <si>
    <t>June 1-20</t>
  </si>
  <si>
    <t>June 21-30</t>
  </si>
  <si>
    <t>Accrual</t>
  </si>
  <si>
    <t>Balance</t>
  </si>
  <si>
    <t>Check Figures</t>
  </si>
  <si>
    <t xml:space="preserve">Balance Sheet ENTRY </t>
  </si>
  <si>
    <t>Cash 10-8101</t>
  </si>
  <si>
    <t>AR 10-8121</t>
  </si>
  <si>
    <t>Revenue Source Code</t>
  </si>
  <si>
    <t>Current</t>
  </si>
  <si>
    <t>Property taxed booked to Previous Fiscal Year</t>
  </si>
  <si>
    <t xml:space="preserve">Total General Fund Property tax collected (Columns I-R or Period January-July) </t>
  </si>
  <si>
    <t>Delinquent</t>
  </si>
  <si>
    <t>Fund Receivable and deferral</t>
  </si>
  <si>
    <t>Interest</t>
  </si>
  <si>
    <t>Audit Accounting Entry to book Taxes Accounts Receivable (8121) and Deferred Inflows (7800)</t>
  </si>
  <si>
    <t>Debit</t>
  </si>
  <si>
    <t>Credit</t>
  </si>
  <si>
    <t>Specific Ownership taxes</t>
  </si>
  <si>
    <t>Accts Recv</t>
  </si>
  <si>
    <t xml:space="preserve"> 10.000.00.0000.8121.000.0000 </t>
  </si>
  <si>
    <t>Senior exemptions-Once a year)</t>
  </si>
  <si>
    <t xml:space="preserve"> 10.000.00.0000.7800.000.0000 </t>
  </si>
  <si>
    <t>CPW-(once a year)</t>
  </si>
  <si>
    <t>Total Additions</t>
  </si>
  <si>
    <t>Supplemental Analysis: Total Collected during Calendar Year vs. Amount Certified in December of that Fiscal Year</t>
  </si>
  <si>
    <t>Concept is check the Remaining Months Aug-Dec collections against Receivable and Expenses</t>
  </si>
  <si>
    <t>Abatement - Current Year</t>
  </si>
  <si>
    <t>Fund Receivable and Deferred Inflows</t>
  </si>
  <si>
    <t>Abatement - Prior Year</t>
  </si>
  <si>
    <t>Actual Collected Aug-Dec from upcoming Fiscal Year</t>
  </si>
  <si>
    <t xml:space="preserve">Abatement Interest - Current Year </t>
  </si>
  <si>
    <t>% Actual to Certification Variance</t>
  </si>
  <si>
    <t>Abatement Interest - Prior Year</t>
  </si>
  <si>
    <t>Delinquent interest - Current Year</t>
  </si>
  <si>
    <t>Delinquent interest - Prior Year</t>
  </si>
  <si>
    <t>TIF (if Applicable)</t>
  </si>
  <si>
    <t>Delinquent TIF</t>
  </si>
  <si>
    <t>EXPENSE Entry (shown as a negative, but is a DEBIT to Expense)</t>
  </si>
  <si>
    <t>Treasurer's fees</t>
  </si>
  <si>
    <t>10-XXX-XX-25XX-0311-0000-0000</t>
  </si>
  <si>
    <t>Total Deductions</t>
  </si>
  <si>
    <t>Total Additions less Deductions</t>
  </si>
  <si>
    <t>Supplemental Analysis Specific Ownership Tracking</t>
  </si>
  <si>
    <t>FY22 SOT</t>
  </si>
  <si>
    <t>FY21 SOT</t>
  </si>
  <si>
    <t>FY20 SOT</t>
  </si>
  <si>
    <t>Bond Fund #31</t>
  </si>
  <si>
    <t>31-XXX-XX-25XX-0311-0000-0000</t>
  </si>
  <si>
    <t>Cash 31-8101</t>
  </si>
  <si>
    <t>AR 31-8121</t>
  </si>
  <si>
    <t xml:space="preserve"> 31.000.00.0000.8121.000.0000 </t>
  </si>
  <si>
    <t xml:space="preserve"> 31.000.00.0000.7800.000.0000 </t>
  </si>
  <si>
    <t>Transportation Fund #25</t>
  </si>
  <si>
    <t xml:space="preserve"> 25.000.00.0000.8121.000.0000 </t>
  </si>
  <si>
    <t xml:space="preserve"> 25.000.00.0000.7800.000.0000 </t>
  </si>
  <si>
    <t>25-XXX-XX-25XX-0311-0000-0000</t>
  </si>
  <si>
    <t xml:space="preserve"> 42.000.00.0000.8121.000.0000 </t>
  </si>
  <si>
    <t xml:space="preserve"> 42.000.00.0000.7800.000.0000 </t>
  </si>
  <si>
    <t>Cash 25-8101</t>
  </si>
  <si>
    <t>AR 25-8121</t>
  </si>
  <si>
    <t>Cash 42-8101</t>
  </si>
  <si>
    <t>AR 42-8121</t>
  </si>
  <si>
    <t>42-XXX-XX-25XX-0311-0000-0000</t>
  </si>
  <si>
    <t xml:space="preserve"> 46 or 06.000.00.0000.8121.000.0000 </t>
  </si>
  <si>
    <t xml:space="preserve"> 46 or 06.000.00.0000.7800.000.0000 </t>
  </si>
  <si>
    <t>46 or 06-XXX-XX-25XX-0311-0000-0000</t>
  </si>
  <si>
    <t>Property Tax Mill Levy</t>
  </si>
  <si>
    <t xml:space="preserve">In compliance with Colorado Revised Statute 22-40-102(6), this is to certify that the </t>
  </si>
  <si>
    <t>and is comprised of the following:</t>
  </si>
  <si>
    <t>FUND</t>
  </si>
  <si>
    <t>Mill Total</t>
  </si>
  <si>
    <t xml:space="preserve">Total Program </t>
  </si>
  <si>
    <t>Hold Harmless</t>
  </si>
  <si>
    <t>Abatement</t>
  </si>
  <si>
    <t>Special Building &amp; Technology</t>
  </si>
  <si>
    <t>Supplemental Capital Construction, Technology, &amp; Maintenance</t>
  </si>
  <si>
    <t>Total Non-General Fund</t>
  </si>
  <si>
    <t>Voter Approved Mill Levy Override/s</t>
  </si>
  <si>
    <t xml:space="preserve">portion that is "Applied" to Total Program.  </t>
  </si>
  <si>
    <t>which changes the assessment rate within categories of Residential and</t>
  </si>
  <si>
    <t>CDE Mill Levy Certification Form</t>
  </si>
  <si>
    <t xml:space="preserve">Each Fund Collections </t>
  </si>
  <si>
    <t>For each fund that has a Property Tax component,</t>
  </si>
  <si>
    <t xml:space="preserve">Columns Y-AF calculate the Audit Entry to </t>
  </si>
  <si>
    <t>is the difference between the CERTIFIED $ amount LESS</t>
  </si>
  <si>
    <t>the amount collected through a certain date.</t>
  </si>
  <si>
    <t>these tabs tracks the distributions from the County</t>
  </si>
  <si>
    <t xml:space="preserve">record the Account Receivable and Deferred Inflow, which </t>
  </si>
  <si>
    <t>Commercial.</t>
  </si>
  <si>
    <t xml:space="preserve">Annual Residential Taxes </t>
  </si>
  <si>
    <t>FY 2022- Mill Certified December 2021</t>
  </si>
  <si>
    <t>Time Period that relates to Mill Certification in December of the previous December</t>
  </si>
  <si>
    <t>Audit Entry to Book Recoverable &amp; Deferred Revenue</t>
  </si>
  <si>
    <t>Penalties</t>
  </si>
  <si>
    <t>SOT can variable based on economic conditions.  Tracking will helping budgeting</t>
  </si>
  <si>
    <t>Deferred Inflows</t>
  </si>
  <si>
    <t>Audit Entry to Book Receivable &amp; Deferred Revenue</t>
  </si>
  <si>
    <t>Special Building &amp; Technology Fund  #25</t>
  </si>
  <si>
    <t>Supplemental CC, Tech, &amp; Main Fund 46 or 06</t>
  </si>
  <si>
    <t xml:space="preserve"> Increase in NET A.V. Amount</t>
  </si>
  <si>
    <t>Increase in NET A.V. Percent</t>
  </si>
  <si>
    <t>This spreadsheet has many links.  Please double check your work to make sure that links are working properly.  CDE is not responsible for any errors or discrepancies in the creation of your budget.  It is your responsibility to ensure that all formulas and totals are working properly.</t>
  </si>
  <si>
    <t>Street Address</t>
  </si>
  <si>
    <t>City, State Zip</t>
  </si>
  <si>
    <t>Name</t>
  </si>
  <si>
    <t>Superintendent</t>
  </si>
  <si>
    <t>Chief Financial Officer</t>
  </si>
  <si>
    <t xml:space="preserve">      a.  Hold harmless </t>
  </si>
  <si>
    <t xml:space="preserve">      b.  Excess hold harmless</t>
  </si>
  <si>
    <t>Voter Approved Override</t>
  </si>
  <si>
    <t>Check Figure Must be Zero</t>
  </si>
  <si>
    <t>13. Total</t>
  </si>
  <si>
    <t>Auto Populate with Cell G2 = District Code</t>
  </si>
  <si>
    <t>Color Code</t>
  </si>
  <si>
    <t>School District  Final Mill Certified:</t>
  </si>
  <si>
    <t>Data Pulled from Calculation Worksheet</t>
  </si>
  <si>
    <t>Net Program Mills</t>
  </si>
  <si>
    <t>Total Program Mill</t>
  </si>
  <si>
    <t>Excess Hold Harmless</t>
  </si>
  <si>
    <t>VOTER APPROVED</t>
  </si>
  <si>
    <t>Voter Approved Total</t>
  </si>
  <si>
    <t xml:space="preserve">    Total General Fund</t>
  </si>
  <si>
    <t>Primary County</t>
  </si>
  <si>
    <t xml:space="preserve">  1995 Hold Harmless Fixed $ Amount (Row 78-V6 Calculation Worksheet)</t>
  </si>
  <si>
    <t>$s</t>
  </si>
  <si>
    <t>Calculation to Rounded 3rd decimal point worksheet in COLUMNS K-N. The $ amounts most likely will be  more or less than the actual value due to Rounding to 3rd decimal point</t>
  </si>
  <si>
    <t>Mill</t>
  </si>
  <si>
    <t>Supplemental capital construction, technology, &amp; maintenance fund</t>
  </si>
  <si>
    <t>Other (Loan, Charter School)</t>
  </si>
  <si>
    <t xml:space="preserve">Specific Ownership Taxes- Percentage (Total Mills Less Bond and General Fund MLO) divided by Total Mills </t>
  </si>
  <si>
    <t>Percentage Calculated</t>
  </si>
  <si>
    <t xml:space="preserve"> 10.  Special Building and Technology</t>
  </si>
  <si>
    <t xml:space="preserve">The millage total is based on a net assessed value of: </t>
  </si>
  <si>
    <t xml:space="preserve">The print section is columns B-H. </t>
  </si>
  <si>
    <t>Columns J-M will help calculate the correct mill levy amount, rounded</t>
  </si>
  <si>
    <t>SOT, through the pipeline submission.  That number is applied to the previous</t>
  </si>
  <si>
    <t>Calculation of County Tax Collection Rate</t>
  </si>
  <si>
    <t xml:space="preserve">  Budget for County fees/Treasurer Fee</t>
  </si>
  <si>
    <t>Creates the resolution for the Board of Education to Certify the Mills in December</t>
  </si>
  <si>
    <t xml:space="preserve">The Current year information is PULLED from the Calculation Worksheet Tab.  The Prior year and August values are PULLED from other tabs </t>
  </si>
  <si>
    <t>Mill Levy Certification</t>
  </si>
  <si>
    <t>DATE of BOE Approval</t>
  </si>
  <si>
    <t xml:space="preserve"> Throughout the file the Color code is:</t>
  </si>
  <si>
    <t xml:space="preserve">  </t>
  </si>
  <si>
    <t>Basics</t>
  </si>
  <si>
    <t>1st Section</t>
  </si>
  <si>
    <t xml:space="preserve"> Rows 7-23</t>
  </si>
  <si>
    <t>2nd Section: General Fund Total Program Mill</t>
  </si>
  <si>
    <t xml:space="preserve">Header: Comparing Previous Year to Current Year </t>
  </si>
  <si>
    <t>3rd Section: General Fund Non-Total Program Mill Calculation</t>
  </si>
  <si>
    <t xml:space="preserve"> 2nd Section</t>
  </si>
  <si>
    <t xml:space="preserve"> 3rd Section</t>
  </si>
  <si>
    <t>4th Section</t>
  </si>
  <si>
    <t>2A</t>
  </si>
  <si>
    <t>2B</t>
  </si>
  <si>
    <t>5th Section</t>
  </si>
  <si>
    <t>4th Section: Bond Fund Principal and Interest Amount Certification</t>
  </si>
  <si>
    <t>5th Section: Transportation Mill Levy Override</t>
  </si>
  <si>
    <t>6th Section</t>
  </si>
  <si>
    <t>7th Section</t>
  </si>
  <si>
    <t xml:space="preserve">6th Section: Special Building &amp; Tech Fund </t>
  </si>
  <si>
    <t>8th Section</t>
  </si>
  <si>
    <t>8th Section: Other</t>
  </si>
  <si>
    <t>9th Section</t>
  </si>
  <si>
    <t>10th Section</t>
  </si>
  <si>
    <t>11th Section</t>
  </si>
  <si>
    <t>11th Section: Calculation of Treasurer Fee</t>
  </si>
  <si>
    <t>DON'T PRESENT THIS PAGE</t>
  </si>
  <si>
    <t xml:space="preserve">7th Section: Supplemental Capital Construction, Technology, &amp; Maintenance Fund </t>
  </si>
  <si>
    <t>* This is calculated by  taking Total Program before the Budget Stabilization Factor, then dividing by the net assessed valuation.  As if there was no State Equalization</t>
  </si>
  <si>
    <t>* Tax Increment Financing districts in your district split off property taxes related to approved TIF districts.</t>
  </si>
  <si>
    <t>Row 25</t>
  </si>
  <si>
    <t>Location/Link on Mill Levy</t>
  </si>
  <si>
    <t>Row 21</t>
  </si>
  <si>
    <t>Row 23</t>
  </si>
  <si>
    <t>Row 30</t>
  </si>
  <si>
    <t>Row 32</t>
  </si>
  <si>
    <t>Row 34</t>
  </si>
  <si>
    <t>Categorical Buyout Mills</t>
  </si>
  <si>
    <t>Total Program Reserve Mills</t>
  </si>
  <si>
    <t>Row 37</t>
  </si>
  <si>
    <t>Row 39</t>
  </si>
  <si>
    <t>Row 41</t>
  </si>
  <si>
    <t>Row 45</t>
  </si>
  <si>
    <t>Row 47</t>
  </si>
  <si>
    <t>Row 51</t>
  </si>
  <si>
    <t>Row 50</t>
  </si>
  <si>
    <t>Row 52</t>
  </si>
  <si>
    <t>Row 57</t>
  </si>
  <si>
    <t>Row 55</t>
  </si>
  <si>
    <t>Row 53</t>
  </si>
  <si>
    <t>Row 60</t>
  </si>
  <si>
    <t>Row 62</t>
  </si>
  <si>
    <t>Row 64</t>
  </si>
  <si>
    <t xml:space="preserve"> 11.  Supplemental capital construction,  technology, &amp; maintenance Fund</t>
  </si>
  <si>
    <t>Row 66</t>
  </si>
  <si>
    <t>Row 68</t>
  </si>
  <si>
    <t>Row 70</t>
  </si>
  <si>
    <t>Row 27</t>
  </si>
  <si>
    <t>Cell E11</t>
  </si>
  <si>
    <t>Cell E10</t>
  </si>
  <si>
    <t>Cell E12</t>
  </si>
  <si>
    <t>Column E Location/Link on Calculation Worksheet</t>
  </si>
  <si>
    <t>Cell E21</t>
  </si>
  <si>
    <t>Cell F33</t>
  </si>
  <si>
    <t>Cell F34</t>
  </si>
  <si>
    <t>Cell F35</t>
  </si>
  <si>
    <t>Cell F40</t>
  </si>
  <si>
    <t>Cell F41</t>
  </si>
  <si>
    <t>Cell F49</t>
  </si>
  <si>
    <t>Cell F51</t>
  </si>
  <si>
    <t>Cell F59</t>
  </si>
  <si>
    <t>Cell F66</t>
  </si>
  <si>
    <t>Cell F73</t>
  </si>
  <si>
    <t>Cell F81</t>
  </si>
  <si>
    <t>Cell F87</t>
  </si>
  <si>
    <t>Cell E99</t>
  </si>
  <si>
    <t>December's Certified Mill $ Total (Cell E66 on Calculation Worksheet tab)</t>
  </si>
  <si>
    <t>December's Certified Mill $ Total (Cell E59 on Calculation Worksheet tab)</t>
  </si>
  <si>
    <t>December's Certified Mill $ Total (Cell E51 on Calculation Worksheet tab)</t>
  </si>
  <si>
    <t>December's Certified Mill $ Total (Cell E73 on Calculation Worksheet tab)</t>
  </si>
  <si>
    <t>December's Certified Mill $ Total (Cell E81 on Calculation Worksheet tab)</t>
  </si>
  <si>
    <t xml:space="preserve">Treasurer in Columns C-R.  </t>
  </si>
  <si>
    <t>Item Booked in Current Year</t>
  </si>
  <si>
    <t>AUDIT ENTRY: Booking taxes Receivable &amp; Deferred Inflow</t>
  </si>
  <si>
    <t>5c. Total Voter Approved Override</t>
  </si>
  <si>
    <t>FY 2023- Mill Certified December 2022</t>
  </si>
  <si>
    <t>County #1</t>
  </si>
  <si>
    <t>County #2</t>
  </si>
  <si>
    <t>County #3</t>
  </si>
  <si>
    <t>County #4</t>
  </si>
  <si>
    <t>TOTAL</t>
  </si>
  <si>
    <t>August Column Comments</t>
  </si>
  <si>
    <t>Provided by County Assessor</t>
  </si>
  <si>
    <t>Provided by Assessor (may not be included)</t>
  </si>
  <si>
    <t>Cell C1</t>
  </si>
  <si>
    <t>Supplm. Cap Constr, Tech, Def Maint</t>
  </si>
  <si>
    <t>Aug 22 v FY22</t>
  </si>
  <si>
    <t>Aug Mill levy Projections</t>
  </si>
  <si>
    <t>Suppl. Cap Constr, Tech, Def Maint</t>
  </si>
  <si>
    <t>C1</t>
  </si>
  <si>
    <t>First thing</t>
  </si>
  <si>
    <t>To get your district's data</t>
  </si>
  <si>
    <t>$</t>
  </si>
  <si>
    <t xml:space="preserve"> by HB20-1480</t>
  </si>
  <si>
    <t xml:space="preserve">1st Section: Establishing Net Assessed Valuation. This is the value that all MILLS and DOLLAR calculations are based on.  </t>
  </si>
  <si>
    <t>First</t>
  </si>
  <si>
    <t>Second</t>
  </si>
  <si>
    <t>District Code</t>
  </si>
  <si>
    <t xml:space="preserve">4-Digit </t>
  </si>
  <si>
    <t>Rina Barkhuizen</t>
  </si>
  <si>
    <t>rbarkhuizen@burlingtonk12.org</t>
  </si>
  <si>
    <t>Burlington</t>
  </si>
  <si>
    <t>719 346 8737</t>
  </si>
  <si>
    <t xml:space="preserve">Petrukitas Pat </t>
  </si>
  <si>
    <t>ppetrukitas@hanoverhornets.org</t>
  </si>
  <si>
    <t>Hanover</t>
  </si>
  <si>
    <t>719 683 2247x 306</t>
  </si>
  <si>
    <t>Maria Ramthun</t>
  </si>
  <si>
    <t>mramthun@debeque.k12.co.us</t>
  </si>
  <si>
    <t>DeBeque</t>
  </si>
  <si>
    <t>970 283 5418</t>
  </si>
  <si>
    <t>Lucinda Carpenter</t>
  </si>
  <si>
    <t>lucinda.carpenter@creedek12.net</t>
  </si>
  <si>
    <t>Creede</t>
  </si>
  <si>
    <t>719 658 2220 x 113</t>
  </si>
  <si>
    <t xml:space="preserve">Tia Mills </t>
  </si>
  <si>
    <t>tmills@gunnisonschools.net</t>
  </si>
  <si>
    <t>Gunnison</t>
  </si>
  <si>
    <t>970 641 7712</t>
  </si>
  <si>
    <t>Terry Kimber</t>
  </si>
  <si>
    <t>kimbert@wsd3.org</t>
  </si>
  <si>
    <t>Widefeld</t>
  </si>
  <si>
    <t>719 391 3026</t>
  </si>
  <si>
    <t>Cathy Watts</t>
  </si>
  <si>
    <t>cathy.watts@asd20.org</t>
  </si>
  <si>
    <t>Academy 20</t>
  </si>
  <si>
    <t>719 234 1278</t>
  </si>
  <si>
    <t>Robyn Klunder</t>
  </si>
  <si>
    <t>robyn.klunder@miamiyoder.org</t>
  </si>
  <si>
    <t>Miami Yoder</t>
  </si>
  <si>
    <t>719 478 2206 x1501</t>
  </si>
  <si>
    <t>Shelly Becker</t>
  </si>
  <si>
    <t>sbecker@hsd2.org</t>
  </si>
  <si>
    <t>Harrison</t>
  </si>
  <si>
    <t>719 579 2037</t>
  </si>
  <si>
    <t>Ciara Bartholomew</t>
  </si>
  <si>
    <t>cbartholomew@southrouttk12.org</t>
  </si>
  <si>
    <t>South Routt</t>
  </si>
  <si>
    <t>970 870 3788</t>
  </si>
  <si>
    <t xml:space="preserve">Justin Petrone </t>
  </si>
  <si>
    <t>justin.petrone@bvsd.org</t>
  </si>
  <si>
    <t>Boulder</t>
  </si>
  <si>
    <t>720 561 5008</t>
  </si>
  <si>
    <t>Toni Miller</t>
  </si>
  <si>
    <t xml:space="preserve"> toni.miller@morgan.k12.co.us</t>
  </si>
  <si>
    <t>Fort Morgan</t>
  </si>
  <si>
    <t>970 370 6107</t>
  </si>
  <si>
    <t>Glenn</t>
  </si>
  <si>
    <t>Tim</t>
  </si>
  <si>
    <t>Gene</t>
  </si>
  <si>
    <t>Yes</t>
  </si>
  <si>
    <t>Input Dollar Amount of Bond from Ballot Question or needed to make Payments</t>
  </si>
  <si>
    <r>
      <t xml:space="preserve">Input Column J to rounded to three 3 decimal points </t>
    </r>
    <r>
      <rPr>
        <b/>
        <sz val="12"/>
        <color theme="1"/>
        <rFont val="Times New Roman"/>
        <family val="1"/>
      </rPr>
      <t>OR</t>
    </r>
    <r>
      <rPr>
        <sz val="12"/>
        <color theme="1"/>
        <rFont val="Times New Roman"/>
        <family val="1"/>
      </rPr>
      <t xml:space="preserve">  fixed Mill amount</t>
    </r>
  </si>
  <si>
    <r>
      <t xml:space="preserve">Input Column J to rounded to three 3 decimal points </t>
    </r>
    <r>
      <rPr>
        <b/>
        <sz val="12"/>
        <color theme="1"/>
        <rFont val="Times New Roman"/>
        <family val="1"/>
      </rPr>
      <t>OR</t>
    </r>
    <r>
      <rPr>
        <sz val="12"/>
        <color theme="1"/>
        <rFont val="Times New Roman"/>
        <family val="1"/>
      </rPr>
      <t xml:space="preserve"> fixed Mill amount</t>
    </r>
  </si>
  <si>
    <t>Not Provided</t>
  </si>
  <si>
    <t>12. Other (Loan, Charter School,)</t>
  </si>
  <si>
    <t>Details for #12 other</t>
  </si>
  <si>
    <t>Mill Levy</t>
  </si>
  <si>
    <t>Row 54</t>
  </si>
  <si>
    <t>Cell F53</t>
  </si>
  <si>
    <t>9th Section: Rows 92-101 provide a summary of all the funds, comparing current &amp; prior year</t>
  </si>
  <si>
    <t xml:space="preserve">* The gross assessed valuation comes from the County's certification of valuation.  </t>
  </si>
  <si>
    <t xml:space="preserve">* Tax Abatements are found on the same certification of valuation.  This amount is important since it allows for the </t>
  </si>
  <si>
    <t>Only used for districts that are fully funded by Local Property tax. Can vary year to year. Contact Tim Kahle</t>
  </si>
  <si>
    <t>Total General Fund Mill Levy</t>
  </si>
  <si>
    <t>* District is responsible for calculating the bond redemption mill levy based upon the amount need to pay the UPCOMING June and Dec Interest &amp; Principal payments. Every ballot question lists a maximum annual amount that can be collected.  DO NOT EXCEED.</t>
  </si>
  <si>
    <t>*Total Mills across all Funds</t>
  </si>
  <si>
    <t>Certified $  Amount (Flows to  column E)</t>
  </si>
  <si>
    <t>Certified $  Amount (Flows to  Cell E59)</t>
  </si>
  <si>
    <t>Certified $  Amount (Flows to  Cell E66)</t>
  </si>
  <si>
    <t>Certified $  Amount (Flows to  Cell E73)</t>
  </si>
  <si>
    <t>Certified $  Amount (Flows to  Cells E81)</t>
  </si>
  <si>
    <t>Certified $  Amount (Flows to  Cells E87)</t>
  </si>
  <si>
    <t>ONLY FULLY LOCALLY FUNDED Based on Aug 25 NAV</t>
  </si>
  <si>
    <t>No Need to Calculate with change in Dec AV from Aug 25</t>
  </si>
  <si>
    <t>This spreadsheet has many links.  Please double check your work to make sure that links are working properly.  CDE is not responsible for any errors or discrepancies in the creation of your Mill Levy Certification.  It is your responsibility to ensure that all formulas and totals are working properly.</t>
  </si>
  <si>
    <t xml:space="preserve">INPUT four digit district code on the Calculation Worksheet tab in </t>
  </si>
  <si>
    <t>Only used for districts that are fully funded by Local Property tax. Can vary year to year. Contact Tim Kahle for Dec Values</t>
  </si>
  <si>
    <t>Calculation-Locked</t>
  </si>
  <si>
    <t>This mill has a 3 year sunset &amp; a Maximum of 10 mills</t>
  </si>
  <si>
    <t>12th Section</t>
  </si>
  <si>
    <t>Pulls info from Calc Worksheet Tab and Hidden Tabs</t>
  </si>
  <si>
    <t>Caution: Do NOT certify more than the maximum allowable per bond question</t>
  </si>
  <si>
    <t>* The lesser of number of mills needed to get to total program, mill levy just prior to de-taboring year or 27 mills.</t>
  </si>
  <si>
    <t>14. Estimated Full Funding Mill Levy</t>
  </si>
  <si>
    <t>15. Projected Gross Funding from State (Before budget stabilization factor)</t>
  </si>
  <si>
    <t>Bond Fund</t>
  </si>
  <si>
    <t xml:space="preserve">Transportation Fund </t>
  </si>
  <si>
    <t>Suppl. Capital Construct., Tech, &amp; Maint Fund</t>
  </si>
  <si>
    <t>General Fund MLO (if Assessor breakouts separately)</t>
  </si>
  <si>
    <t>Fixed for FY24-Both Aug &amp; Dec</t>
  </si>
  <si>
    <t>Fixed for FY24-Both Aug &amp; Dec, Based off Aug 25's NAV</t>
  </si>
  <si>
    <t>Depicts districts projected to be totally locally funded</t>
  </si>
  <si>
    <t>Requires reduction of General Fund Mill levy for Categorical and Program reserve Mills</t>
  </si>
  <si>
    <t>FY24 Actual $</t>
  </si>
  <si>
    <t>FY24 Actual Mills</t>
  </si>
  <si>
    <t>FULL TOTAL PROGRAM MILL (ML2)</t>
  </si>
  <si>
    <t>TOTAL PRG (GT1)</t>
  </si>
  <si>
    <t>STATE SHARE FUND (GT4)</t>
  </si>
  <si>
    <t>Input District Name</t>
  </si>
  <si>
    <t>Input two-digit date of Board session</t>
  </si>
  <si>
    <t>Input by District</t>
  </si>
  <si>
    <t>Calculation Worksheet tab.</t>
  </si>
  <si>
    <t xml:space="preserve">The information on this sheet is pulled from the </t>
  </si>
  <si>
    <t>DON'T PRINT ABOVE THIS LINE. PRINT RANGE IS A13-C45</t>
  </si>
  <si>
    <t>Signature of Board of Education President</t>
  </si>
  <si>
    <t>Print this off and have BOE President sign.</t>
  </si>
  <si>
    <t xml:space="preserve">Estimated Full Funding Mill Levy </t>
  </si>
  <si>
    <t xml:space="preserve">Projected Gross Funding from State </t>
  </si>
  <si>
    <t>tax year 2024 (to be collected in 2025) at:</t>
  </si>
  <si>
    <t>Fiscal Year 2024-25</t>
  </si>
  <si>
    <t>Form Completed By:</t>
  </si>
  <si>
    <t>LINK FOR DATA SUBMISSION</t>
  </si>
  <si>
    <t>Scroll right to enter county information</t>
  </si>
  <si>
    <t>Enter 4 Digit District code as text</t>
  </si>
  <si>
    <t>District Mill Levy Valuation December 2024 for Taxes collected 2025</t>
  </si>
  <si>
    <r>
      <t xml:space="preserve"> Valuation Year</t>
    </r>
    <r>
      <rPr>
        <b/>
        <sz val="14"/>
        <rFont val="Times New Roman"/>
        <family val="1"/>
      </rPr>
      <t xml:space="preserve"> 2024 to be collected in 2025</t>
    </r>
  </si>
  <si>
    <t>Color Code:</t>
  </si>
  <si>
    <t>12/15/2024 Total</t>
  </si>
  <si>
    <t>12/15/24 Gross Assessed Value</t>
  </si>
  <si>
    <t>12/15/24 Tax Incremental Financing</t>
  </si>
  <si>
    <t>12/15/24 NET ASSESSED VALUE</t>
  </si>
  <si>
    <t xml:space="preserve">12/15/24 Abatements  All Abatements for each Certificate of Valuation are certified within the General Fund (General, Bond, MLO, etc.) </t>
  </si>
  <si>
    <t>12/15/24 Abatements</t>
  </si>
  <si>
    <t>FY25 Actual $</t>
  </si>
  <si>
    <t>FY25 Actual Mills</t>
  </si>
  <si>
    <t>$ of Specific Ownership Taxes applied to FY25's Total Program</t>
  </si>
  <si>
    <t>Total FY24 Mills</t>
  </si>
  <si>
    <t>Total FY24 Bond Mills</t>
  </si>
  <si>
    <t xml:space="preserve">Total FY24 General Fund MLO  </t>
  </si>
  <si>
    <t>FY24's Specific Ownership Tax 10-1120</t>
  </si>
  <si>
    <t>Bond Fund: Record the Mills Needed to pay Interest &amp; Principal on 6/1/25 &amp; 12/1/25.</t>
  </si>
  <si>
    <t>Property Tax Year 2025</t>
  </si>
  <si>
    <t>DON'T PRINT ABOVE THIS ROW.  PRINT RANGE IS A11-F82</t>
  </si>
  <si>
    <t>Input by District - Add override date</t>
  </si>
  <si>
    <r>
      <t xml:space="preserve">PRINT RANGE IS B2-K38 </t>
    </r>
    <r>
      <rPr>
        <b/>
        <sz val="16"/>
        <color rgb="FF7030A0"/>
        <rFont val="Times New Roman"/>
        <family val="1"/>
      </rPr>
      <t>(change values manually)</t>
    </r>
  </si>
  <si>
    <r>
      <t xml:space="preserve">  Voter Approved Override</t>
    </r>
    <r>
      <rPr>
        <sz val="12"/>
        <color rgb="FFC00000"/>
        <rFont val="Times New Roman"/>
        <family val="1"/>
      </rPr>
      <t xml:space="preserve"> (</t>
    </r>
    <r>
      <rPr>
        <b/>
        <sz val="12"/>
        <color rgb="FFC00000"/>
        <rFont val="Times New Roman"/>
        <family val="1"/>
      </rPr>
      <t>Date</t>
    </r>
    <r>
      <rPr>
        <sz val="12"/>
        <color rgb="FFC00000"/>
        <rFont val="Times New Roman"/>
        <family val="1"/>
      </rPr>
      <t>)</t>
    </r>
    <r>
      <rPr>
        <sz val="12"/>
        <color theme="1"/>
        <rFont val="Times New Roman"/>
        <family val="1"/>
      </rPr>
      <t xml:space="preserve"> Fixed $ or Fixed Mill</t>
    </r>
  </si>
  <si>
    <r>
      <t xml:space="preserve">  Voter Approved Override</t>
    </r>
    <r>
      <rPr>
        <sz val="12"/>
        <color rgb="FFC00000"/>
        <rFont val="Times New Roman"/>
        <family val="1"/>
      </rPr>
      <t xml:space="preserve"> (</t>
    </r>
    <r>
      <rPr>
        <b/>
        <sz val="12"/>
        <color rgb="FFC00000"/>
        <rFont val="Times New Roman"/>
        <family val="1"/>
      </rPr>
      <t>Date</t>
    </r>
    <r>
      <rPr>
        <sz val="12"/>
        <color rgb="FFC00000"/>
        <rFont val="Times New Roman"/>
        <family val="1"/>
      </rPr>
      <t xml:space="preserve">) </t>
    </r>
    <r>
      <rPr>
        <sz val="12"/>
        <color theme="1"/>
        <rFont val="Times New Roman"/>
        <family val="1"/>
      </rPr>
      <t>Fixed $ or Fixed Mill</t>
    </r>
  </si>
  <si>
    <r>
      <t xml:space="preserve">  Voter Approved Override </t>
    </r>
    <r>
      <rPr>
        <sz val="12"/>
        <color rgb="FFC00000"/>
        <rFont val="Times New Roman"/>
        <family val="1"/>
      </rPr>
      <t>(</t>
    </r>
    <r>
      <rPr>
        <b/>
        <sz val="12"/>
        <color rgb="FFC00000"/>
        <rFont val="Times New Roman"/>
        <family val="1"/>
      </rPr>
      <t>Date</t>
    </r>
    <r>
      <rPr>
        <sz val="12"/>
        <color rgb="FFC00000"/>
        <rFont val="Times New Roman"/>
        <family val="1"/>
      </rPr>
      <t>)</t>
    </r>
    <r>
      <rPr>
        <sz val="12"/>
        <color theme="1"/>
        <rFont val="Times New Roman"/>
        <family val="1"/>
      </rPr>
      <t xml:space="preserve"> Fixed $ or Fixed Mill</t>
    </r>
  </si>
  <si>
    <r>
      <t xml:space="preserve">  Voter Approved Override </t>
    </r>
    <r>
      <rPr>
        <sz val="12"/>
        <color rgb="FFC00000"/>
        <rFont val="Times New Roman"/>
        <family val="1"/>
      </rPr>
      <t>(</t>
    </r>
    <r>
      <rPr>
        <b/>
        <sz val="12"/>
        <color rgb="FFC00000"/>
        <rFont val="Times New Roman"/>
        <family val="1"/>
      </rPr>
      <t>Date</t>
    </r>
    <r>
      <rPr>
        <sz val="12"/>
        <color rgb="FFC00000"/>
        <rFont val="Times New Roman"/>
        <family val="1"/>
      </rPr>
      <t xml:space="preserve">) </t>
    </r>
    <r>
      <rPr>
        <sz val="12"/>
        <color theme="1"/>
        <rFont val="Times New Roman"/>
        <family val="1"/>
      </rPr>
      <t>Fixed $ or Fixed Mill</t>
    </r>
  </si>
  <si>
    <t>Round to 3</t>
  </si>
  <si>
    <t>Red text: manual date inputs needed</t>
  </si>
  <si>
    <t>Manual input needed</t>
  </si>
  <si>
    <t>Calculation - locked cells</t>
  </si>
  <si>
    <t>The Tab is Protected</t>
  </si>
  <si>
    <r>
      <t xml:space="preserve">INPUT Abatement $ amount from the County's notice of valuation in </t>
    </r>
    <r>
      <rPr>
        <b/>
        <sz val="18"/>
        <color rgb="FF000000"/>
        <rFont val="Times New Roman"/>
        <family val="1"/>
      </rPr>
      <t>Cells</t>
    </r>
    <r>
      <rPr>
        <sz val="18"/>
        <color rgb="FF000000"/>
        <rFont val="Times New Roman"/>
        <family val="1"/>
      </rPr>
      <t xml:space="preserve"> </t>
    </r>
    <r>
      <rPr>
        <b/>
        <sz val="18"/>
        <color rgb="FF000000"/>
        <rFont val="Times New Roman"/>
        <family val="1"/>
      </rPr>
      <t>K14-N20</t>
    </r>
    <r>
      <rPr>
        <sz val="18"/>
        <color rgb="FF000000"/>
        <rFont val="Times New Roman"/>
        <family val="1"/>
      </rPr>
      <t xml:space="preserve">.   </t>
    </r>
  </si>
  <si>
    <r>
      <t xml:space="preserve">Assessor will provide Preliminary AV in August and Final AV in late November/Early December </t>
    </r>
    <r>
      <rPr>
        <b/>
        <i/>
        <sz val="18"/>
        <color rgb="FF000000"/>
        <rFont val="Times New Roman"/>
        <family val="1"/>
      </rPr>
      <t>(CONTACT ASSESSOR for ETA).</t>
    </r>
  </si>
  <si>
    <r>
      <t xml:space="preserve">Net Assessed Value is CALCULATED in </t>
    </r>
    <r>
      <rPr>
        <b/>
        <sz val="18"/>
        <color rgb="FF000000"/>
        <rFont val="Times New Roman"/>
        <family val="1"/>
      </rPr>
      <t>Cell E12</t>
    </r>
    <r>
      <rPr>
        <sz val="18"/>
        <color rgb="FF000000"/>
        <rFont val="Times New Roman"/>
        <family val="1"/>
      </rPr>
      <t xml:space="preserve">.  </t>
    </r>
  </si>
  <si>
    <t>Welcome to the Colorado Department of Education (CDE) Mill Levy Calculation Worksheet.  This template is designed to assist you and your district with the development, presentation and publication of your District's REQUIRED Mill Levy Certification, including the Board of Education Resolution, Calculation Worksheet, and CDE Mill Levy Certification Form.  In addition it has monthly property tax collection tabs that will assist in tracking collections and aid in theaudit entry (Taxes Receivable and Deferred Inflows) to record the difference between Collected and Certified.</t>
  </si>
  <si>
    <t>TABS within the file:</t>
  </si>
  <si>
    <r>
      <rPr>
        <b/>
        <sz val="18"/>
        <color rgb="FF000000"/>
        <rFont val="Times New Roman"/>
        <family val="1"/>
      </rPr>
      <t>Calculation Worksheet</t>
    </r>
    <r>
      <rPr>
        <sz val="18"/>
        <color rgb="FF000000"/>
        <rFont val="Times New Roman"/>
        <family val="1"/>
      </rPr>
      <t>: This is the tab that is used to calculate the dollar and mill amounts and populates the other tabs</t>
    </r>
  </si>
  <si>
    <r>
      <rPr>
        <b/>
        <sz val="18"/>
        <color rgb="FF000000"/>
        <rFont val="Times New Roman"/>
        <family val="1"/>
      </rPr>
      <t>BOE Resolution</t>
    </r>
    <r>
      <rPr>
        <sz val="18"/>
        <color rgb="FF000000"/>
        <rFont val="Times New Roman"/>
        <family val="1"/>
      </rPr>
      <t>: Pre-Populated Values &amp; District specific Self-Populated information -</t>
    </r>
    <r>
      <rPr>
        <b/>
        <sz val="18"/>
        <color theme="9" tint="-0.249977111117893"/>
        <rFont val="Times New Roman"/>
        <family val="1"/>
      </rPr>
      <t>TAB PROTECTED</t>
    </r>
    <r>
      <rPr>
        <sz val="18"/>
        <color rgb="FF000000"/>
        <rFont val="Times New Roman"/>
        <family val="1"/>
      </rPr>
      <t xml:space="preserve"> except yellow highlighted cells</t>
    </r>
  </si>
  <si>
    <r>
      <rPr>
        <b/>
        <sz val="18"/>
        <color rgb="FF000000"/>
        <rFont val="Times New Roman"/>
        <family val="1"/>
      </rPr>
      <t>Calculation Worksheet:</t>
    </r>
    <r>
      <rPr>
        <sz val="18"/>
        <color rgb="FF000000"/>
        <rFont val="Times New Roman"/>
        <family val="1"/>
      </rPr>
      <t xml:space="preserve"> </t>
    </r>
    <r>
      <rPr>
        <b/>
        <sz val="18"/>
        <color theme="9" tint="-0.249977111117893"/>
        <rFont val="Times New Roman"/>
        <family val="1"/>
      </rPr>
      <t>TAB PROTECTED</t>
    </r>
    <r>
      <rPr>
        <sz val="18"/>
        <color rgb="FF000000"/>
        <rFont val="Times New Roman"/>
        <family val="1"/>
      </rPr>
      <t>, except yellow highlighted cells &amp; red text date cells</t>
    </r>
  </si>
  <si>
    <t>CALCULATION WORKSHEET tab instructions:</t>
  </si>
  <si>
    <r>
      <t xml:space="preserve">Districts need to combine all abatement amounts from </t>
    </r>
    <r>
      <rPr>
        <i/>
        <sz val="18"/>
        <color rgb="FF000000"/>
        <rFont val="Times New Roman"/>
        <family val="1"/>
      </rPr>
      <t>all</t>
    </r>
    <r>
      <rPr>
        <sz val="18"/>
        <color rgb="FF000000"/>
        <rFont val="Times New Roman"/>
        <family val="1"/>
      </rPr>
      <t xml:space="preserve"> Certificates of Valuations into the General Fund (General, Bond, Capital, MLO, etc).</t>
    </r>
  </si>
  <si>
    <r>
      <rPr>
        <b/>
        <sz val="18"/>
        <color rgb="FF000000"/>
        <rFont val="Times New Roman"/>
        <family val="1"/>
      </rPr>
      <t>Cover</t>
    </r>
    <r>
      <rPr>
        <sz val="18"/>
        <color rgb="FF000000"/>
        <rFont val="Times New Roman"/>
        <family val="1"/>
      </rPr>
      <t>: Customize for Specific District-Logo</t>
    </r>
  </si>
  <si>
    <r>
      <rPr>
        <b/>
        <sz val="18"/>
        <color rgb="FF000000"/>
        <rFont val="Times New Roman"/>
        <family val="1"/>
      </rPr>
      <t xml:space="preserve">CDE Mill Levy Certification Form: </t>
    </r>
    <r>
      <rPr>
        <b/>
        <sz val="18"/>
        <color theme="9" tint="-0.249977111117893"/>
        <rFont val="Times New Roman"/>
        <family val="1"/>
      </rPr>
      <t>TAB PROTECTED</t>
    </r>
    <r>
      <rPr>
        <sz val="18"/>
        <color rgb="FF000000"/>
        <rFont val="Times New Roman"/>
        <family val="1"/>
      </rPr>
      <t xml:space="preserve"> except the yellow highlighted cells</t>
    </r>
  </si>
  <si>
    <r>
      <t xml:space="preserve">INPUT Gross Assessed Valuation from the County's notice of valuation in </t>
    </r>
    <r>
      <rPr>
        <b/>
        <sz val="18"/>
        <color rgb="FF000000"/>
        <rFont val="Times New Roman"/>
        <family val="1"/>
      </rPr>
      <t xml:space="preserve">Cells K10-N10, </t>
    </r>
    <r>
      <rPr>
        <sz val="18"/>
        <color rgb="FF000000"/>
        <rFont val="Times New Roman"/>
        <family val="1"/>
      </rPr>
      <t xml:space="preserve">depending upon how many counties the district has.  </t>
    </r>
  </si>
  <si>
    <r>
      <rPr>
        <b/>
        <sz val="18"/>
        <color rgb="FF000000"/>
        <rFont val="Times New Roman"/>
        <family val="1"/>
      </rPr>
      <t>Concept to Understand</t>
    </r>
    <r>
      <rPr>
        <sz val="18"/>
        <color rgb="FF000000"/>
        <rFont val="Times New Roman"/>
        <family val="1"/>
      </rPr>
      <t>: The correct Mill Levy is calculated to the rounded 3rd decimal point;</t>
    </r>
  </si>
  <si>
    <t>Rows 30-35 are all calculations pulled from the "CDE Mill Levy Certify Form" tab.</t>
  </si>
  <si>
    <t>therefore, the dollar amount certified most likely will be more or less than the actual value from the ballot question.</t>
  </si>
  <si>
    <t>to three decimal points, and the dollar value that the rounded mill calculates.</t>
  </si>
  <si>
    <r>
      <t xml:space="preserve">The Mill will calculate in Column J. </t>
    </r>
    <r>
      <rPr>
        <b/>
        <sz val="18"/>
        <color rgb="FF000000"/>
        <rFont val="Times New Roman"/>
        <family val="1"/>
      </rPr>
      <t>NOTE</t>
    </r>
    <r>
      <rPr>
        <b/>
        <i/>
        <sz val="18"/>
        <color rgb="FF000000"/>
        <rFont val="Times New Roman"/>
        <family val="1"/>
      </rPr>
      <t>: it is listed to the 4th decimal point.</t>
    </r>
  </si>
  <si>
    <t>this if it is listed on the FY2023-24 District Fund Calculation Worksheet per HB22-1390, in Rows 78 &amp; 79 of the district's data.</t>
  </si>
  <si>
    <r>
      <t xml:space="preserve">NOTE: </t>
    </r>
    <r>
      <rPr>
        <b/>
        <i/>
        <sz val="18"/>
        <color rgb="FF000000"/>
        <rFont val="Times New Roman"/>
        <family val="1"/>
      </rPr>
      <t>the Abatement $ amount in Cell K51 is pulling from Cell E21</t>
    </r>
    <r>
      <rPr>
        <b/>
        <sz val="18"/>
        <color rgb="FF000000"/>
        <rFont val="Times New Roman"/>
        <family val="1"/>
      </rPr>
      <t>.</t>
    </r>
  </si>
  <si>
    <t>Review your Bond Schedule and add the amount to certify to pay for Interest &amp; Principal Payments</t>
  </si>
  <si>
    <t>to calculate the needed Mills.  Make sure to NOT certify more than the maximum allowable from the ballot question.</t>
  </si>
  <si>
    <t>Use the same procedure as above for calculating a flat $ amount.</t>
  </si>
  <si>
    <t>Use the same procedure as above for calculating a Flat $ amount or fixed Mill.</t>
  </si>
  <si>
    <t xml:space="preserve">INPUT the 4 decimal point mill from Column J and input it in Column L, BUT </t>
  </si>
  <si>
    <r>
      <rPr>
        <b/>
        <sz val="18"/>
        <color rgb="FF000000"/>
        <rFont val="Times New Roman"/>
        <family val="1"/>
      </rPr>
      <t>Best Practice:</t>
    </r>
    <r>
      <rPr>
        <sz val="18"/>
        <color rgb="FF000000"/>
        <rFont val="Times New Roman"/>
        <family val="1"/>
      </rPr>
      <t xml:space="preserve"> show previous year values and change. </t>
    </r>
    <r>
      <rPr>
        <b/>
        <sz val="18"/>
        <color rgb="FF000000"/>
        <rFont val="Times New Roman"/>
        <family val="1"/>
      </rPr>
      <t>Cells E14-E16</t>
    </r>
    <r>
      <rPr>
        <sz val="18"/>
        <color rgb="FF000000"/>
        <rFont val="Times New Roman"/>
        <family val="1"/>
      </rPr>
      <t>.</t>
    </r>
  </si>
  <si>
    <r>
      <t xml:space="preserve">Best Practice: </t>
    </r>
    <r>
      <rPr>
        <sz val="18"/>
        <color rgb="FF000000"/>
        <rFont val="Times New Roman"/>
        <family val="1"/>
      </rPr>
      <t>have a copy of every Ballot Question</t>
    </r>
    <r>
      <rPr>
        <b/>
        <sz val="18"/>
        <color rgb="FF000000"/>
        <rFont val="Times New Roman"/>
        <family val="1"/>
      </rPr>
      <t xml:space="preserve"> to check language/amounts.</t>
    </r>
  </si>
  <si>
    <t>points in Column L. The $ amount will calculate in Column M &amp; populate Columns E &amp; F.</t>
  </si>
  <si>
    <t>If the override is a Fixed Mill Levy, per the ballot question, INPUT the mill levy to three decimal</t>
  </si>
  <si>
    <t>If the Override is a fixed $ amount, per the Ballot Question, INPUT the $ amount in Column K.</t>
  </si>
  <si>
    <t>ROUNDED TO 3 DECIMAL POINTS. The correct $ amount will be in Column M and Populate Columns E &amp; F.</t>
  </si>
  <si>
    <r>
      <rPr>
        <b/>
        <sz val="18"/>
        <color rgb="FF000000"/>
        <rFont val="Times New Roman"/>
        <family val="1"/>
      </rPr>
      <t>NOTE</t>
    </r>
    <r>
      <rPr>
        <b/>
        <i/>
        <sz val="18"/>
        <color rgb="FF000000"/>
        <rFont val="Times New Roman"/>
        <family val="1"/>
      </rPr>
      <t xml:space="preserve">: the $ amount most likely will be more or less than the </t>
    </r>
  </si>
  <si>
    <t xml:space="preserve"> actual Ballot Question value, due to rounding to 3rd decimal point.</t>
  </si>
  <si>
    <t xml:space="preserve">Rows 40 &amp; 41 are specific to the 1995 Excess &amp; Hold Harmless fixed $ amount. You'll know you should certify </t>
  </si>
  <si>
    <t>Go to FY 23-24 School Finance Funding / District Fund Calculation Worksheets</t>
  </si>
  <si>
    <t>10th Section: Specific Ownership Taxes (SOT) calculation to allocate a portion of SOT TO FY24 Total Program</t>
  </si>
  <si>
    <t>Rows 102-108 provide the calculation of the Specific Ownership Tax (SOT)</t>
  </si>
  <si>
    <t>NOTE: The SOT is calculated using the previous year's reported</t>
  </si>
  <si>
    <t>year's mills; Total Mills less voter approved GF MLOs and Bond Fund Mills</t>
  </si>
  <si>
    <t>divided by Total Mills</t>
  </si>
  <si>
    <t>Rows 109-112 calculate the County Tax Collection Rate (also known as</t>
  </si>
  <si>
    <t>Treasurer Fee on your property tax distribution).</t>
  </si>
  <si>
    <t>12th Section: Tax impact for Residential and Commercial Assets</t>
  </si>
  <si>
    <t xml:space="preserve">Rows 115-132 provide a summary of the tax impact on $100,000 of both </t>
  </si>
  <si>
    <t>residential and commercial assets.</t>
  </si>
  <si>
    <t>Columns J-M, Rows 121-127, provide a guide to the impacts of SB22-238,</t>
  </si>
  <si>
    <t xml:space="preserve">NOTE: Because of the upcoming differing rates within the Residential </t>
  </si>
  <si>
    <t>and Commercial categories, the calculation will be a bit skewed.</t>
  </si>
  <si>
    <t xml:space="preserve">Please note that starting in FY25 there are differing rates within the Residential and Commercial categories of the calculation. </t>
  </si>
  <si>
    <r>
      <rPr>
        <b/>
        <sz val="11"/>
        <color theme="1"/>
        <rFont val="Times New Roman"/>
        <family val="1"/>
      </rPr>
      <t>The highest numbers were used from Cells J118-N-127</t>
    </r>
    <r>
      <rPr>
        <sz val="11"/>
        <color theme="1"/>
        <rFont val="Times New Roman"/>
        <family val="1"/>
      </rPr>
      <t>.  In order to calculate the correct blended rate for your district, you need the Actual Valuation per category.</t>
    </r>
  </si>
  <si>
    <t>The information in Column E is the data used to upload through Smartsheet to  CDE, using the link in cell A81.</t>
  </si>
  <si>
    <t>Automatically populates</t>
  </si>
  <si>
    <t>Input Column J rounded to 3 (three) decimal points or Input Fixed Mill amount</t>
  </si>
  <si>
    <t>ABATEMENTS
TOTAL</t>
  </si>
  <si>
    <t>Abatements
County #1</t>
  </si>
  <si>
    <t>Abatements
County #2</t>
  </si>
  <si>
    <t>Abatements
County #3</t>
  </si>
  <si>
    <t>Abatements
County #4</t>
  </si>
  <si>
    <t xml:space="preserve"> Submit Data to CDE via State Equal no later than December 16,2024</t>
  </si>
  <si>
    <t>1/6/24 Gross Assessed Value</t>
  </si>
  <si>
    <t>1/6/24 Tax Incremental Financing</t>
  </si>
  <si>
    <t>1/6/24 NET ASSESSED VALUE</t>
  </si>
  <si>
    <t>1/6/2024 Gross Assessed Value</t>
  </si>
  <si>
    <t>1/6/2024 Tax Incremental Financing</t>
  </si>
  <si>
    <t>1/6/2024 NET ASSESSED VALUE</t>
  </si>
  <si>
    <t>1/6/2024 Abatements</t>
  </si>
  <si>
    <t>1/6/2024 Total</t>
  </si>
  <si>
    <t>December 16, 2024</t>
  </si>
  <si>
    <t xml:space="preserve">Rows 72 &amp; 74, The Estimated Full Funding Mill levy Projected Gross Funding from State will be the same in the Aug 25, 2024 &amp; Dec 16, 2024 Column. </t>
  </si>
  <si>
    <t>12/15/22 Gross Assessed Value</t>
  </si>
  <si>
    <t>12/15/22 Tax Incremental Financing</t>
  </si>
  <si>
    <t>12/15/2022 NET ASSESSED VALUE</t>
  </si>
  <si>
    <t>Per smartsheet</t>
  </si>
  <si>
    <t>Harmless</t>
  </si>
  <si>
    <t>Excess</t>
  </si>
  <si>
    <t>Hold</t>
  </si>
  <si>
    <t>V65</t>
  </si>
  <si>
    <t>V64</t>
  </si>
  <si>
    <t xml:space="preserve">Rows 31-35, The HB20-1418 Gross Assessed Valuation, TIF, &amp; Net Assessed Value will be the same in the Aug 25, 2024 &amp; Dec 16, 2024 Column. </t>
  </si>
  <si>
    <r>
      <t xml:space="preserve">INPUT, if applicable, Tax Incremental Financing from the County's notice of valuation in </t>
    </r>
    <r>
      <rPr>
        <b/>
        <sz val="18"/>
        <color rgb="FF000000"/>
        <rFont val="Times New Roman"/>
        <family val="1"/>
      </rPr>
      <t xml:space="preserve">Cells K11-N11, </t>
    </r>
    <r>
      <rPr>
        <sz val="18"/>
        <color rgb="FF000000"/>
        <rFont val="Times New Roman"/>
        <family val="1"/>
      </rPr>
      <t xml:space="preserve">depending upon how many counties the district has. </t>
    </r>
  </si>
  <si>
    <t>In column B, rows 50-54, replace the red text with the date of each voter-approved override.</t>
  </si>
  <si>
    <t>Dollars Check (M53-E49-E51-E40)</t>
  </si>
  <si>
    <t>Mills Check (L53-F49-F51-F40)</t>
  </si>
  <si>
    <t>EDAC review stamp. Mandatory Form #PSF-119 EDAC reviewed, 03/01/2024 for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</si>
</sst>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000_);_(* \(#,##0.000\);_(* &quot;-&quot;??_);_(@_)"/>
    <numFmt numFmtId="165" formatCode="0.0%"/>
    <numFmt numFmtId="166" formatCode="#,##0.000_);\(#,##0.000\)"/>
    <numFmt numFmtId="167" formatCode="#,##0.0_);\(#,##0.0\)"/>
    <numFmt numFmtId="168" formatCode="#,##0.00000_);\(#,##0.00000\)"/>
    <numFmt numFmtId="169" formatCode="#,##0.0000_);\(#,##0.0000\)"/>
    <numFmt numFmtId="170" formatCode="#,##0.000000000_);\(#,##0.000000000\)"/>
    <numFmt numFmtId="171" formatCode="&quot;$&quot;#,##0.0000_);\(&quot;$&quot;#,##0.0000\)"/>
    <numFmt numFmtId="172" formatCode="#,##0.000_);[Red]\(#,##0.000\)"/>
    <numFmt numFmtId="173" formatCode="0.0000"/>
    <numFmt numFmtId="174" formatCode="0.000"/>
    <numFmt numFmtId="175" formatCode="#,##0.0"/>
    <numFmt numFmtId="176" formatCode="#,##0.000"/>
    <numFmt numFmtId="177" formatCode="0.000%"/>
    <numFmt numFmtId="178" formatCode="mmm\ d"/>
    <numFmt numFmtId="179" formatCode="mmmm\ d"/>
    <numFmt numFmtId="180" formatCode="[$-409]mmmm\ d\,\ yyyy;@"/>
    <numFmt numFmtId="181" formatCode="&quot;$&quot;#,##0"/>
    <numFmt numFmtId="182" formatCode="#,##0.0000_);[Red]\(#,##0.0000\)"/>
    <numFmt numFmtId="183" formatCode="&quot;$&quot;#,##0.00"/>
    <numFmt numFmtId="184" formatCode="_(* #,##0.000_);_(* \(#,##0.000\);_(* &quot;-&quot;???_);_(@_)"/>
    <numFmt numFmtId="185" formatCode="#,##0;\-#,##0"/>
    <numFmt numFmtId="186" formatCode="#,##0.00;\-#,##0.00"/>
    <numFmt numFmtId="187" formatCode="###0.00;\-###0.00"/>
    <numFmt numFmtId="188" formatCode="[&lt;=9999999]###\-####;\(###\)\ ###\-####"/>
    <numFmt numFmtId="189" formatCode="#,##0.0000"/>
  </numFmts>
  <fonts count="113" x14ac:knownFonts="1">
    <font>
      <sz val="10"/>
      <color rgb="FF000000"/>
      <name val="Courier"/>
      <scheme val="minor"/>
    </font>
    <font>
      <sz val="11"/>
      <color theme="1"/>
      <name val="Courier"/>
      <family val="2"/>
      <scheme val="minor"/>
    </font>
    <font>
      <sz val="11"/>
      <color theme="1"/>
      <name val="Courier"/>
      <family val="2"/>
      <scheme val="minor"/>
    </font>
    <font>
      <sz val="11"/>
      <color theme="1"/>
      <name val="Courier"/>
      <family val="2"/>
      <scheme val="minor"/>
    </font>
    <font>
      <sz val="11"/>
      <color theme="1"/>
      <name val="Courier"/>
      <family val="2"/>
      <scheme val="minor"/>
    </font>
    <font>
      <sz val="12"/>
      <color theme="1"/>
      <name val="Times New Roman"/>
      <family val="1"/>
    </font>
    <font>
      <b/>
      <sz val="12"/>
      <color theme="1"/>
      <name val="Times New Roman"/>
      <family val="1"/>
    </font>
    <font>
      <b/>
      <u/>
      <sz val="12"/>
      <color theme="1"/>
      <name val="Times New Roman"/>
      <family val="1"/>
    </font>
    <font>
      <b/>
      <sz val="14"/>
      <color theme="1"/>
      <name val="Times New Roman"/>
      <family val="1"/>
    </font>
    <font>
      <b/>
      <sz val="16"/>
      <color theme="1"/>
      <name val="Times New Roman"/>
      <family val="1"/>
    </font>
    <font>
      <sz val="10"/>
      <name val="Courier"/>
    </font>
    <font>
      <b/>
      <sz val="12"/>
      <color theme="1"/>
      <name val="Times New Roman"/>
      <family val="1"/>
    </font>
    <font>
      <b/>
      <u/>
      <sz val="12"/>
      <color theme="1"/>
      <name val="Times New Roman"/>
      <family val="1"/>
    </font>
    <font>
      <sz val="12"/>
      <color theme="1"/>
      <name val="Times New Roman"/>
      <family val="1"/>
    </font>
    <font>
      <sz val="12"/>
      <color rgb="FF0070C0"/>
      <name val="Times New Roman"/>
      <family val="1"/>
    </font>
    <font>
      <b/>
      <sz val="14"/>
      <color theme="1"/>
      <name val="Times New Roman"/>
      <family val="1"/>
    </font>
    <font>
      <b/>
      <sz val="11"/>
      <color theme="1"/>
      <name val="Courier"/>
      <family val="2"/>
      <scheme val="minor"/>
    </font>
    <font>
      <b/>
      <u/>
      <sz val="11"/>
      <color theme="1"/>
      <name val="Arial"/>
      <family val="2"/>
    </font>
    <font>
      <sz val="11"/>
      <color theme="1"/>
      <name val="Arial"/>
      <family val="2"/>
    </font>
    <font>
      <sz val="11"/>
      <color theme="1"/>
      <name val="Arial Black"/>
      <family val="2"/>
    </font>
    <font>
      <u/>
      <sz val="11"/>
      <color theme="10"/>
      <name val="Courier"/>
      <family val="2"/>
      <scheme val="minor"/>
    </font>
    <font>
      <sz val="12"/>
      <color rgb="FF0070C0"/>
      <name val="Times New Roman"/>
      <family val="1"/>
    </font>
    <font>
      <b/>
      <sz val="12"/>
      <color rgb="FF0070C0"/>
      <name val="Times New Roman"/>
      <family val="1"/>
    </font>
    <font>
      <sz val="10"/>
      <color rgb="FF0070C0"/>
      <name val="Courier"/>
      <scheme val="minor"/>
    </font>
    <font>
      <b/>
      <sz val="10"/>
      <name val="Arial"/>
      <family val="2"/>
    </font>
    <font>
      <sz val="10"/>
      <name val="Arial"/>
      <family val="2"/>
    </font>
    <font>
      <sz val="10"/>
      <color rgb="FF000000"/>
      <name val="Arial"/>
      <family val="2"/>
    </font>
    <font>
      <sz val="10"/>
      <color rgb="FF0000FF"/>
      <name val="Arial"/>
      <family val="2"/>
    </font>
    <font>
      <b/>
      <sz val="9"/>
      <color rgb="FF000000"/>
      <name val="Tahoma"/>
      <family val="2"/>
    </font>
    <font>
      <b/>
      <i/>
      <sz val="12"/>
      <color theme="1"/>
      <name val="Times New Roman"/>
      <family val="1"/>
    </font>
    <font>
      <sz val="12"/>
      <color rgb="FFFF0000"/>
      <name val="Times New Roman"/>
      <family val="1"/>
    </font>
    <font>
      <sz val="10"/>
      <color rgb="FF000000"/>
      <name val="Courier"/>
      <scheme val="minor"/>
    </font>
    <font>
      <sz val="11"/>
      <color rgb="FFFF0000"/>
      <name val="Arial"/>
      <family val="2"/>
    </font>
    <font>
      <sz val="11"/>
      <color theme="1"/>
      <name val="Courier"/>
      <scheme val="minor"/>
    </font>
    <font>
      <b/>
      <sz val="12"/>
      <color theme="1"/>
      <name val="Arial"/>
      <family val="2"/>
    </font>
    <font>
      <sz val="12"/>
      <color theme="1"/>
      <name val="Arial"/>
      <family val="2"/>
    </font>
    <font>
      <b/>
      <i/>
      <sz val="12"/>
      <color theme="1"/>
      <name val="Arial"/>
      <family val="2"/>
    </font>
    <font>
      <sz val="12"/>
      <color rgb="FFFFFFFF"/>
      <name val="Arial"/>
      <family val="2"/>
    </font>
    <font>
      <sz val="12"/>
      <color rgb="FFFF0000"/>
      <name val="Arial"/>
      <family val="2"/>
    </font>
    <font>
      <sz val="12"/>
      <color theme="0"/>
      <name val="Arial"/>
      <family val="2"/>
    </font>
    <font>
      <b/>
      <sz val="14"/>
      <name val="Times New Roman"/>
      <family val="1"/>
    </font>
    <font>
      <sz val="14"/>
      <color theme="1"/>
      <name val="Courier"/>
      <family val="2"/>
      <scheme val="minor"/>
    </font>
    <font>
      <sz val="14"/>
      <name val="Times New Roman"/>
      <family val="1"/>
    </font>
    <font>
      <sz val="14"/>
      <color rgb="FF000000"/>
      <name val="Times New Roman"/>
      <family val="1"/>
    </font>
    <font>
      <sz val="14"/>
      <color theme="1"/>
      <name val="Times New Roman"/>
      <family val="1"/>
    </font>
    <font>
      <i/>
      <sz val="14"/>
      <color theme="1"/>
      <name val="Times New Roman"/>
      <family val="1"/>
    </font>
    <font>
      <sz val="18"/>
      <color rgb="FF000000"/>
      <name val="Times New Roman"/>
      <family val="1"/>
    </font>
    <font>
      <b/>
      <sz val="18"/>
      <color rgb="FF000000"/>
      <name val="Times New Roman"/>
      <family val="1"/>
    </font>
    <font>
      <b/>
      <i/>
      <sz val="18"/>
      <color rgb="FF000000"/>
      <name val="Times New Roman"/>
      <family val="1"/>
    </font>
    <font>
      <b/>
      <sz val="11"/>
      <color rgb="FFFF0000"/>
      <name val="Courier"/>
      <family val="2"/>
      <scheme val="minor"/>
    </font>
    <font>
      <b/>
      <sz val="18"/>
      <color theme="1"/>
      <name val="Times New Roman"/>
      <family val="1"/>
    </font>
    <font>
      <sz val="10"/>
      <name val="Arial"/>
      <family val="2"/>
    </font>
    <font>
      <sz val="16"/>
      <color theme="1"/>
      <name val="Times New Roman"/>
      <family val="1"/>
    </font>
    <font>
      <b/>
      <u/>
      <sz val="12"/>
      <name val="Times New Roman"/>
      <family val="1"/>
    </font>
    <font>
      <b/>
      <i/>
      <sz val="18"/>
      <color theme="1"/>
      <name val="Times New Roman"/>
      <family val="1"/>
    </font>
    <font>
      <b/>
      <sz val="24"/>
      <color theme="1"/>
      <name val="Times New Roman"/>
      <family val="1"/>
    </font>
    <font>
      <u/>
      <sz val="10"/>
      <color theme="10"/>
      <name val="Courier"/>
      <scheme val="minor"/>
    </font>
    <font>
      <sz val="16"/>
      <color theme="1"/>
      <name val="Courier"/>
      <family val="2"/>
      <scheme val="minor"/>
    </font>
    <font>
      <b/>
      <sz val="16"/>
      <name val="Times New Roman"/>
      <family val="1"/>
    </font>
    <font>
      <b/>
      <sz val="16"/>
      <color theme="1"/>
      <name val="Arial"/>
      <family val="2"/>
    </font>
    <font>
      <i/>
      <sz val="18"/>
      <color rgb="FF000000"/>
      <name val="Times New Roman"/>
      <family val="1"/>
    </font>
    <font>
      <sz val="10"/>
      <name val="Times New Roman"/>
      <family val="1"/>
    </font>
    <font>
      <b/>
      <sz val="11"/>
      <name val="Times New Roman"/>
      <family val="1"/>
    </font>
    <font>
      <sz val="11"/>
      <name val="Times New Roman"/>
      <family val="1"/>
    </font>
    <font>
      <sz val="11"/>
      <color theme="0"/>
      <name val="Times New Roman"/>
      <family val="1"/>
    </font>
    <font>
      <b/>
      <sz val="11"/>
      <color theme="0"/>
      <name val="Times New Roman"/>
      <family val="1"/>
    </font>
    <font>
      <sz val="18"/>
      <color rgb="FFFF0000"/>
      <name val="Times New Roman"/>
      <family val="1"/>
    </font>
    <font>
      <b/>
      <sz val="18"/>
      <color rgb="FF7030A0"/>
      <name val="Times New Roman"/>
      <family val="1"/>
    </font>
    <font>
      <b/>
      <sz val="11"/>
      <color rgb="FF7030A0"/>
      <name val="Courier"/>
      <family val="2"/>
      <scheme val="minor"/>
    </font>
    <font>
      <b/>
      <sz val="16"/>
      <color rgb="FF7030A0"/>
      <name val="Times New Roman"/>
      <family val="1"/>
    </font>
    <font>
      <sz val="18"/>
      <name val="Times New Roman"/>
      <family val="1"/>
    </font>
    <font>
      <b/>
      <sz val="22"/>
      <color theme="1"/>
      <name val="Times New Roman"/>
      <family val="1"/>
    </font>
    <font>
      <sz val="12"/>
      <color rgb="FF000000"/>
      <name val="Times New Roman"/>
      <family val="1"/>
    </font>
    <font>
      <u/>
      <sz val="15"/>
      <color theme="10"/>
      <name val="Times New Roman"/>
      <family val="1"/>
    </font>
    <font>
      <u/>
      <sz val="14"/>
      <color theme="10"/>
      <name val="Times New Roman"/>
      <family val="1"/>
    </font>
    <font>
      <sz val="8"/>
      <name val="Courier"/>
      <scheme val="minor"/>
    </font>
    <font>
      <sz val="16"/>
      <color rgb="FF000000"/>
      <name val="Times New Roman"/>
      <family val="1"/>
    </font>
    <font>
      <u/>
      <sz val="18"/>
      <color theme="10"/>
      <name val="Times New Roman"/>
      <family val="1"/>
    </font>
    <font>
      <sz val="12"/>
      <name val="Times New Roman"/>
      <family val="1"/>
    </font>
    <font>
      <sz val="11"/>
      <color theme="1"/>
      <name val="Times New Roman"/>
      <family val="1"/>
    </font>
    <font>
      <u/>
      <sz val="11"/>
      <color theme="10"/>
      <name val="Times New Roman"/>
      <family val="1"/>
    </font>
    <font>
      <sz val="16"/>
      <color rgb="FFFF0000"/>
      <name val="Times New Roman"/>
      <family val="1"/>
    </font>
    <font>
      <u/>
      <sz val="12"/>
      <name val="Times New Roman"/>
      <family val="1"/>
    </font>
    <font>
      <b/>
      <sz val="24"/>
      <name val="Times New Roman"/>
      <family val="1"/>
    </font>
    <font>
      <b/>
      <sz val="12"/>
      <name val="Times New Roman"/>
      <family val="1"/>
    </font>
    <font>
      <b/>
      <sz val="11"/>
      <color rgb="FF000000"/>
      <name val="Calibri"/>
      <family val="2"/>
    </font>
    <font>
      <b/>
      <sz val="10"/>
      <color rgb="FF000000"/>
      <name val="Arial"/>
      <family val="2"/>
    </font>
    <font>
      <b/>
      <sz val="14"/>
      <color theme="1"/>
      <name val="Arial"/>
      <family val="2"/>
    </font>
    <font>
      <b/>
      <sz val="16"/>
      <color rgb="FF550580"/>
      <name val="Times New Roman"/>
      <family val="1"/>
    </font>
    <font>
      <b/>
      <sz val="20"/>
      <name val="Times New Roman"/>
      <family val="1"/>
    </font>
    <font>
      <b/>
      <u/>
      <sz val="12"/>
      <color theme="1"/>
      <name val="Arial"/>
      <family val="2"/>
    </font>
    <font>
      <sz val="12"/>
      <name val="Arial"/>
      <family val="2"/>
    </font>
    <font>
      <sz val="12"/>
      <color theme="1"/>
      <name val="Courier"/>
      <family val="2"/>
      <scheme val="minor"/>
    </font>
    <font>
      <b/>
      <sz val="12"/>
      <name val="Arial"/>
      <family val="2"/>
    </font>
    <font>
      <sz val="12"/>
      <color rgb="FF0070C0"/>
      <name val="Arial"/>
      <family val="2"/>
    </font>
    <font>
      <sz val="12"/>
      <color rgb="FFC00000"/>
      <name val="Arial"/>
      <family val="2"/>
    </font>
    <font>
      <b/>
      <sz val="14"/>
      <color rgb="FF000000"/>
      <name val="Times New Roman"/>
      <family val="1"/>
    </font>
    <font>
      <b/>
      <sz val="16"/>
      <color rgb="FF000000"/>
      <name val="Arial"/>
      <family val="2"/>
    </font>
    <font>
      <sz val="14"/>
      <color rgb="FFC00000"/>
      <name val="Times New Roman"/>
      <family val="1"/>
    </font>
    <font>
      <sz val="12"/>
      <color rgb="FFC00000"/>
      <name val="Times New Roman"/>
      <family val="1"/>
    </font>
    <font>
      <b/>
      <sz val="14"/>
      <color rgb="FF000000"/>
      <name val="Courier"/>
      <scheme val="minor"/>
    </font>
    <font>
      <sz val="14"/>
      <color theme="1"/>
      <name val="Arial"/>
      <family val="2"/>
    </font>
    <font>
      <b/>
      <sz val="24"/>
      <color rgb="FF000000"/>
      <name val="Times New Roman"/>
      <family val="1"/>
    </font>
    <font>
      <b/>
      <sz val="11"/>
      <color theme="1"/>
      <name val="Times New Roman"/>
      <family val="1"/>
    </font>
    <font>
      <sz val="18"/>
      <color rgb="FFC00000"/>
      <name val="Times New Roman"/>
      <family val="1"/>
    </font>
    <font>
      <b/>
      <sz val="12"/>
      <color theme="4" tint="-0.249977111117893"/>
      <name val="Times New Roman"/>
      <family val="1"/>
    </font>
    <font>
      <b/>
      <sz val="12"/>
      <color rgb="FFC00000"/>
      <name val="Times New Roman"/>
      <family val="1"/>
    </font>
    <font>
      <sz val="18"/>
      <color theme="1"/>
      <name val="Times New Roman"/>
      <family val="1"/>
    </font>
    <font>
      <b/>
      <sz val="18"/>
      <color theme="9" tint="-0.249977111117893"/>
      <name val="Times New Roman"/>
      <family val="1"/>
    </font>
    <font>
      <u/>
      <sz val="14"/>
      <color theme="10"/>
      <name val="Arial"/>
      <family val="2"/>
    </font>
    <font>
      <b/>
      <sz val="20"/>
      <color rgb="FF000000"/>
      <name val="Times New Roman"/>
      <family val="1"/>
    </font>
    <font>
      <sz val="12"/>
      <name val="Arial"/>
    </font>
    <font>
      <u/>
      <sz val="24"/>
      <color theme="10"/>
      <name val="Arial"/>
      <family val="2"/>
    </font>
  </fonts>
  <fills count="39">
    <fill>
      <patternFill patternType="none"/>
    </fill>
    <fill>
      <patternFill patternType="gray125"/>
    </fill>
    <fill>
      <patternFill patternType="solid">
        <fgColor rgb="FFFFFF00"/>
        <bgColor rgb="FFFFFF00"/>
      </patternFill>
    </fill>
    <fill>
      <patternFill patternType="solid">
        <fgColor rgb="FFD8D8D8"/>
        <bgColor rgb="FFD8D8D8"/>
      </patternFill>
    </fill>
    <fill>
      <patternFill patternType="solid">
        <fgColor theme="6" tint="0.39997558519241921"/>
        <bgColor indexed="64"/>
      </patternFill>
    </fill>
    <fill>
      <patternFill patternType="solid">
        <fgColor rgb="FFFFFF00"/>
        <bgColor indexed="64"/>
      </patternFill>
    </fill>
    <fill>
      <patternFill patternType="solid">
        <fgColor rgb="FFEBF1DE"/>
        <bgColor rgb="FF000000"/>
      </patternFill>
    </fill>
    <fill>
      <patternFill patternType="solid">
        <fgColor rgb="FFFFFFCC"/>
        <bgColor rgb="FF000000"/>
      </patternFill>
    </fill>
    <fill>
      <patternFill patternType="solid">
        <fgColor theme="7"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rgb="FFD6E3BC"/>
      </patternFill>
    </fill>
    <fill>
      <patternFill patternType="solid">
        <fgColor theme="6" tint="0.59999389629810485"/>
        <bgColor indexed="64"/>
      </patternFill>
    </fill>
    <fill>
      <patternFill patternType="solid">
        <fgColor rgb="FFFF0000"/>
        <bgColor rgb="FFFF0000"/>
      </patternFill>
    </fill>
    <fill>
      <patternFill patternType="solid">
        <fgColor rgb="FF1C4587"/>
        <bgColor rgb="FF1C4587"/>
      </patternFill>
    </fill>
    <fill>
      <patternFill patternType="solid">
        <fgColor rgb="FF38761D"/>
        <bgColor rgb="FF38761D"/>
      </patternFill>
    </fill>
    <fill>
      <patternFill patternType="solid">
        <fgColor rgb="FFC9DAF8"/>
        <bgColor rgb="FFC9DAF8"/>
      </patternFill>
    </fill>
    <fill>
      <patternFill patternType="solid">
        <fgColor rgb="FFCCCCCC"/>
        <bgColor rgb="FFCCCCCC"/>
      </patternFill>
    </fill>
    <fill>
      <patternFill patternType="solid">
        <fgColor rgb="FFFFF2CC"/>
        <bgColor rgb="FFFFF2CC"/>
      </patternFill>
    </fill>
    <fill>
      <patternFill patternType="solid">
        <fgColor rgb="FFFFD966"/>
        <bgColor rgb="FFFFD966"/>
      </patternFill>
    </fill>
    <fill>
      <patternFill patternType="solid">
        <fgColor rgb="FFCFE2F3"/>
        <bgColor rgb="FFCFE2F3"/>
      </patternFill>
    </fill>
    <fill>
      <patternFill patternType="solid">
        <fgColor rgb="FF00FFFF"/>
        <bgColor rgb="FF00FFFF"/>
      </patternFill>
    </fill>
    <fill>
      <patternFill patternType="solid">
        <fgColor theme="0"/>
        <bgColor theme="0"/>
      </patternFill>
    </fill>
    <fill>
      <patternFill patternType="solid">
        <fgColor rgb="FFE6B8AF"/>
        <bgColor rgb="FFE6B8AF"/>
      </patternFill>
    </fill>
    <fill>
      <patternFill patternType="solid">
        <fgColor rgb="FFFCE5CD"/>
        <bgColor rgb="FFFCE5CD"/>
      </patternFill>
    </fill>
    <fill>
      <patternFill patternType="solid">
        <fgColor theme="6" tint="0.59999389629810485"/>
        <bgColor rgb="FFB7B7B7"/>
      </patternFill>
    </fill>
    <fill>
      <patternFill patternType="solid">
        <fgColor theme="0" tint="-0.14999847407452621"/>
        <bgColor indexed="64"/>
      </patternFill>
    </fill>
    <fill>
      <patternFill patternType="solid">
        <fgColor rgb="FFFFCCFF"/>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79998168889431442"/>
        <bgColor rgb="FFD6E3BC"/>
      </patternFill>
    </fill>
    <fill>
      <patternFill patternType="solid">
        <fgColor theme="8" tint="0.79998168889431442"/>
        <bgColor rgb="FFFFFF00"/>
      </patternFill>
    </fill>
    <fill>
      <patternFill patternType="solid">
        <fgColor theme="0" tint="-4.9989318521683403E-2"/>
        <bgColor rgb="FFD6E3BC"/>
      </patternFill>
    </fill>
    <fill>
      <patternFill patternType="solid">
        <fgColor theme="0" tint="-4.9989318521683403E-2"/>
        <bgColor rgb="FFFFFF00"/>
      </patternFill>
    </fill>
    <fill>
      <patternFill patternType="solid">
        <fgColor theme="5" tint="0.59999389629810485"/>
        <bgColor indexed="64"/>
      </patternFill>
    </fill>
  </fills>
  <borders count="4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style="thin">
        <color rgb="FF000000"/>
      </top>
      <bottom style="double">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5">
    <xf numFmtId="37" fontId="0"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20" fillId="0" borderId="0" applyNumberFormat="0" applyFill="0" applyBorder="0" applyAlignment="0" applyProtection="0"/>
    <xf numFmtId="9" fontId="31" fillId="0" borderId="0" applyFont="0" applyFill="0" applyBorder="0" applyAlignment="0" applyProtection="0"/>
    <xf numFmtId="0" fontId="3" fillId="0" borderId="0"/>
    <xf numFmtId="0" fontId="51" fillId="0" borderId="0"/>
    <xf numFmtId="37" fontId="56" fillId="0" borderId="0" applyNumberFormat="0" applyFill="0" applyBorder="0" applyAlignment="0" applyProtection="0"/>
    <xf numFmtId="0" fontId="25" fillId="0" borderId="0"/>
    <xf numFmtId="43" fontId="25"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31" fillId="0" borderId="0" applyFont="0" applyFill="0" applyBorder="0" applyAlignment="0" applyProtection="0"/>
    <xf numFmtId="0" fontId="1" fillId="0" borderId="0"/>
    <xf numFmtId="43" fontId="1" fillId="0" borderId="0" applyFont="0" applyFill="0" applyBorder="0" applyAlignment="0" applyProtection="0"/>
    <xf numFmtId="40" fontId="111" fillId="0" borderId="0"/>
    <xf numFmtId="43" fontId="111" fillId="0" borderId="0" applyFont="0" applyFill="0" applyBorder="0" applyAlignment="0" applyProtection="0"/>
    <xf numFmtId="9" fontId="91" fillId="0" borderId="0" applyFont="0" applyFill="0" applyBorder="0" applyAlignment="0" applyProtection="0"/>
    <xf numFmtId="40" fontId="91" fillId="0" borderId="0"/>
    <xf numFmtId="40" fontId="91" fillId="0" borderId="0"/>
    <xf numFmtId="3" fontId="25" fillId="0" borderId="0" applyFont="0" applyFill="0" applyBorder="0" applyAlignment="0" applyProtection="0"/>
    <xf numFmtId="40" fontId="91" fillId="0" borderId="0"/>
    <xf numFmtId="40" fontId="91" fillId="0" borderId="0"/>
  </cellStyleXfs>
  <cellXfs count="745">
    <xf numFmtId="37" fontId="0" fillId="0" borderId="0" xfId="0"/>
    <xf numFmtId="37" fontId="5" fillId="0" borderId="0" xfId="0" applyFont="1"/>
    <xf numFmtId="37" fontId="6" fillId="0" borderId="0" xfId="0" applyFont="1" applyAlignment="1">
      <alignment horizontal="center"/>
    </xf>
    <xf numFmtId="37" fontId="5" fillId="0" borderId="1" xfId="0" applyFont="1" applyBorder="1"/>
    <xf numFmtId="37" fontId="5" fillId="0" borderId="2" xfId="0" applyFont="1" applyBorder="1" applyAlignment="1">
      <alignment horizontal="center"/>
    </xf>
    <xf numFmtId="37" fontId="5" fillId="0" borderId="2" xfId="0" applyFont="1" applyBorder="1"/>
    <xf numFmtId="37" fontId="5" fillId="0" borderId="3" xfId="0" applyFont="1" applyBorder="1"/>
    <xf numFmtId="37" fontId="5" fillId="0" borderId="4" xfId="0" applyFont="1" applyBorder="1"/>
    <xf numFmtId="37" fontId="7" fillId="0" borderId="0" xfId="0" applyFont="1" applyAlignment="1">
      <alignment horizontal="center"/>
    </xf>
    <xf numFmtId="37" fontId="5" fillId="0" borderId="5" xfId="0" applyFont="1" applyBorder="1"/>
    <xf numFmtId="37" fontId="5" fillId="0" borderId="4" xfId="0" applyFont="1" applyBorder="1" applyAlignment="1">
      <alignment horizontal="right"/>
    </xf>
    <xf numFmtId="10" fontId="5" fillId="0" borderId="0" xfId="0" applyNumberFormat="1" applyFont="1"/>
    <xf numFmtId="37" fontId="5" fillId="0" borderId="0" xfId="0" applyFont="1" applyAlignment="1">
      <alignment horizontal="center"/>
    </xf>
    <xf numFmtId="164" fontId="5" fillId="0" borderId="0" xfId="0" applyNumberFormat="1" applyFont="1"/>
    <xf numFmtId="165" fontId="5" fillId="0" borderId="0" xfId="0" applyNumberFormat="1" applyFont="1"/>
    <xf numFmtId="166" fontId="5" fillId="0" borderId="0" xfId="0" applyNumberFormat="1" applyFont="1"/>
    <xf numFmtId="37" fontId="5" fillId="0" borderId="7" xfId="0" applyFont="1" applyBorder="1"/>
    <xf numFmtId="37" fontId="5" fillId="0" borderId="8" xfId="0" applyFont="1" applyBorder="1"/>
    <xf numFmtId="37" fontId="5" fillId="0" borderId="9" xfId="0" applyFont="1" applyBorder="1"/>
    <xf numFmtId="39" fontId="5" fillId="0" borderId="0" xfId="0" applyNumberFormat="1" applyFont="1"/>
    <xf numFmtId="166" fontId="5" fillId="0" borderId="0" xfId="0" applyNumberFormat="1" applyFont="1" applyAlignment="1">
      <alignment horizontal="right"/>
    </xf>
    <xf numFmtId="43" fontId="5" fillId="0" borderId="0" xfId="0" applyNumberFormat="1" applyFont="1"/>
    <xf numFmtId="167" fontId="5" fillId="0" borderId="0" xfId="0" applyNumberFormat="1" applyFont="1"/>
    <xf numFmtId="37" fontId="5" fillId="0" borderId="0" xfId="0" applyFont="1" applyAlignment="1">
      <alignment horizontal="right"/>
    </xf>
    <xf numFmtId="37" fontId="5" fillId="0" borderId="4" xfId="0" applyFont="1" applyBorder="1" applyAlignment="1">
      <alignment horizontal="left"/>
    </xf>
    <xf numFmtId="168" fontId="5" fillId="0" borderId="0" xfId="0" applyNumberFormat="1" applyFont="1"/>
    <xf numFmtId="37" fontId="6" fillId="0" borderId="0" xfId="0" applyFont="1"/>
    <xf numFmtId="166" fontId="5" fillId="0" borderId="9" xfId="0" applyNumberFormat="1" applyFont="1" applyBorder="1"/>
    <xf numFmtId="166" fontId="5" fillId="0" borderId="5" xfId="0" applyNumberFormat="1" applyFont="1" applyBorder="1"/>
    <xf numFmtId="44" fontId="6" fillId="0" borderId="0" xfId="0" applyNumberFormat="1" applyFont="1"/>
    <xf numFmtId="169" fontId="5" fillId="0" borderId="0" xfId="0" applyNumberFormat="1" applyFont="1"/>
    <xf numFmtId="166" fontId="5" fillId="0" borderId="0" xfId="0" applyNumberFormat="1" applyFont="1" applyAlignment="1">
      <alignment horizontal="center"/>
    </xf>
    <xf numFmtId="5" fontId="5" fillId="0" borderId="0" xfId="0" applyNumberFormat="1" applyFont="1" applyAlignment="1">
      <alignment horizontal="center"/>
    </xf>
    <xf numFmtId="166" fontId="5" fillId="0" borderId="4" xfId="0" applyNumberFormat="1" applyFont="1" applyBorder="1"/>
    <xf numFmtId="5" fontId="5" fillId="0" borderId="5" xfId="0" applyNumberFormat="1" applyFont="1" applyBorder="1" applyAlignment="1">
      <alignment horizontal="center"/>
    </xf>
    <xf numFmtId="165" fontId="5" fillId="0" borderId="0" xfId="0" applyNumberFormat="1" applyFont="1" applyAlignment="1">
      <alignment horizontal="center"/>
    </xf>
    <xf numFmtId="168" fontId="5" fillId="0" borderId="0" xfId="0" applyNumberFormat="1" applyFont="1" applyAlignment="1">
      <alignment horizontal="center"/>
    </xf>
    <xf numFmtId="37" fontId="9" fillId="0" borderId="0" xfId="0" applyFont="1" applyAlignment="1">
      <alignment horizontal="center"/>
    </xf>
    <xf numFmtId="37" fontId="6" fillId="0" borderId="0" xfId="0" applyFont="1" applyAlignment="1">
      <alignment horizontal="center" wrapText="1"/>
    </xf>
    <xf numFmtId="44" fontId="5" fillId="0" borderId="0" xfId="0" applyNumberFormat="1" applyFont="1" applyAlignment="1">
      <alignment horizontal="center"/>
    </xf>
    <xf numFmtId="166" fontId="6" fillId="0" borderId="0" xfId="0" applyNumberFormat="1" applyFont="1" applyAlignment="1">
      <alignment horizontal="center"/>
    </xf>
    <xf numFmtId="169" fontId="5" fillId="0" borderId="0" xfId="0" applyNumberFormat="1" applyFont="1" applyAlignment="1">
      <alignment horizontal="center"/>
    </xf>
    <xf numFmtId="169" fontId="6" fillId="0" borderId="0" xfId="0" applyNumberFormat="1" applyFont="1" applyAlignment="1">
      <alignment horizontal="center"/>
    </xf>
    <xf numFmtId="171" fontId="6" fillId="0" borderId="0" xfId="0" applyNumberFormat="1" applyFont="1" applyAlignment="1">
      <alignment horizontal="center"/>
    </xf>
    <xf numFmtId="5" fontId="6" fillId="0" borderId="0" xfId="0" applyNumberFormat="1" applyFont="1" applyAlignment="1">
      <alignment horizontal="center"/>
    </xf>
    <xf numFmtId="14" fontId="11" fillId="0" borderId="2" xfId="0" applyNumberFormat="1" applyFont="1" applyBorder="1" applyAlignment="1">
      <alignment horizontal="center"/>
    </xf>
    <xf numFmtId="37" fontId="5" fillId="0" borderId="11" xfId="0" applyFont="1" applyBorder="1"/>
    <xf numFmtId="37" fontId="13" fillId="0" borderId="0" xfId="0" applyFont="1"/>
    <xf numFmtId="37" fontId="13" fillId="0" borderId="0" xfId="0" applyFont="1" applyAlignment="1">
      <alignment horizontal="right"/>
    </xf>
    <xf numFmtId="37" fontId="15" fillId="0" borderId="0" xfId="0" applyFont="1" applyAlignment="1">
      <alignment horizontal="right"/>
    </xf>
    <xf numFmtId="5" fontId="5" fillId="0" borderId="0" xfId="0" applyNumberFormat="1" applyFont="1" applyAlignment="1">
      <alignment horizontal="right"/>
    </xf>
    <xf numFmtId="169" fontId="5" fillId="0" borderId="0" xfId="0" applyNumberFormat="1" applyFont="1" applyAlignment="1">
      <alignment horizontal="center" vertical="center"/>
    </xf>
    <xf numFmtId="43" fontId="5" fillId="0" borderId="0" xfId="0" applyNumberFormat="1" applyFont="1" applyAlignment="1">
      <alignment vertical="center"/>
    </xf>
    <xf numFmtId="164" fontId="5" fillId="0" borderId="0" xfId="0" applyNumberFormat="1" applyFont="1" applyAlignment="1">
      <alignment vertical="center"/>
    </xf>
    <xf numFmtId="166" fontId="5" fillId="0" borderId="0" xfId="0" applyNumberFormat="1" applyFont="1" applyAlignment="1">
      <alignment vertical="center"/>
    </xf>
    <xf numFmtId="37" fontId="5" fillId="0" borderId="0" xfId="0" applyFont="1" applyAlignment="1">
      <alignment vertical="center"/>
    </xf>
    <xf numFmtId="37" fontId="0" fillId="0" borderId="0" xfId="0" applyAlignment="1">
      <alignment vertical="center"/>
    </xf>
    <xf numFmtId="169" fontId="13" fillId="0" borderId="0" xfId="0" applyNumberFormat="1" applyFont="1" applyAlignment="1">
      <alignment horizontal="left"/>
    </xf>
    <xf numFmtId="168" fontId="13" fillId="0" borderId="0" xfId="0" applyNumberFormat="1" applyFont="1"/>
    <xf numFmtId="37" fontId="5" fillId="0" borderId="11" xfId="0" applyFont="1" applyBorder="1" applyAlignment="1">
      <alignment horizontal="right"/>
    </xf>
    <xf numFmtId="0" fontId="18" fillId="0" borderId="0" xfId="1" applyFont="1" applyAlignment="1">
      <alignment horizontal="center"/>
    </xf>
    <xf numFmtId="0" fontId="4" fillId="0" borderId="0" xfId="1"/>
    <xf numFmtId="0" fontId="19" fillId="0" borderId="0" xfId="1" applyFont="1" applyAlignment="1">
      <alignment horizontal="center"/>
    </xf>
    <xf numFmtId="0" fontId="18" fillId="0" borderId="0" xfId="1" applyFont="1"/>
    <xf numFmtId="0" fontId="4" fillId="0" borderId="0" xfId="1" applyAlignment="1">
      <alignment horizontal="center"/>
    </xf>
    <xf numFmtId="43" fontId="0" fillId="0" borderId="0" xfId="2" applyFont="1"/>
    <xf numFmtId="0" fontId="17" fillId="0" borderId="0" xfId="1" applyFont="1"/>
    <xf numFmtId="37" fontId="21" fillId="0" borderId="0" xfId="0" applyFont="1"/>
    <xf numFmtId="37" fontId="22" fillId="0" borderId="0" xfId="0" applyFont="1" applyAlignment="1">
      <alignment horizontal="center"/>
    </xf>
    <xf numFmtId="37" fontId="14" fillId="0" borderId="0" xfId="0" applyFont="1"/>
    <xf numFmtId="39" fontId="14" fillId="0" borderId="0" xfId="0" applyNumberFormat="1" applyFont="1"/>
    <xf numFmtId="39" fontId="21" fillId="0" borderId="0" xfId="0" applyNumberFormat="1" applyFont="1"/>
    <xf numFmtId="37" fontId="23" fillId="0" borderId="0" xfId="0" applyFont="1"/>
    <xf numFmtId="169" fontId="29" fillId="0" borderId="0" xfId="0" applyNumberFormat="1" applyFont="1" applyAlignment="1">
      <alignment horizontal="center" vertical="top" wrapText="1"/>
    </xf>
    <xf numFmtId="7" fontId="5" fillId="0" borderId="0" xfId="0" applyNumberFormat="1" applyFont="1"/>
    <xf numFmtId="37" fontId="13" fillId="0" borderId="0" xfId="0" applyFont="1" applyAlignment="1">
      <alignment horizontal="left"/>
    </xf>
    <xf numFmtId="37" fontId="21" fillId="0" borderId="0" xfId="0" applyFont="1" applyAlignment="1">
      <alignment horizontal="center" vertical="center" wrapText="1"/>
    </xf>
    <xf numFmtId="37" fontId="21" fillId="0" borderId="0" xfId="0" applyFont="1" applyAlignment="1">
      <alignment vertical="center"/>
    </xf>
    <xf numFmtId="37" fontId="8" fillId="0" borderId="0" xfId="0" applyFont="1" applyAlignment="1">
      <alignment horizontal="right"/>
    </xf>
    <xf numFmtId="37" fontId="13" fillId="0" borderId="11" xfId="0" applyFont="1" applyBorder="1" applyAlignment="1">
      <alignment horizontal="left"/>
    </xf>
    <xf numFmtId="37" fontId="13" fillId="0" borderId="4" xfId="0" applyFont="1" applyBorder="1" applyAlignment="1">
      <alignment horizontal="left"/>
    </xf>
    <xf numFmtId="37" fontId="5" fillId="0" borderId="11" xfId="0" applyFont="1" applyBorder="1" applyAlignment="1">
      <alignment horizontal="left"/>
    </xf>
    <xf numFmtId="37" fontId="11" fillId="0" borderId="0" xfId="0" applyFont="1" applyAlignment="1">
      <alignment horizontal="right"/>
    </xf>
    <xf numFmtId="37" fontId="13" fillId="0" borderId="8" xfId="0" applyFont="1" applyBorder="1" applyAlignment="1">
      <alignment horizontal="right"/>
    </xf>
    <xf numFmtId="166" fontId="30" fillId="0" borderId="5" xfId="0" applyNumberFormat="1" applyFont="1" applyBorder="1"/>
    <xf numFmtId="0" fontId="34" fillId="0" borderId="0" xfId="6" applyFont="1"/>
    <xf numFmtId="0" fontId="35" fillId="0" borderId="0" xfId="6" applyFont="1"/>
    <xf numFmtId="43" fontId="36" fillId="0" borderId="0" xfId="6" applyNumberFormat="1" applyFont="1" applyAlignment="1">
      <alignment horizontal="left"/>
    </xf>
    <xf numFmtId="43" fontId="36" fillId="0" borderId="0" xfId="6" applyNumberFormat="1" applyFont="1"/>
    <xf numFmtId="43" fontId="36" fillId="0" borderId="0" xfId="6" applyNumberFormat="1" applyFont="1" applyAlignment="1">
      <alignment horizontal="right"/>
    </xf>
    <xf numFmtId="43" fontId="36" fillId="0" borderId="0" xfId="6" applyNumberFormat="1" applyFont="1" applyAlignment="1">
      <alignment horizontal="center"/>
    </xf>
    <xf numFmtId="43" fontId="37" fillId="15" borderId="0" xfId="6" applyNumberFormat="1" applyFont="1" applyFill="1" applyAlignment="1">
      <alignment horizontal="center" wrapText="1"/>
    </xf>
    <xf numFmtId="43" fontId="35" fillId="0" borderId="0" xfId="6" applyNumberFormat="1" applyFont="1"/>
    <xf numFmtId="4" fontId="35" fillId="0" borderId="0" xfId="6" applyNumberFormat="1" applyFont="1"/>
    <xf numFmtId="0" fontId="33" fillId="0" borderId="0" xfId="6" applyFont="1"/>
    <xf numFmtId="43" fontId="37" fillId="17" borderId="0" xfId="6" applyNumberFormat="1" applyFont="1" applyFill="1" applyAlignment="1">
      <alignment horizontal="center" wrapText="1"/>
    </xf>
    <xf numFmtId="43" fontId="35" fillId="0" borderId="0" xfId="6" applyNumberFormat="1" applyFont="1" applyAlignment="1">
      <alignment horizontal="center"/>
    </xf>
    <xf numFmtId="43" fontId="35" fillId="0" borderId="0" xfId="6" applyNumberFormat="1" applyFont="1" applyAlignment="1">
      <alignment horizontal="center" wrapText="1"/>
    </xf>
    <xf numFmtId="9" fontId="35" fillId="0" borderId="0" xfId="6" applyNumberFormat="1" applyFont="1"/>
    <xf numFmtId="165" fontId="35" fillId="0" borderId="0" xfId="6" applyNumberFormat="1" applyFont="1"/>
    <xf numFmtId="165" fontId="35" fillId="0" borderId="0" xfId="6" applyNumberFormat="1" applyFont="1" applyAlignment="1">
      <alignment horizontal="center"/>
    </xf>
    <xf numFmtId="43" fontId="35" fillId="2" borderId="0" xfId="6" applyNumberFormat="1" applyFont="1" applyFill="1"/>
    <xf numFmtId="0" fontId="34" fillId="18" borderId="0" xfId="6" applyFont="1" applyFill="1"/>
    <xf numFmtId="0" fontId="35" fillId="18" borderId="0" xfId="6" applyFont="1" applyFill="1"/>
    <xf numFmtId="0" fontId="34" fillId="0" borderId="0" xfId="6" applyFont="1" applyAlignment="1">
      <alignment horizontal="center"/>
    </xf>
    <xf numFmtId="0" fontId="34" fillId="19" borderId="0" xfId="6" applyFont="1" applyFill="1"/>
    <xf numFmtId="0" fontId="35" fillId="19" borderId="0" xfId="6" applyFont="1" applyFill="1"/>
    <xf numFmtId="43" fontId="34" fillId="0" borderId="0" xfId="6" applyNumberFormat="1" applyFont="1" applyAlignment="1">
      <alignment horizontal="center" vertical="center"/>
    </xf>
    <xf numFmtId="43" fontId="34" fillId="0" borderId="0" xfId="6" applyNumberFormat="1" applyFont="1" applyAlignment="1">
      <alignment horizontal="center" vertical="center" wrapText="1"/>
    </xf>
    <xf numFmtId="9" fontId="34" fillId="0" borderId="0" xfId="6" applyNumberFormat="1" applyFont="1" applyAlignment="1">
      <alignment horizontal="center" vertical="center"/>
    </xf>
    <xf numFmtId="43" fontId="34" fillId="19" borderId="0" xfId="6" applyNumberFormat="1" applyFont="1" applyFill="1" applyAlignment="1">
      <alignment horizontal="center" vertical="center" wrapText="1"/>
    </xf>
    <xf numFmtId="165" fontId="34" fillId="19" borderId="0" xfId="6" applyNumberFormat="1" applyFont="1" applyFill="1" applyAlignment="1">
      <alignment horizontal="center" vertical="center"/>
    </xf>
    <xf numFmtId="165" fontId="34" fillId="0" borderId="0" xfId="6" applyNumberFormat="1" applyFont="1" applyAlignment="1">
      <alignment horizontal="center" vertical="center"/>
    </xf>
    <xf numFmtId="43" fontId="35" fillId="2" borderId="0" xfId="6" applyNumberFormat="1" applyFont="1" applyFill="1" applyAlignment="1">
      <alignment horizontal="center"/>
    </xf>
    <xf numFmtId="43" fontId="35" fillId="19" borderId="0" xfId="6" applyNumberFormat="1" applyFont="1" applyFill="1"/>
    <xf numFmtId="43" fontId="35" fillId="19" borderId="0" xfId="6" applyNumberFormat="1" applyFont="1" applyFill="1" applyAlignment="1">
      <alignment horizontal="center"/>
    </xf>
    <xf numFmtId="0" fontId="35" fillId="0" borderId="0" xfId="6" applyFont="1" applyAlignment="1">
      <alignment horizontal="center"/>
    </xf>
    <xf numFmtId="178" fontId="35" fillId="18" borderId="0" xfId="6" applyNumberFormat="1" applyFont="1" applyFill="1" applyAlignment="1">
      <alignment horizontal="center"/>
    </xf>
    <xf numFmtId="178" fontId="35" fillId="19" borderId="0" xfId="6" applyNumberFormat="1" applyFont="1" applyFill="1" applyAlignment="1">
      <alignment horizontal="center"/>
    </xf>
    <xf numFmtId="179" fontId="35" fillId="19" borderId="0" xfId="6" applyNumberFormat="1" applyFont="1" applyFill="1" applyAlignment="1">
      <alignment horizontal="center"/>
    </xf>
    <xf numFmtId="43" fontId="35" fillId="18" borderId="0" xfId="6" applyNumberFormat="1" applyFont="1" applyFill="1" applyAlignment="1">
      <alignment horizontal="center"/>
    </xf>
    <xf numFmtId="0" fontId="34" fillId="20" borderId="0" xfId="6" applyFont="1" applyFill="1" applyAlignment="1">
      <alignment horizontal="center" wrapText="1"/>
    </xf>
    <xf numFmtId="0" fontId="34" fillId="20" borderId="0" xfId="6" applyFont="1" applyFill="1" applyAlignment="1">
      <alignment horizontal="center"/>
    </xf>
    <xf numFmtId="43" fontId="34" fillId="21" borderId="0" xfId="6" applyNumberFormat="1" applyFont="1" applyFill="1" applyAlignment="1">
      <alignment horizontal="center"/>
    </xf>
    <xf numFmtId="0" fontId="34" fillId="0" borderId="0" xfId="6" applyFont="1" applyAlignment="1">
      <alignment horizontal="center" wrapText="1"/>
    </xf>
    <xf numFmtId="0" fontId="35" fillId="0" borderId="0" xfId="6" applyFont="1" applyAlignment="1">
      <alignment horizontal="right" vertical="center"/>
    </xf>
    <xf numFmtId="0" fontId="34" fillId="0" borderId="0" xfId="6" applyFont="1" applyAlignment="1">
      <alignment horizontal="center" vertical="center"/>
    </xf>
    <xf numFmtId="43" fontId="35" fillId="0" borderId="0" xfId="6" applyNumberFormat="1" applyFont="1" applyAlignment="1">
      <alignment horizontal="center" vertical="center" wrapText="1"/>
    </xf>
    <xf numFmtId="43" fontId="35" fillId="0" borderId="0" xfId="6" applyNumberFormat="1" applyFont="1" applyAlignment="1">
      <alignment horizontal="center" vertical="center"/>
    </xf>
    <xf numFmtId="43" fontId="37" fillId="17" borderId="0" xfId="6" applyNumberFormat="1" applyFont="1" applyFill="1" applyAlignment="1">
      <alignment horizontal="center" vertical="center" wrapText="1"/>
    </xf>
    <xf numFmtId="43" fontId="35" fillId="20" borderId="0" xfId="6" applyNumberFormat="1" applyFont="1" applyFill="1" applyAlignment="1">
      <alignment horizontal="center" vertical="center"/>
    </xf>
    <xf numFmtId="43" fontId="35" fillId="2" borderId="0" xfId="6" applyNumberFormat="1" applyFont="1" applyFill="1" applyAlignment="1">
      <alignment horizontal="center" vertical="center"/>
    </xf>
    <xf numFmtId="43" fontId="35" fillId="0" borderId="0" xfId="6" applyNumberFormat="1" applyFont="1" applyAlignment="1">
      <alignment vertical="center"/>
    </xf>
    <xf numFmtId="0" fontId="34" fillId="0" borderId="0" xfId="6" applyFont="1" applyAlignment="1">
      <alignment horizontal="left" vertical="center"/>
    </xf>
    <xf numFmtId="43" fontId="38" fillId="15" borderId="0" xfId="6" applyNumberFormat="1" applyFont="1" applyFill="1" applyAlignment="1">
      <alignment horizontal="center" vertical="center"/>
    </xf>
    <xf numFmtId="43" fontId="35" fillId="22" borderId="0" xfId="6" applyNumberFormat="1" applyFont="1" applyFill="1" applyAlignment="1">
      <alignment horizontal="center" vertical="center"/>
    </xf>
    <xf numFmtId="0" fontId="35" fillId="0" borderId="0" xfId="6" applyFont="1" applyAlignment="1">
      <alignment vertical="center" wrapText="1"/>
    </xf>
    <xf numFmtId="4" fontId="35" fillId="23" borderId="10" xfId="6" applyNumberFormat="1" applyFont="1" applyFill="1" applyBorder="1" applyAlignment="1">
      <alignment vertical="center"/>
    </xf>
    <xf numFmtId="0" fontId="35" fillId="0" borderId="0" xfId="6" applyFont="1" applyAlignment="1">
      <alignment horizontal="right"/>
    </xf>
    <xf numFmtId="43" fontId="38" fillId="15" borderId="0" xfId="6" applyNumberFormat="1" applyFont="1" applyFill="1" applyAlignment="1">
      <alignment horizontal="center"/>
    </xf>
    <xf numFmtId="43" fontId="35" fillId="22" borderId="0" xfId="6" applyNumberFormat="1" applyFont="1" applyFill="1" applyAlignment="1">
      <alignment horizontal="center"/>
    </xf>
    <xf numFmtId="43" fontId="35" fillId="20" borderId="0" xfId="6" applyNumberFormat="1" applyFont="1" applyFill="1" applyAlignment="1">
      <alignment horizontal="center"/>
    </xf>
    <xf numFmtId="43" fontId="34" fillId="0" borderId="10" xfId="6" applyNumberFormat="1" applyFont="1" applyBorder="1" applyAlignment="1">
      <alignment horizontal="center"/>
    </xf>
    <xf numFmtId="43" fontId="34" fillId="2" borderId="10" xfId="6" applyNumberFormat="1" applyFont="1" applyFill="1" applyBorder="1" applyAlignment="1">
      <alignment horizontal="center"/>
    </xf>
    <xf numFmtId="0" fontId="34" fillId="20" borderId="0" xfId="6" applyFont="1" applyFill="1"/>
    <xf numFmtId="0" fontId="16" fillId="20" borderId="0" xfId="6" applyFont="1" applyFill="1"/>
    <xf numFmtId="43" fontId="35" fillId="15" borderId="0" xfId="6" applyNumberFormat="1" applyFont="1" applyFill="1" applyAlignment="1">
      <alignment horizontal="center"/>
    </xf>
    <xf numFmtId="43" fontId="35" fillId="25" borderId="0" xfId="6" applyNumberFormat="1" applyFont="1" applyFill="1" applyAlignment="1">
      <alignment horizontal="center"/>
    </xf>
    <xf numFmtId="0" fontId="35" fillId="0" borderId="0" xfId="6" applyFont="1" applyAlignment="1">
      <alignment wrapText="1"/>
    </xf>
    <xf numFmtId="4" fontId="35" fillId="23" borderId="0" xfId="6" applyNumberFormat="1" applyFont="1" applyFill="1"/>
    <xf numFmtId="43" fontId="35" fillId="16" borderId="0" xfId="6" applyNumberFormat="1" applyFont="1" applyFill="1"/>
    <xf numFmtId="177" fontId="34" fillId="0" borderId="10" xfId="6" applyNumberFormat="1" applyFont="1" applyBorder="1"/>
    <xf numFmtId="43" fontId="34" fillId="0" borderId="0" xfId="6" applyNumberFormat="1" applyFont="1"/>
    <xf numFmtId="0" fontId="35" fillId="0" borderId="0" xfId="6" applyFont="1" applyAlignment="1">
      <alignment horizontal="center" vertical="center"/>
    </xf>
    <xf numFmtId="0" fontId="35" fillId="0" borderId="0" xfId="6" applyFont="1" applyAlignment="1">
      <alignment vertical="center"/>
    </xf>
    <xf numFmtId="4" fontId="35" fillId="0" borderId="0" xfId="6" applyNumberFormat="1" applyFont="1" applyAlignment="1">
      <alignment vertical="center"/>
    </xf>
    <xf numFmtId="0" fontId="35" fillId="0" borderId="0" xfId="6" applyFont="1" applyAlignment="1">
      <alignment horizontal="left" vertical="center" wrapText="1"/>
    </xf>
    <xf numFmtId="0" fontId="35" fillId="0" borderId="0" xfId="6" applyFont="1" applyAlignment="1">
      <alignment horizontal="center" vertical="center" wrapText="1"/>
    </xf>
    <xf numFmtId="43" fontId="38" fillId="15" borderId="0" xfId="6" applyNumberFormat="1" applyFont="1" applyFill="1" applyAlignment="1">
      <alignment horizontal="center" vertical="center" wrapText="1"/>
    </xf>
    <xf numFmtId="43" fontId="35" fillId="24" borderId="0" xfId="6" applyNumberFormat="1" applyFont="1" applyFill="1" applyAlignment="1">
      <alignment horizontal="center" vertical="center" wrapText="1"/>
    </xf>
    <xf numFmtId="43" fontId="35" fillId="2" borderId="0" xfId="6" applyNumberFormat="1" applyFont="1" applyFill="1" applyAlignment="1">
      <alignment horizontal="center" vertical="center" wrapText="1"/>
    </xf>
    <xf numFmtId="4" fontId="35" fillId="0" borderId="0" xfId="6" applyNumberFormat="1" applyFont="1" applyAlignment="1">
      <alignment horizontal="center" vertical="center" wrapText="1"/>
    </xf>
    <xf numFmtId="0" fontId="34" fillId="0" borderId="0" xfId="6" applyFont="1" applyAlignment="1">
      <alignment horizontal="right"/>
    </xf>
    <xf numFmtId="10" fontId="35" fillId="0" borderId="0" xfId="6" applyNumberFormat="1" applyFont="1" applyAlignment="1">
      <alignment horizontal="center"/>
    </xf>
    <xf numFmtId="10" fontId="35" fillId="0" borderId="0" xfId="6" applyNumberFormat="1" applyFont="1"/>
    <xf numFmtId="0" fontId="35" fillId="24" borderId="0" xfId="6" applyFont="1" applyFill="1"/>
    <xf numFmtId="0" fontId="34" fillId="26" borderId="0" xfId="6" applyFont="1" applyFill="1"/>
    <xf numFmtId="43" fontId="35" fillId="0" borderId="0" xfId="6" applyNumberFormat="1" applyFont="1" applyAlignment="1">
      <alignment horizontal="right"/>
    </xf>
    <xf numFmtId="0" fontId="35" fillId="0" borderId="15" xfId="6" applyFont="1" applyBorder="1"/>
    <xf numFmtId="4" fontId="35" fillId="0" borderId="16" xfId="6" applyNumberFormat="1" applyFont="1" applyBorder="1"/>
    <xf numFmtId="0" fontId="35" fillId="0" borderId="16" xfId="6" applyFont="1" applyBorder="1"/>
    <xf numFmtId="0" fontId="35" fillId="0" borderId="22" xfId="6" applyFont="1" applyBorder="1" applyAlignment="1">
      <alignment horizontal="left"/>
    </xf>
    <xf numFmtId="4" fontId="35" fillId="0" borderId="0" xfId="6" applyNumberFormat="1" applyFont="1" applyAlignment="1">
      <alignment horizontal="center"/>
    </xf>
    <xf numFmtId="0" fontId="35" fillId="0" borderId="22" xfId="6" applyFont="1" applyBorder="1" applyAlignment="1">
      <alignment horizontal="center"/>
    </xf>
    <xf numFmtId="0" fontId="35" fillId="0" borderId="22" xfId="6" applyFont="1" applyBorder="1"/>
    <xf numFmtId="43" fontId="35" fillId="0" borderId="22" xfId="6" applyNumberFormat="1" applyFont="1" applyBorder="1" applyAlignment="1">
      <alignment vertical="center"/>
    </xf>
    <xf numFmtId="43" fontId="34" fillId="0" borderId="22" xfId="6" applyNumberFormat="1" applyFont="1" applyBorder="1" applyAlignment="1">
      <alignment horizontal="left"/>
    </xf>
    <xf numFmtId="43" fontId="34" fillId="0" borderId="0" xfId="6" applyNumberFormat="1" applyFont="1" applyAlignment="1">
      <alignment horizontal="left"/>
    </xf>
    <xf numFmtId="0" fontId="3" fillId="0" borderId="22" xfId="6" applyBorder="1"/>
    <xf numFmtId="43" fontId="35" fillId="0" borderId="22" xfId="6" applyNumberFormat="1" applyFont="1" applyBorder="1" applyAlignment="1">
      <alignment horizontal="right"/>
    </xf>
    <xf numFmtId="43" fontId="35" fillId="0" borderId="18" xfId="6" applyNumberFormat="1" applyFont="1" applyBorder="1"/>
    <xf numFmtId="4" fontId="35" fillId="0" borderId="19" xfId="6" applyNumberFormat="1" applyFont="1" applyBorder="1"/>
    <xf numFmtId="43" fontId="35" fillId="0" borderId="19" xfId="6" applyNumberFormat="1" applyFont="1" applyBorder="1"/>
    <xf numFmtId="37" fontId="34" fillId="0" borderId="0" xfId="6" applyNumberFormat="1" applyFont="1"/>
    <xf numFmtId="4" fontId="35" fillId="14" borderId="0" xfId="6" applyNumberFormat="1" applyFont="1" applyFill="1"/>
    <xf numFmtId="0" fontId="34" fillId="14" borderId="0" xfId="6" applyFont="1" applyFill="1"/>
    <xf numFmtId="0" fontId="35" fillId="14" borderId="0" xfId="6" applyFont="1" applyFill="1"/>
    <xf numFmtId="43" fontId="35" fillId="27" borderId="0" xfId="6" applyNumberFormat="1" applyFont="1" applyFill="1" applyAlignment="1">
      <alignment vertical="center"/>
    </xf>
    <xf numFmtId="6" fontId="6" fillId="0" borderId="0" xfId="0" applyNumberFormat="1" applyFont="1" applyAlignment="1">
      <alignment horizontal="center"/>
    </xf>
    <xf numFmtId="37" fontId="46" fillId="0" borderId="0" xfId="0" applyFont="1"/>
    <xf numFmtId="37" fontId="47" fillId="0" borderId="0" xfId="0" applyFont="1"/>
    <xf numFmtId="37" fontId="46" fillId="5" borderId="0" xfId="0" applyFont="1" applyFill="1"/>
    <xf numFmtId="37" fontId="11" fillId="0" borderId="11" xfId="0" applyFont="1" applyBorder="1" applyAlignment="1">
      <alignment horizontal="left"/>
    </xf>
    <xf numFmtId="5" fontId="13" fillId="0" borderId="0" xfId="0" applyNumberFormat="1" applyFont="1" applyAlignment="1">
      <alignment horizontal="right"/>
    </xf>
    <xf numFmtId="37" fontId="48" fillId="0" borderId="0" xfId="0" applyFont="1"/>
    <xf numFmtId="0" fontId="44" fillId="5" borderId="0" xfId="6" applyFont="1" applyFill="1"/>
    <xf numFmtId="0" fontId="51" fillId="0" borderId="0" xfId="7"/>
    <xf numFmtId="37" fontId="24" fillId="0" borderId="0" xfId="0" applyFont="1" applyAlignment="1">
      <alignment wrapText="1"/>
    </xf>
    <xf numFmtId="174" fontId="24" fillId="6" borderId="0" xfId="0" applyNumberFormat="1" applyFont="1" applyFill="1" applyAlignment="1">
      <alignment wrapText="1"/>
    </xf>
    <xf numFmtId="37" fontId="24" fillId="6" borderId="0" xfId="0" applyFont="1" applyFill="1" applyAlignment="1">
      <alignment wrapText="1"/>
    </xf>
    <xf numFmtId="174" fontId="24" fillId="0" borderId="0" xfId="0" applyNumberFormat="1" applyFont="1" applyAlignment="1">
      <alignment wrapText="1"/>
    </xf>
    <xf numFmtId="175" fontId="24" fillId="7" borderId="0" xfId="0" applyNumberFormat="1" applyFont="1" applyFill="1" applyAlignment="1">
      <alignment wrapText="1"/>
    </xf>
    <xf numFmtId="37" fontId="24" fillId="7" borderId="0" xfId="0" applyFont="1" applyFill="1" applyAlignment="1">
      <alignment wrapText="1"/>
    </xf>
    <xf numFmtId="37" fontId="0" fillId="8" borderId="0" xfId="0" applyFill="1" applyAlignment="1">
      <alignment vertical="center" wrapText="1"/>
    </xf>
    <xf numFmtId="176" fontId="25" fillId="0" borderId="0" xfId="0" applyNumberFormat="1" applyFont="1"/>
    <xf numFmtId="37" fontId="25" fillId="0" borderId="0" xfId="0" applyFont="1"/>
    <xf numFmtId="37" fontId="26" fillId="0" borderId="0" xfId="0" applyFont="1"/>
    <xf numFmtId="174" fontId="26" fillId="0" borderId="0" xfId="0" applyNumberFormat="1" applyFont="1"/>
    <xf numFmtId="172" fontId="26" fillId="0" borderId="0" xfId="0" applyNumberFormat="1" applyFont="1"/>
    <xf numFmtId="174" fontId="25" fillId="0" borderId="0" xfId="0" applyNumberFormat="1" applyFont="1"/>
    <xf numFmtId="176" fontId="26" fillId="0" borderId="0" xfId="0" applyNumberFormat="1" applyFont="1"/>
    <xf numFmtId="176" fontId="5" fillId="0" borderId="0" xfId="0" applyNumberFormat="1" applyFont="1"/>
    <xf numFmtId="37" fontId="8" fillId="0" borderId="0" xfId="0" applyFont="1" applyAlignment="1">
      <alignment horizontal="left"/>
    </xf>
    <xf numFmtId="37" fontId="50" fillId="0" borderId="0" xfId="0" applyFont="1" applyAlignment="1">
      <alignment horizontal="right" vertical="center"/>
    </xf>
    <xf numFmtId="37" fontId="13" fillId="0" borderId="0" xfId="0" applyFont="1" applyAlignment="1">
      <alignment horizontal="right" vertical="center" wrapText="1"/>
    </xf>
    <xf numFmtId="170" fontId="5" fillId="0" borderId="0" xfId="0" applyNumberFormat="1" applyFont="1" applyAlignment="1">
      <alignment horizontal="left"/>
    </xf>
    <xf numFmtId="37" fontId="15" fillId="0" borderId="0" xfId="0" applyFont="1" applyAlignment="1">
      <alignment horizontal="center"/>
    </xf>
    <xf numFmtId="37" fontId="8" fillId="0" borderId="0" xfId="0" applyFont="1" applyAlignment="1">
      <alignment horizontal="center"/>
    </xf>
    <xf numFmtId="37" fontId="52" fillId="0" borderId="0" xfId="0" applyFont="1" applyAlignment="1">
      <alignment horizontal="right" vertical="center"/>
    </xf>
    <xf numFmtId="170" fontId="5" fillId="0" borderId="0" xfId="0" applyNumberFormat="1" applyFont="1" applyAlignment="1">
      <alignment horizontal="left" vertical="center"/>
    </xf>
    <xf numFmtId="37" fontId="44" fillId="0" borderId="0" xfId="0" applyFont="1" applyAlignment="1">
      <alignment horizontal="left"/>
    </xf>
    <xf numFmtId="37" fontId="44" fillId="0" borderId="0" xfId="0" applyFont="1" applyAlignment="1">
      <alignment horizontal="right"/>
    </xf>
    <xf numFmtId="7" fontId="13" fillId="0" borderId="0" xfId="0" applyNumberFormat="1" applyFont="1"/>
    <xf numFmtId="166" fontId="13" fillId="0" borderId="0" xfId="0" applyNumberFormat="1" applyFont="1"/>
    <xf numFmtId="37" fontId="15" fillId="0" borderId="0" xfId="0" applyFont="1" applyAlignment="1">
      <alignment horizontal="left" wrapText="1"/>
    </xf>
    <xf numFmtId="37" fontId="30" fillId="0" borderId="0" xfId="0" applyFont="1"/>
    <xf numFmtId="37" fontId="15" fillId="0" borderId="0" xfId="0" applyFont="1" applyAlignment="1">
      <alignment horizontal="right" wrapText="1"/>
    </xf>
    <xf numFmtId="37" fontId="46" fillId="0" borderId="0" xfId="0" applyFont="1" applyAlignment="1">
      <alignment horizontal="right"/>
    </xf>
    <xf numFmtId="37" fontId="66" fillId="0" borderId="0" xfId="0" applyFont="1"/>
    <xf numFmtId="37" fontId="67" fillId="29" borderId="0" xfId="0" applyFont="1" applyFill="1" applyAlignment="1">
      <alignment vertical="center" wrapText="1"/>
    </xf>
    <xf numFmtId="0" fontId="32" fillId="0" borderId="0" xfId="1" applyFont="1" applyAlignment="1">
      <alignment horizontal="center"/>
    </xf>
    <xf numFmtId="37" fontId="60" fillId="0" borderId="0" xfId="0" applyFont="1"/>
    <xf numFmtId="37" fontId="70" fillId="28" borderId="0" xfId="0" applyFont="1" applyFill="1"/>
    <xf numFmtId="0" fontId="61" fillId="0" borderId="0" xfId="7" applyFont="1"/>
    <xf numFmtId="0" fontId="64" fillId="0" borderId="0" xfId="7" applyFont="1"/>
    <xf numFmtId="15" fontId="65" fillId="0" borderId="0" xfId="7" applyNumberFormat="1" applyFont="1"/>
    <xf numFmtId="0" fontId="55" fillId="0" borderId="0" xfId="7" applyFont="1"/>
    <xf numFmtId="0" fontId="13" fillId="0" borderId="0" xfId="1" applyFont="1"/>
    <xf numFmtId="37" fontId="11" fillId="0" borderId="0" xfId="0" applyFont="1" applyAlignment="1">
      <alignment vertical="center" wrapText="1"/>
    </xf>
    <xf numFmtId="37" fontId="72" fillId="0" borderId="0" xfId="0" applyFont="1"/>
    <xf numFmtId="0" fontId="29" fillId="0" borderId="0" xfId="1" applyFont="1"/>
    <xf numFmtId="0" fontId="13" fillId="0" borderId="0" xfId="1" applyFont="1" applyAlignment="1">
      <alignment vertical="center"/>
    </xf>
    <xf numFmtId="0" fontId="13" fillId="0" borderId="0" xfId="1" applyFont="1" applyAlignment="1">
      <alignment vertical="center" wrapText="1"/>
    </xf>
    <xf numFmtId="0" fontId="11" fillId="0" borderId="0" xfId="1" applyFont="1" applyAlignment="1">
      <alignment horizontal="left" vertical="center" wrapText="1"/>
    </xf>
    <xf numFmtId="0" fontId="13" fillId="0" borderId="0" xfId="1" applyFont="1" applyAlignment="1">
      <alignment horizontal="left" wrapText="1"/>
    </xf>
    <xf numFmtId="0" fontId="30" fillId="0" borderId="0" xfId="1" applyFont="1"/>
    <xf numFmtId="0" fontId="13" fillId="0" borderId="0" xfId="1" applyFont="1" applyAlignment="1">
      <alignment wrapText="1"/>
    </xf>
    <xf numFmtId="0" fontId="13" fillId="0" borderId="27" xfId="1" applyFont="1" applyBorder="1" applyAlignment="1">
      <alignment wrapText="1"/>
    </xf>
    <xf numFmtId="0" fontId="13" fillId="0" borderId="28" xfId="1" applyFont="1" applyBorder="1" applyAlignment="1">
      <alignment wrapText="1"/>
    </xf>
    <xf numFmtId="0" fontId="13" fillId="0" borderId="29" xfId="1" applyFont="1" applyBorder="1" applyAlignment="1">
      <alignment wrapText="1"/>
    </xf>
    <xf numFmtId="0" fontId="13" fillId="0" borderId="26" xfId="1" applyFont="1" applyBorder="1" applyAlignment="1">
      <alignment wrapText="1"/>
    </xf>
    <xf numFmtId="37" fontId="73" fillId="0" borderId="0" xfId="8" applyNumberFormat="1" applyFont="1" applyAlignment="1"/>
    <xf numFmtId="37" fontId="22" fillId="0" borderId="0" xfId="0" applyFont="1" applyAlignment="1">
      <alignment horizontal="center" wrapText="1"/>
    </xf>
    <xf numFmtId="173" fontId="74" fillId="0" borderId="0" xfId="8" applyNumberFormat="1" applyFont="1" applyAlignment="1">
      <alignment horizontal="right"/>
    </xf>
    <xf numFmtId="176" fontId="35" fillId="14" borderId="0" xfId="6" applyNumberFormat="1" applyFont="1" applyFill="1"/>
    <xf numFmtId="43" fontId="37" fillId="15" borderId="0" xfId="6" applyNumberFormat="1" applyFont="1" applyFill="1" applyAlignment="1">
      <alignment horizontal="center" vertical="center" wrapText="1"/>
    </xf>
    <xf numFmtId="176" fontId="25" fillId="0" borderId="0" xfId="11" applyNumberFormat="1" applyFont="1"/>
    <xf numFmtId="38" fontId="26" fillId="0" borderId="0" xfId="11" applyNumberFormat="1" applyFont="1"/>
    <xf numFmtId="172" fontId="26" fillId="0" borderId="0" xfId="11" applyNumberFormat="1" applyFont="1"/>
    <xf numFmtId="0" fontId="25" fillId="0" borderId="0" xfId="11" applyFont="1"/>
    <xf numFmtId="176" fontId="26" fillId="0" borderId="0" xfId="11" applyNumberFormat="1" applyFont="1"/>
    <xf numFmtId="38" fontId="25" fillId="0" borderId="0" xfId="11" applyNumberFormat="1" applyFont="1"/>
    <xf numFmtId="37" fontId="26" fillId="9" borderId="0" xfId="0" applyFont="1" applyFill="1" applyAlignment="1">
      <alignment horizontal="center"/>
    </xf>
    <xf numFmtId="37" fontId="26" fillId="0" borderId="0" xfId="0" applyFont="1" applyAlignment="1">
      <alignment horizontal="center"/>
    </xf>
    <xf numFmtId="174" fontId="26" fillId="0" borderId="0" xfId="0" applyNumberFormat="1" applyFont="1" applyAlignment="1">
      <alignment horizontal="center"/>
    </xf>
    <xf numFmtId="174" fontId="0" fillId="0" borderId="0" xfId="0" applyNumberFormat="1" applyAlignment="1">
      <alignment horizontal="center" vertical="top" wrapText="1"/>
    </xf>
    <xf numFmtId="176" fontId="25" fillId="0" borderId="0" xfId="0" applyNumberFormat="1" applyFont="1" applyAlignment="1">
      <alignment horizontal="center"/>
    </xf>
    <xf numFmtId="172" fontId="26" fillId="0" borderId="0" xfId="0" applyNumberFormat="1" applyFont="1" applyAlignment="1">
      <alignment horizontal="center"/>
    </xf>
    <xf numFmtId="174" fontId="25" fillId="0" borderId="0" xfId="0" applyNumberFormat="1" applyFont="1" applyAlignment="1">
      <alignment horizontal="center"/>
    </xf>
    <xf numFmtId="174" fontId="27" fillId="0" borderId="0" xfId="0" applyNumberFormat="1" applyFont="1" applyAlignment="1">
      <alignment horizontal="center"/>
    </xf>
    <xf numFmtId="37" fontId="26" fillId="10" borderId="0" xfId="0" applyFont="1" applyFill="1" applyAlignment="1">
      <alignment horizontal="center"/>
    </xf>
    <xf numFmtId="174" fontId="26" fillId="10" borderId="0" xfId="0" applyNumberFormat="1" applyFont="1" applyFill="1" applyAlignment="1">
      <alignment horizontal="center"/>
    </xf>
    <xf numFmtId="37" fontId="26" fillId="11" borderId="0" xfId="0" applyFont="1" applyFill="1" applyAlignment="1">
      <alignment horizontal="center"/>
    </xf>
    <xf numFmtId="174" fontId="26" fillId="11" borderId="0" xfId="0" applyNumberFormat="1" applyFont="1" applyFill="1" applyAlignment="1">
      <alignment horizontal="center"/>
    </xf>
    <xf numFmtId="37" fontId="26" fillId="12" borderId="0" xfId="0" applyFont="1" applyFill="1" applyAlignment="1">
      <alignment horizontal="center"/>
    </xf>
    <xf numFmtId="174" fontId="26" fillId="12" borderId="0" xfId="0" applyNumberFormat="1" applyFont="1" applyFill="1" applyAlignment="1">
      <alignment horizontal="center"/>
    </xf>
    <xf numFmtId="169" fontId="26" fillId="0" borderId="0" xfId="0" applyNumberFormat="1" applyFont="1"/>
    <xf numFmtId="37" fontId="26" fillId="5" borderId="0" xfId="0" applyFont="1" applyFill="1" applyAlignment="1">
      <alignment horizontal="center"/>
    </xf>
    <xf numFmtId="0" fontId="25" fillId="0" borderId="0" xfId="11" applyFont="1" applyAlignment="1">
      <alignment horizontal="center"/>
    </xf>
    <xf numFmtId="3" fontId="25" fillId="0" borderId="0" xfId="11" applyNumberFormat="1" applyFont="1" applyAlignment="1">
      <alignment horizontal="center" wrapText="1"/>
    </xf>
    <xf numFmtId="176" fontId="26" fillId="0" borderId="0" xfId="11" applyNumberFormat="1" applyFont="1" applyAlignment="1">
      <alignment horizontal="center"/>
    </xf>
    <xf numFmtId="0" fontId="25" fillId="5" borderId="0" xfId="11" applyFont="1" applyFill="1" applyAlignment="1">
      <alignment horizontal="center"/>
    </xf>
    <xf numFmtId="3" fontId="25" fillId="5" borderId="0" xfId="11" applyNumberFormat="1" applyFont="1" applyFill="1" applyAlignment="1">
      <alignment horizontal="center" wrapText="1"/>
    </xf>
    <xf numFmtId="172" fontId="25" fillId="0" borderId="0" xfId="11" applyNumberFormat="1" applyFont="1" applyAlignment="1">
      <alignment horizontal="center"/>
    </xf>
    <xf numFmtId="172" fontId="25" fillId="5" borderId="0" xfId="11" applyNumberFormat="1" applyFont="1" applyFill="1" applyAlignment="1">
      <alignment horizontal="center"/>
    </xf>
    <xf numFmtId="172" fontId="25" fillId="0" borderId="0" xfId="11" applyNumberFormat="1" applyFont="1" applyAlignment="1">
      <alignment horizontal="center" wrapText="1"/>
    </xf>
    <xf numFmtId="172" fontId="25" fillId="5" borderId="0" xfId="11" applyNumberFormat="1" applyFont="1" applyFill="1" applyAlignment="1">
      <alignment horizontal="center" wrapText="1"/>
    </xf>
    <xf numFmtId="172" fontId="26" fillId="0" borderId="0" xfId="11" applyNumberFormat="1" applyFont="1" applyAlignment="1">
      <alignment horizontal="center"/>
    </xf>
    <xf numFmtId="182" fontId="25" fillId="0" borderId="0" xfId="11" applyNumberFormat="1" applyFont="1"/>
    <xf numFmtId="0" fontId="26" fillId="0" borderId="0" xfId="11" applyFont="1" applyAlignment="1">
      <alignment horizontal="center"/>
    </xf>
    <xf numFmtId="0" fontId="24" fillId="0" borderId="0" xfId="11" applyFont="1" applyAlignment="1">
      <alignment horizontal="center" wrapText="1"/>
    </xf>
    <xf numFmtId="0" fontId="2" fillId="8" borderId="0" xfId="11" applyFill="1" applyAlignment="1">
      <alignment horizontal="center" vertical="center" wrapText="1"/>
    </xf>
    <xf numFmtId="174" fontId="24" fillId="6" borderId="0" xfId="11" applyNumberFormat="1" applyFont="1" applyFill="1" applyAlignment="1">
      <alignment horizontal="center" wrapText="1"/>
    </xf>
    <xf numFmtId="0" fontId="24" fillId="6" borderId="0" xfId="11" applyFont="1" applyFill="1" applyAlignment="1">
      <alignment horizontal="center" wrapText="1"/>
    </xf>
    <xf numFmtId="175" fontId="24" fillId="7" borderId="0" xfId="11" applyNumberFormat="1" applyFont="1" applyFill="1" applyAlignment="1">
      <alignment horizontal="center" wrapText="1"/>
    </xf>
    <xf numFmtId="0" fontId="24" fillId="7" borderId="0" xfId="11" applyFont="1" applyFill="1" applyAlignment="1">
      <alignment horizontal="center" wrapText="1"/>
    </xf>
    <xf numFmtId="37" fontId="24" fillId="7" borderId="0" xfId="0" applyFont="1" applyFill="1" applyAlignment="1">
      <alignment horizontal="center" wrapText="1"/>
    </xf>
    <xf numFmtId="174" fontId="26" fillId="0" borderId="0" xfId="11" applyNumberFormat="1" applyFont="1" applyAlignment="1">
      <alignment horizontal="center"/>
    </xf>
    <xf numFmtId="38" fontId="26" fillId="0" borderId="0" xfId="11" applyNumberFormat="1" applyFont="1" applyAlignment="1">
      <alignment horizontal="center"/>
    </xf>
    <xf numFmtId="176" fontId="25" fillId="0" borderId="0" xfId="11" applyNumberFormat="1" applyFont="1" applyAlignment="1">
      <alignment horizontal="center"/>
    </xf>
    <xf numFmtId="174" fontId="25" fillId="0" borderId="0" xfId="11" applyNumberFormat="1" applyFont="1" applyAlignment="1">
      <alignment horizontal="center"/>
    </xf>
    <xf numFmtId="176" fontId="25" fillId="28" borderId="0" xfId="11" applyNumberFormat="1" applyFont="1" applyFill="1" applyAlignment="1">
      <alignment horizontal="center"/>
    </xf>
    <xf numFmtId="37" fontId="77" fillId="0" borderId="0" xfId="8" applyFont="1"/>
    <xf numFmtId="173" fontId="42" fillId="0" borderId="0" xfId="8" applyNumberFormat="1" applyFont="1" applyAlignment="1">
      <alignment horizontal="right"/>
    </xf>
    <xf numFmtId="37" fontId="47" fillId="30" borderId="0" xfId="0" applyFont="1" applyFill="1"/>
    <xf numFmtId="37" fontId="46" fillId="30" borderId="0" xfId="0" applyFont="1" applyFill="1"/>
    <xf numFmtId="37" fontId="60" fillId="30" borderId="0" xfId="0" applyFont="1" applyFill="1"/>
    <xf numFmtId="37" fontId="46" fillId="0" borderId="0" xfId="0" applyFont="1" applyAlignment="1">
      <alignment horizontal="center"/>
    </xf>
    <xf numFmtId="37" fontId="77" fillId="30" borderId="0" xfId="8" applyFont="1" applyFill="1" applyAlignment="1">
      <alignment horizontal="center"/>
    </xf>
    <xf numFmtId="0" fontId="79" fillId="0" borderId="0" xfId="13" applyFont="1"/>
    <xf numFmtId="0" fontId="79" fillId="0" borderId="0" xfId="13" applyFont="1" applyAlignment="1">
      <alignment horizontal="center"/>
    </xf>
    <xf numFmtId="0" fontId="80" fillId="0" borderId="0" xfId="4" applyFont="1"/>
    <xf numFmtId="0" fontId="79" fillId="0" borderId="0" xfId="13" quotePrefix="1" applyFont="1" applyAlignment="1">
      <alignment horizontal="center"/>
    </xf>
    <xf numFmtId="0" fontId="79" fillId="5" borderId="0" xfId="13" applyFont="1" applyFill="1"/>
    <xf numFmtId="37" fontId="5" fillId="0" borderId="23" xfId="0" applyFont="1" applyBorder="1"/>
    <xf numFmtId="37" fontId="5" fillId="0" borderId="22" xfId="0" applyFont="1" applyBorder="1" applyAlignment="1">
      <alignment horizontal="right"/>
    </xf>
    <xf numFmtId="37" fontId="5" fillId="0" borderId="22" xfId="0" applyFont="1" applyBorder="1"/>
    <xf numFmtId="37" fontId="6" fillId="0" borderId="22" xfId="0" applyFont="1" applyBorder="1" applyAlignment="1">
      <alignment horizontal="right"/>
    </xf>
    <xf numFmtId="8" fontId="6" fillId="0" borderId="0" xfId="0" applyNumberFormat="1" applyFont="1" applyAlignment="1">
      <alignment horizontal="center"/>
    </xf>
    <xf numFmtId="0" fontId="18" fillId="0" borderId="0" xfId="1" applyFont="1" applyAlignment="1" applyProtection="1">
      <alignment horizontal="center"/>
      <protection locked="0"/>
    </xf>
    <xf numFmtId="0" fontId="26" fillId="0" borderId="0" xfId="11" applyFont="1" applyAlignment="1">
      <alignment horizontal="left"/>
    </xf>
    <xf numFmtId="0" fontId="13" fillId="28" borderId="0" xfId="1" applyFont="1" applyFill="1" applyAlignment="1">
      <alignment horizontal="left"/>
    </xf>
    <xf numFmtId="37" fontId="0" fillId="28" borderId="0" xfId="0" applyFill="1"/>
    <xf numFmtId="37" fontId="82" fillId="0" borderId="0" xfId="0" applyFont="1" applyAlignment="1">
      <alignment horizontal="center"/>
    </xf>
    <xf numFmtId="37" fontId="78" fillId="0" borderId="0" xfId="0" applyFont="1" applyProtection="1">
      <protection locked="0"/>
    </xf>
    <xf numFmtId="38" fontId="78" fillId="0" borderId="0" xfId="0" applyNumberFormat="1" applyFont="1" applyAlignment="1">
      <alignment horizontal="center"/>
    </xf>
    <xf numFmtId="10" fontId="78" fillId="0" borderId="0" xfId="0" applyNumberFormat="1" applyFont="1" applyAlignment="1">
      <alignment horizontal="center"/>
    </xf>
    <xf numFmtId="5" fontId="78" fillId="0" borderId="0" xfId="0" applyNumberFormat="1" applyFont="1" applyAlignment="1">
      <alignment horizontal="right"/>
    </xf>
    <xf numFmtId="5" fontId="78" fillId="0" borderId="0" xfId="0" applyNumberFormat="1" applyFont="1" applyAlignment="1">
      <alignment horizontal="left"/>
    </xf>
    <xf numFmtId="37" fontId="78" fillId="0" borderId="0" xfId="0" applyFont="1"/>
    <xf numFmtId="37" fontId="78" fillId="0" borderId="0" xfId="0" applyFont="1" applyAlignment="1">
      <alignment horizontal="right" wrapText="1"/>
    </xf>
    <xf numFmtId="37" fontId="5" fillId="0" borderId="0" xfId="0" applyFont="1" applyAlignment="1">
      <alignment horizontal="right" wrapText="1"/>
    </xf>
    <xf numFmtId="0" fontId="5" fillId="0" borderId="0" xfId="1" applyFont="1" applyAlignment="1">
      <alignment horizontal="left" wrapText="1"/>
    </xf>
    <xf numFmtId="0" fontId="5" fillId="0" borderId="0" xfId="1" applyFont="1" applyAlignment="1">
      <alignment vertical="center" wrapText="1"/>
    </xf>
    <xf numFmtId="0" fontId="5" fillId="0" borderId="0" xfId="1" applyFont="1"/>
    <xf numFmtId="0" fontId="62" fillId="0" borderId="0" xfId="7" applyFont="1" applyProtection="1">
      <protection locked="0"/>
    </xf>
    <xf numFmtId="0" fontId="63" fillId="0" borderId="0" xfId="7" applyFont="1" applyProtection="1">
      <protection locked="0"/>
    </xf>
    <xf numFmtId="0" fontId="61" fillId="0" borderId="0" xfId="7" applyFont="1" applyProtection="1">
      <protection locked="0"/>
    </xf>
    <xf numFmtId="0" fontId="63" fillId="0" borderId="0" xfId="7" applyFont="1"/>
    <xf numFmtId="0" fontId="62" fillId="0" borderId="0" xfId="7" applyFont="1"/>
    <xf numFmtId="37" fontId="8" fillId="0" borderId="0" xfId="0" applyFont="1" applyAlignment="1">
      <alignment horizontal="left" wrapText="1"/>
    </xf>
    <xf numFmtId="43" fontId="26" fillId="0" borderId="0" xfId="14" applyFont="1"/>
    <xf numFmtId="43" fontId="24" fillId="0" borderId="0" xfId="14" applyFont="1" applyAlignment="1">
      <alignment wrapText="1"/>
    </xf>
    <xf numFmtId="43" fontId="25" fillId="0" borderId="0" xfId="14" applyFont="1" applyAlignment="1">
      <alignment horizontal="center"/>
    </xf>
    <xf numFmtId="43" fontId="26" fillId="0" borderId="0" xfId="14" applyFont="1" applyAlignment="1">
      <alignment horizontal="center"/>
    </xf>
    <xf numFmtId="172" fontId="26" fillId="12" borderId="0" xfId="0" applyNumberFormat="1" applyFont="1" applyFill="1" applyAlignment="1">
      <alignment horizontal="center"/>
    </xf>
    <xf numFmtId="43" fontId="24" fillId="6" borderId="0" xfId="14" applyFont="1" applyFill="1" applyAlignment="1">
      <alignment wrapText="1"/>
    </xf>
    <xf numFmtId="166" fontId="25" fillId="0" borderId="0" xfId="14" applyNumberFormat="1" applyFont="1"/>
    <xf numFmtId="166" fontId="25" fillId="12" borderId="0" xfId="14" applyNumberFormat="1" applyFont="1" applyFill="1"/>
    <xf numFmtId="43" fontId="24" fillId="0" borderId="0" xfId="14" applyFont="1" applyAlignment="1">
      <alignment horizontal="center" wrapText="1"/>
    </xf>
    <xf numFmtId="43" fontId="26" fillId="5" borderId="0" xfId="14" applyFont="1" applyFill="1" applyAlignment="1">
      <alignment horizontal="center"/>
    </xf>
    <xf numFmtId="0" fontId="26" fillId="0" borderId="0" xfId="11" applyFont="1" applyAlignment="1">
      <alignment horizontal="right"/>
    </xf>
    <xf numFmtId="174" fontId="24" fillId="6" borderId="0" xfId="11" applyNumberFormat="1" applyFont="1" applyFill="1" applyAlignment="1">
      <alignment horizontal="right" wrapText="1"/>
    </xf>
    <xf numFmtId="174" fontId="26" fillId="0" borderId="0" xfId="11" applyNumberFormat="1" applyFont="1" applyAlignment="1">
      <alignment horizontal="right"/>
    </xf>
    <xf numFmtId="166" fontId="26" fillId="0" borderId="0" xfId="11" applyNumberFormat="1" applyFont="1" applyAlignment="1">
      <alignment horizontal="right"/>
    </xf>
    <xf numFmtId="172" fontId="25" fillId="0" borderId="0" xfId="0" applyNumberFormat="1" applyFont="1" applyAlignment="1">
      <alignment horizontal="right"/>
    </xf>
    <xf numFmtId="166" fontId="26" fillId="0" borderId="0" xfId="0" applyNumberFormat="1" applyFont="1" applyAlignment="1">
      <alignment horizontal="right"/>
    </xf>
    <xf numFmtId="172" fontId="26" fillId="0" borderId="0" xfId="11" applyNumberFormat="1" applyFont="1" applyAlignment="1">
      <alignment horizontal="right"/>
    </xf>
    <xf numFmtId="176" fontId="26" fillId="0" borderId="0" xfId="11" applyNumberFormat="1" applyFont="1" applyAlignment="1">
      <alignment horizontal="right"/>
    </xf>
    <xf numFmtId="174" fontId="24" fillId="4" borderId="0" xfId="11" applyNumberFormat="1" applyFont="1" applyFill="1" applyAlignment="1">
      <alignment horizontal="right" wrapText="1"/>
    </xf>
    <xf numFmtId="174" fontId="27" fillId="0" borderId="0" xfId="11" applyNumberFormat="1" applyFont="1" applyAlignment="1">
      <alignment horizontal="right"/>
    </xf>
    <xf numFmtId="172" fontId="25" fillId="31" borderId="0" xfId="0" applyNumberFormat="1" applyFont="1" applyFill="1" applyAlignment="1">
      <alignment horizontal="right"/>
    </xf>
    <xf numFmtId="172" fontId="26" fillId="31" borderId="0" xfId="11" applyNumberFormat="1" applyFont="1" applyFill="1" applyAlignment="1">
      <alignment horizontal="center"/>
    </xf>
    <xf numFmtId="174" fontId="25" fillId="31" borderId="0" xfId="11" applyNumberFormat="1" applyFont="1" applyFill="1" applyAlignment="1">
      <alignment horizontal="center"/>
    </xf>
    <xf numFmtId="174" fontId="26" fillId="12" borderId="0" xfId="11" applyNumberFormat="1" applyFont="1" applyFill="1" applyAlignment="1">
      <alignment horizontal="right"/>
    </xf>
    <xf numFmtId="172" fontId="26" fillId="12" borderId="0" xfId="11" applyNumberFormat="1" applyFont="1" applyFill="1" applyAlignment="1">
      <alignment horizontal="center"/>
    </xf>
    <xf numFmtId="174" fontId="25" fillId="12" borderId="0" xfId="11" applyNumberFormat="1" applyFont="1" applyFill="1" applyAlignment="1">
      <alignment horizontal="center"/>
    </xf>
    <xf numFmtId="172" fontId="26" fillId="31" borderId="0" xfId="11" applyNumberFormat="1" applyFont="1" applyFill="1" applyAlignment="1">
      <alignment horizontal="right"/>
    </xf>
    <xf numFmtId="43" fontId="26" fillId="0" borderId="0" xfId="14" applyFont="1" applyAlignment="1"/>
    <xf numFmtId="172" fontId="26" fillId="31" borderId="0" xfId="11" applyNumberFormat="1" applyFont="1" applyFill="1" applyAlignment="1">
      <alignment horizontal="left"/>
    </xf>
    <xf numFmtId="37" fontId="26" fillId="0" borderId="0" xfId="0" applyFont="1" applyAlignment="1">
      <alignment horizontal="right"/>
    </xf>
    <xf numFmtId="37" fontId="24" fillId="6" borderId="0" xfId="0" applyFont="1" applyFill="1" applyAlignment="1">
      <alignment horizontal="right" wrapText="1"/>
    </xf>
    <xf numFmtId="43" fontId="24" fillId="6" borderId="0" xfId="14" applyFont="1" applyFill="1" applyAlignment="1">
      <alignment horizontal="center" wrapText="1"/>
    </xf>
    <xf numFmtId="184" fontId="26" fillId="0" borderId="0" xfId="14" applyNumberFormat="1" applyFont="1"/>
    <xf numFmtId="174" fontId="25" fillId="12" borderId="0" xfId="0" applyNumberFormat="1" applyFont="1" applyFill="1" applyAlignment="1">
      <alignment horizontal="center"/>
    </xf>
    <xf numFmtId="0" fontId="26" fillId="31" borderId="0" xfId="11" applyFont="1" applyFill="1" applyAlignment="1">
      <alignment horizontal="center"/>
    </xf>
    <xf numFmtId="0" fontId="26" fillId="10" borderId="0" xfId="11" applyFont="1" applyFill="1" applyAlignment="1">
      <alignment horizontal="center"/>
    </xf>
    <xf numFmtId="43" fontId="85" fillId="0" borderId="0" xfId="14" applyFont="1" applyFill="1" applyBorder="1"/>
    <xf numFmtId="43" fontId="86" fillId="0" borderId="0" xfId="14" applyFont="1" applyAlignment="1">
      <alignment horizontal="center"/>
    </xf>
    <xf numFmtId="43" fontId="24" fillId="0" borderId="0" xfId="14" applyFont="1" applyAlignment="1">
      <alignment horizontal="center"/>
    </xf>
    <xf numFmtId="186" fontId="86" fillId="0" borderId="0" xfId="0" applyNumberFormat="1" applyFont="1" applyAlignment="1">
      <alignment vertical="top"/>
    </xf>
    <xf numFmtId="37" fontId="86" fillId="0" borderId="0" xfId="0" applyFont="1" applyAlignment="1">
      <alignment vertical="top"/>
    </xf>
    <xf numFmtId="187" fontId="86" fillId="0" borderId="0" xfId="0" applyNumberFormat="1" applyFont="1" applyAlignment="1">
      <alignment vertical="top"/>
    </xf>
    <xf numFmtId="43" fontId="86" fillId="0" borderId="0" xfId="0" applyNumberFormat="1" applyFont="1" applyAlignment="1">
      <alignment vertical="top"/>
    </xf>
    <xf numFmtId="185" fontId="86" fillId="0" borderId="0" xfId="0" applyNumberFormat="1" applyFont="1" applyAlignment="1">
      <alignment vertical="top"/>
    </xf>
    <xf numFmtId="0" fontId="44" fillId="32" borderId="0" xfId="6" applyFont="1" applyFill="1"/>
    <xf numFmtId="37" fontId="19" fillId="32" borderId="21" xfId="1" quotePrefix="1" applyNumberFormat="1" applyFont="1" applyFill="1" applyBorder="1" applyAlignment="1">
      <alignment horizontal="center"/>
    </xf>
    <xf numFmtId="0" fontId="34" fillId="32" borderId="0" xfId="1" applyFont="1" applyFill="1" applyAlignment="1">
      <alignment horizontal="center" wrapText="1"/>
    </xf>
    <xf numFmtId="0" fontId="35" fillId="0" borderId="0" xfId="1" applyFont="1"/>
    <xf numFmtId="0" fontId="90" fillId="0" borderId="0" xfId="1" applyFont="1"/>
    <xf numFmtId="6" fontId="91" fillId="32" borderId="0" xfId="1" applyNumberFormat="1" applyFont="1" applyFill="1" applyAlignment="1">
      <alignment horizontal="center"/>
    </xf>
    <xf numFmtId="0" fontId="35" fillId="0" borderId="0" xfId="1" applyFont="1" applyAlignment="1">
      <alignment horizontal="center"/>
    </xf>
    <xf numFmtId="0" fontId="92" fillId="0" borderId="0" xfId="1" applyFont="1" applyAlignment="1">
      <alignment horizontal="center"/>
    </xf>
    <xf numFmtId="0" fontId="93" fillId="33" borderId="0" xfId="1" applyFont="1" applyFill="1" applyAlignment="1">
      <alignment horizontal="center" wrapText="1"/>
    </xf>
    <xf numFmtId="0" fontId="34" fillId="33" borderId="0" xfId="1" applyFont="1" applyFill="1" applyAlignment="1">
      <alignment horizontal="center" wrapText="1"/>
    </xf>
    <xf numFmtId="180" fontId="93" fillId="31" borderId="0" xfId="1" quotePrefix="1" applyNumberFormat="1" applyFont="1" applyFill="1" applyAlignment="1">
      <alignment horizontal="center"/>
    </xf>
    <xf numFmtId="0" fontId="35" fillId="31" borderId="0" xfId="1" quotePrefix="1" applyFont="1" applyFill="1" applyAlignment="1">
      <alignment horizontal="center"/>
    </xf>
    <xf numFmtId="0" fontId="38" fillId="32" borderId="0" xfId="1" quotePrefix="1" applyFont="1" applyFill="1" applyAlignment="1">
      <alignment horizontal="center" vertical="center"/>
    </xf>
    <xf numFmtId="0" fontId="35" fillId="32" borderId="0" xfId="1" quotePrefix="1" applyFont="1" applyFill="1" applyAlignment="1">
      <alignment horizontal="center" vertical="center"/>
    </xf>
    <xf numFmtId="5" fontId="35" fillId="32" borderId="0" xfId="1" quotePrefix="1" applyNumberFormat="1" applyFont="1" applyFill="1" applyAlignment="1">
      <alignment horizontal="center" vertical="center"/>
    </xf>
    <xf numFmtId="0" fontId="34" fillId="0" borderId="0" xfId="1" applyFont="1"/>
    <xf numFmtId="0" fontId="34" fillId="0" borderId="0" xfId="1" applyFont="1" applyAlignment="1">
      <alignment horizontal="center"/>
    </xf>
    <xf numFmtId="0" fontId="38" fillId="32" borderId="0" xfId="1" applyFont="1" applyFill="1" applyAlignment="1">
      <alignment horizontal="center" vertical="center"/>
    </xf>
    <xf numFmtId="0" fontId="35" fillId="32" borderId="0" xfId="1" applyFont="1" applyFill="1" applyAlignment="1">
      <alignment horizontal="center" vertical="center"/>
    </xf>
    <xf numFmtId="5" fontId="35" fillId="32" borderId="0" xfId="1" applyNumberFormat="1" applyFont="1" applyFill="1" applyAlignment="1">
      <alignment horizontal="center" vertical="center"/>
    </xf>
    <xf numFmtId="0" fontId="35" fillId="0" borderId="0" xfId="1" applyFont="1" applyAlignment="1">
      <alignment vertical="center"/>
    </xf>
    <xf numFmtId="0" fontId="35" fillId="0" borderId="0" xfId="1" applyFont="1" applyAlignment="1">
      <alignment horizontal="right"/>
    </xf>
    <xf numFmtId="6" fontId="91" fillId="32" borderId="0" xfId="1" applyNumberFormat="1" applyFont="1" applyFill="1" applyAlignment="1">
      <alignment horizontal="center" vertical="center"/>
    </xf>
    <xf numFmtId="6" fontId="35" fillId="32" borderId="0" xfId="1" applyNumberFormat="1" applyFont="1" applyFill="1" applyAlignment="1">
      <alignment horizontal="center" vertical="center"/>
    </xf>
    <xf numFmtId="6" fontId="38" fillId="32" borderId="0" xfId="1" applyNumberFormat="1" applyFont="1" applyFill="1" applyAlignment="1">
      <alignment horizontal="center" vertical="center"/>
    </xf>
    <xf numFmtId="0" fontId="35" fillId="0" borderId="0" xfId="1" applyFont="1" applyAlignment="1">
      <alignment horizontal="right" wrapText="1"/>
    </xf>
    <xf numFmtId="42" fontId="91" fillId="32" borderId="0" xfId="1" applyNumberFormat="1" applyFont="1" applyFill="1" applyAlignment="1">
      <alignment horizontal="center" vertical="center"/>
    </xf>
    <xf numFmtId="42" fontId="38" fillId="32" borderId="0" xfId="1" applyNumberFormat="1" applyFont="1" applyFill="1" applyAlignment="1">
      <alignment horizontal="center" vertical="center"/>
    </xf>
    <xf numFmtId="42" fontId="35" fillId="32" borderId="0" xfId="1" applyNumberFormat="1" applyFont="1" applyFill="1" applyAlignment="1">
      <alignment horizontal="center" vertical="center"/>
    </xf>
    <xf numFmtId="0" fontId="91" fillId="32" borderId="0" xfId="1" applyFont="1" applyFill="1" applyAlignment="1">
      <alignment horizontal="center" vertical="center"/>
    </xf>
    <xf numFmtId="172" fontId="91" fillId="32" borderId="0" xfId="1" applyNumberFormat="1" applyFont="1" applyFill="1" applyAlignment="1">
      <alignment horizontal="center" vertical="center"/>
    </xf>
    <xf numFmtId="0" fontId="91" fillId="0" borderId="0" xfId="1" applyFont="1" applyAlignment="1">
      <alignment horizontal="right"/>
    </xf>
    <xf numFmtId="0" fontId="91" fillId="0" borderId="0" xfId="1" applyFont="1"/>
    <xf numFmtId="174" fontId="91" fillId="32" borderId="0" xfId="1" applyNumberFormat="1" applyFont="1" applyFill="1" applyAlignment="1">
      <alignment horizontal="center" vertical="center"/>
    </xf>
    <xf numFmtId="0" fontId="35" fillId="0" borderId="0" xfId="1" applyFont="1" applyAlignment="1">
      <alignment horizontal="center" vertical="center"/>
    </xf>
    <xf numFmtId="0" fontId="91" fillId="0" borderId="0" xfId="1" applyFont="1" applyAlignment="1">
      <alignment horizontal="right" wrapText="1"/>
    </xf>
    <xf numFmtId="0" fontId="94" fillId="0" borderId="0" xfId="1" applyFont="1"/>
    <xf numFmtId="0" fontId="34" fillId="0" borderId="0" xfId="1" applyFont="1" applyAlignment="1">
      <alignment vertical="center"/>
    </xf>
    <xf numFmtId="174" fontId="93" fillId="32" borderId="24" xfId="1" applyNumberFormat="1" applyFont="1" applyFill="1" applyBorder="1" applyAlignment="1">
      <alignment horizontal="center" vertical="center"/>
    </xf>
    <xf numFmtId="174" fontId="35" fillId="32" borderId="0" xfId="1" applyNumberFormat="1" applyFont="1" applyFill="1" applyAlignment="1">
      <alignment horizontal="right" vertical="center"/>
    </xf>
    <xf numFmtId="0" fontId="94" fillId="0" borderId="0" xfId="1" applyFont="1" applyAlignment="1">
      <alignment horizontal="right"/>
    </xf>
    <xf numFmtId="181" fontId="35" fillId="32" borderId="0" xfId="1" applyNumberFormat="1" applyFont="1" applyFill="1" applyAlignment="1">
      <alignment horizontal="center" vertical="center"/>
    </xf>
    <xf numFmtId="181" fontId="35" fillId="32" borderId="0" xfId="1" applyNumberFormat="1" applyFont="1" applyFill="1" applyAlignment="1">
      <alignment horizontal="right" vertical="center"/>
    </xf>
    <xf numFmtId="0" fontId="34" fillId="0" borderId="0" xfId="1" applyFont="1" applyAlignment="1">
      <alignment horizontal="right" vertical="center"/>
    </xf>
    <xf numFmtId="174" fontId="93" fillId="32" borderId="0" xfId="1" applyNumberFormat="1" applyFont="1" applyFill="1" applyAlignment="1">
      <alignment horizontal="center" vertical="center"/>
    </xf>
    <xf numFmtId="181" fontId="34" fillId="32" borderId="0" xfId="1" applyNumberFormat="1" applyFont="1" applyFill="1" applyAlignment="1">
      <alignment horizontal="center" vertical="center"/>
    </xf>
    <xf numFmtId="8" fontId="35" fillId="0" borderId="0" xfId="1" applyNumberFormat="1" applyFont="1" applyAlignment="1">
      <alignment vertical="center"/>
    </xf>
    <xf numFmtId="181" fontId="34" fillId="32" borderId="24" xfId="1" applyNumberFormat="1" applyFont="1" applyFill="1" applyBorder="1" applyAlignment="1">
      <alignment horizontal="center" vertical="center"/>
    </xf>
    <xf numFmtId="0" fontId="95" fillId="0" borderId="30" xfId="1" applyFont="1" applyBorder="1" applyAlignment="1">
      <alignment horizontal="right"/>
    </xf>
    <xf numFmtId="174" fontId="95" fillId="32" borderId="31" xfId="1" applyNumberFormat="1" applyFont="1" applyFill="1" applyBorder="1" applyAlignment="1">
      <alignment horizontal="center" vertical="center"/>
    </xf>
    <xf numFmtId="181" fontId="95" fillId="32" borderId="32" xfId="1" applyNumberFormat="1" applyFont="1" applyFill="1" applyBorder="1" applyAlignment="1">
      <alignment horizontal="center" vertical="center"/>
    </xf>
    <xf numFmtId="174" fontId="38" fillId="32" borderId="0" xfId="1" applyNumberFormat="1" applyFont="1" applyFill="1" applyAlignment="1">
      <alignment horizontal="center" vertical="center"/>
    </xf>
    <xf numFmtId="174" fontId="35" fillId="32" borderId="0" xfId="1" applyNumberFormat="1" applyFont="1" applyFill="1" applyAlignment="1">
      <alignment horizontal="center" vertical="center"/>
    </xf>
    <xf numFmtId="0" fontId="35" fillId="0" borderId="0" xfId="1" applyFont="1" applyAlignment="1">
      <alignment vertical="center" wrapText="1"/>
    </xf>
    <xf numFmtId="0" fontId="35" fillId="0" borderId="30" xfId="1" applyFont="1" applyBorder="1" applyAlignment="1">
      <alignment horizontal="right"/>
    </xf>
    <xf numFmtId="0" fontId="35" fillId="0" borderId="32" xfId="1" applyFont="1" applyBorder="1"/>
    <xf numFmtId="174" fontId="91" fillId="32" borderId="0" xfId="1" applyNumberFormat="1" applyFont="1" applyFill="1" applyAlignment="1">
      <alignment horizontal="center"/>
    </xf>
    <xf numFmtId="174" fontId="38" fillId="32" borderId="0" xfId="1" applyNumberFormat="1" applyFont="1" applyFill="1" applyAlignment="1">
      <alignment horizontal="center"/>
    </xf>
    <xf numFmtId="174" fontId="35" fillId="32" borderId="0" xfId="1" applyNumberFormat="1" applyFont="1" applyFill="1" applyAlignment="1">
      <alignment horizontal="center"/>
    </xf>
    <xf numFmtId="181" fontId="35" fillId="32" borderId="0" xfId="1" applyNumberFormat="1" applyFont="1" applyFill="1" applyAlignment="1">
      <alignment horizontal="center"/>
    </xf>
    <xf numFmtId="174" fontId="93" fillId="32" borderId="24" xfId="1" applyNumberFormat="1" applyFont="1" applyFill="1" applyBorder="1" applyAlignment="1">
      <alignment horizontal="center"/>
    </xf>
    <xf numFmtId="173" fontId="34" fillId="32" borderId="24" xfId="1" applyNumberFormat="1" applyFont="1" applyFill="1" applyBorder="1" applyAlignment="1">
      <alignment horizontal="center"/>
    </xf>
    <xf numFmtId="181" fontId="34" fillId="32" borderId="24" xfId="1" applyNumberFormat="1" applyFont="1" applyFill="1" applyBorder="1" applyAlignment="1">
      <alignment horizontal="center"/>
    </xf>
    <xf numFmtId="0" fontId="95" fillId="32" borderId="0" xfId="1" applyFont="1" applyFill="1" applyAlignment="1">
      <alignment horizontal="right"/>
    </xf>
    <xf numFmtId="0" fontId="95" fillId="32" borderId="0" xfId="1" applyFont="1" applyFill="1" applyAlignment="1">
      <alignment horizontal="center"/>
    </xf>
    <xf numFmtId="173" fontId="95" fillId="32" borderId="0" xfId="1" applyNumberFormat="1" applyFont="1" applyFill="1" applyAlignment="1">
      <alignment horizontal="center"/>
    </xf>
    <xf numFmtId="181" fontId="95" fillId="32" borderId="0" xfId="1" applyNumberFormat="1" applyFont="1" applyFill="1" applyAlignment="1">
      <alignment horizontal="center"/>
    </xf>
    <xf numFmtId="0" fontId="91" fillId="0" borderId="0" xfId="1" applyFont="1" applyAlignment="1">
      <alignment horizontal="right" vertical="center" wrapText="1"/>
    </xf>
    <xf numFmtId="174" fontId="91" fillId="32" borderId="23" xfId="1" applyNumberFormat="1" applyFont="1" applyFill="1" applyBorder="1" applyAlignment="1">
      <alignment horizontal="center"/>
    </xf>
    <xf numFmtId="174" fontId="35" fillId="0" borderId="0" xfId="1" applyNumberFormat="1" applyFont="1" applyAlignment="1">
      <alignment horizontal="right"/>
    </xf>
    <xf numFmtId="0" fontId="35" fillId="0" borderId="0" xfId="1" applyFont="1" applyAlignment="1">
      <alignment horizontal="right" vertical="center"/>
    </xf>
    <xf numFmtId="174" fontId="35" fillId="32" borderId="22" xfId="1" applyNumberFormat="1" applyFont="1" applyFill="1" applyBorder="1" applyAlignment="1">
      <alignment horizontal="center"/>
    </xf>
    <xf numFmtId="174" fontId="35" fillId="32" borderId="23" xfId="1" applyNumberFormat="1" applyFont="1" applyFill="1" applyBorder="1" applyAlignment="1">
      <alignment horizontal="center"/>
    </xf>
    <xf numFmtId="181" fontId="35" fillId="32" borderId="22" xfId="1" applyNumberFormat="1" applyFont="1" applyFill="1" applyBorder="1" applyAlignment="1">
      <alignment horizontal="center"/>
    </xf>
    <xf numFmtId="181" fontId="35" fillId="32" borderId="23" xfId="1" applyNumberFormat="1" applyFont="1" applyFill="1" applyBorder="1" applyAlignment="1">
      <alignment horizontal="center"/>
    </xf>
    <xf numFmtId="3" fontId="35" fillId="0" borderId="0" xfId="1" applyNumberFormat="1" applyFont="1" applyAlignment="1">
      <alignment horizontal="right"/>
    </xf>
    <xf numFmtId="0" fontId="35" fillId="32" borderId="18" xfId="1" applyFont="1" applyFill="1" applyBorder="1" applyAlignment="1">
      <alignment horizontal="center"/>
    </xf>
    <xf numFmtId="0" fontId="35" fillId="32" borderId="19" xfId="1" applyFont="1" applyFill="1" applyBorder="1" applyAlignment="1">
      <alignment horizontal="center"/>
    </xf>
    <xf numFmtId="0" fontId="35" fillId="32" borderId="20" xfId="1" applyFont="1" applyFill="1" applyBorder="1" applyAlignment="1">
      <alignment horizontal="center"/>
    </xf>
    <xf numFmtId="8" fontId="35" fillId="0" borderId="0" xfId="1" applyNumberFormat="1" applyFont="1" applyAlignment="1">
      <alignment horizontal="center"/>
    </xf>
    <xf numFmtId="181" fontId="35" fillId="0" borderId="0" xfId="1" applyNumberFormat="1" applyFont="1"/>
    <xf numFmtId="37" fontId="5" fillId="0" borderId="0" xfId="0" applyFont="1" applyAlignment="1" applyProtection="1">
      <alignment horizontal="right" vertical="center" wrapText="1"/>
      <protection locked="0"/>
    </xf>
    <xf numFmtId="37" fontId="99" fillId="0" borderId="23" xfId="0" applyFont="1" applyBorder="1"/>
    <xf numFmtId="37" fontId="96" fillId="0" borderId="0" xfId="0" applyFont="1"/>
    <xf numFmtId="37" fontId="100" fillId="0" borderId="0" xfId="0" applyFont="1"/>
    <xf numFmtId="0" fontId="98" fillId="0" borderId="20" xfId="6" applyFont="1" applyBorder="1" applyAlignment="1">
      <alignment vertical="center"/>
    </xf>
    <xf numFmtId="37" fontId="9" fillId="0" borderId="0" xfId="0" applyFont="1" applyAlignment="1">
      <alignment horizontal="right" vertical="center"/>
    </xf>
    <xf numFmtId="37" fontId="11" fillId="33" borderId="0" xfId="0" applyFont="1" applyFill="1" applyAlignment="1">
      <alignment horizontal="center"/>
    </xf>
    <xf numFmtId="37" fontId="53" fillId="33" borderId="0" xfId="0" applyFont="1" applyFill="1" applyAlignment="1">
      <alignment horizontal="center"/>
    </xf>
    <xf numFmtId="37" fontId="12" fillId="33" borderId="0" xfId="0" applyFont="1" applyFill="1" applyAlignment="1">
      <alignment horizontal="center"/>
    </xf>
    <xf numFmtId="37" fontId="7" fillId="33" borderId="0" xfId="0" applyFont="1" applyFill="1" applyAlignment="1">
      <alignment horizontal="center"/>
    </xf>
    <xf numFmtId="37" fontId="5" fillId="34" borderId="0" xfId="0" applyFont="1" applyFill="1" applyAlignment="1">
      <alignment horizontal="center" wrapText="1"/>
    </xf>
    <xf numFmtId="166" fontId="13" fillId="33" borderId="0" xfId="0" applyNumberFormat="1" applyFont="1" applyFill="1" applyAlignment="1">
      <alignment horizontal="center" vertical="center" wrapText="1"/>
    </xf>
    <xf numFmtId="37" fontId="13" fillId="33" borderId="0" xfId="0" applyFont="1" applyFill="1" applyAlignment="1">
      <alignment horizontal="center" vertical="center" wrapText="1"/>
    </xf>
    <xf numFmtId="37" fontId="13" fillId="33" borderId="0" xfId="0" applyFont="1" applyFill="1" applyAlignment="1">
      <alignment horizontal="center" vertical="center"/>
    </xf>
    <xf numFmtId="37" fontId="11" fillId="34" borderId="0" xfId="0" applyFont="1" applyFill="1" applyAlignment="1">
      <alignment horizontal="center" wrapText="1"/>
    </xf>
    <xf numFmtId="37" fontId="11" fillId="35" borderId="0" xfId="0" applyFont="1" applyFill="1" applyAlignment="1" applyProtection="1">
      <alignment horizontal="center" wrapText="1"/>
      <protection locked="0"/>
    </xf>
    <xf numFmtId="166" fontId="13" fillId="33" borderId="0" xfId="0" applyNumberFormat="1" applyFont="1" applyFill="1" applyAlignment="1" applyProtection="1">
      <alignment horizontal="center" vertical="center" wrapText="1"/>
      <protection locked="0"/>
    </xf>
    <xf numFmtId="37" fontId="5" fillId="33" borderId="0" xfId="0" applyFont="1" applyFill="1"/>
    <xf numFmtId="37" fontId="15" fillId="33" borderId="0" xfId="0" applyFont="1" applyFill="1" applyAlignment="1">
      <alignment horizontal="right"/>
    </xf>
    <xf numFmtId="6" fontId="8" fillId="33" borderId="0" xfId="0" applyNumberFormat="1" applyFont="1" applyFill="1" applyAlignment="1">
      <alignment horizontal="center"/>
    </xf>
    <xf numFmtId="169" fontId="8" fillId="33" borderId="0" xfId="0" applyNumberFormat="1" applyFont="1" applyFill="1" applyAlignment="1">
      <alignment horizontal="center"/>
    </xf>
    <xf numFmtId="0" fontId="87" fillId="0" borderId="0" xfId="1" applyFont="1" applyAlignment="1">
      <alignment horizontal="right"/>
    </xf>
    <xf numFmtId="0" fontId="101" fillId="0" borderId="0" xfId="1" applyFont="1" applyAlignment="1">
      <alignment horizontal="center"/>
    </xf>
    <xf numFmtId="0" fontId="101" fillId="0" borderId="0" xfId="1" applyFont="1"/>
    <xf numFmtId="0" fontId="44" fillId="32" borderId="23" xfId="6" applyFont="1" applyFill="1" applyBorder="1"/>
    <xf numFmtId="3" fontId="78" fillId="32" borderId="0" xfId="0" applyNumberFormat="1" applyFont="1" applyFill="1" applyAlignment="1">
      <alignment horizontal="center"/>
    </xf>
    <xf numFmtId="3" fontId="78" fillId="32" borderId="24" xfId="0" applyNumberFormat="1" applyFont="1" applyFill="1" applyBorder="1" applyAlignment="1">
      <alignment horizontal="center"/>
    </xf>
    <xf numFmtId="3" fontId="78" fillId="32" borderId="6" xfId="0" applyNumberFormat="1" applyFont="1" applyFill="1" applyBorder="1" applyAlignment="1">
      <alignment horizontal="center"/>
    </xf>
    <xf numFmtId="10" fontId="78" fillId="32" borderId="0" xfId="0" applyNumberFormat="1" applyFont="1" applyFill="1" applyAlignment="1">
      <alignment horizontal="center"/>
    </xf>
    <xf numFmtId="181" fontId="78" fillId="32" borderId="0" xfId="0" applyNumberFormat="1" applyFont="1" applyFill="1" applyAlignment="1">
      <alignment horizontal="center"/>
    </xf>
    <xf numFmtId="183" fontId="44" fillId="32" borderId="0" xfId="0" applyNumberFormat="1" applyFont="1" applyFill="1" applyAlignment="1">
      <alignment horizontal="center" vertical="center"/>
    </xf>
    <xf numFmtId="174" fontId="44" fillId="32" borderId="0" xfId="0" applyNumberFormat="1" applyFont="1" applyFill="1" applyAlignment="1">
      <alignment horizontal="center" vertical="center"/>
    </xf>
    <xf numFmtId="176" fontId="44" fillId="32" borderId="0" xfId="0" applyNumberFormat="1" applyFont="1" applyFill="1" applyAlignment="1">
      <alignment horizontal="center" vertical="center"/>
    </xf>
    <xf numFmtId="181" fontId="40" fillId="32" borderId="0" xfId="0" applyNumberFormat="1" applyFont="1" applyFill="1" applyAlignment="1">
      <alignment horizontal="center"/>
    </xf>
    <xf numFmtId="189" fontId="8" fillId="32" borderId="0" xfId="0" applyNumberFormat="1" applyFont="1" applyFill="1" applyAlignment="1">
      <alignment horizontal="center"/>
    </xf>
    <xf numFmtId="183" fontId="5" fillId="32" borderId="0" xfId="0" applyNumberFormat="1" applyFont="1" applyFill="1" applyAlignment="1">
      <alignment horizontal="center" vertical="center"/>
    </xf>
    <xf numFmtId="181" fontId="8" fillId="32" borderId="0" xfId="0" applyNumberFormat="1" applyFont="1" applyFill="1" applyAlignment="1">
      <alignment horizontal="center"/>
    </xf>
    <xf numFmtId="183" fontId="15" fillId="32" borderId="24" xfId="0" applyNumberFormat="1" applyFont="1" applyFill="1" applyBorder="1" applyAlignment="1">
      <alignment horizontal="center" vertical="center"/>
    </xf>
    <xf numFmtId="174" fontId="15" fillId="32" borderId="24" xfId="0" applyNumberFormat="1" applyFont="1" applyFill="1" applyBorder="1" applyAlignment="1">
      <alignment horizontal="center" vertical="center"/>
    </xf>
    <xf numFmtId="176" fontId="15" fillId="32" borderId="24" xfId="0" applyNumberFormat="1" applyFont="1" applyFill="1" applyBorder="1" applyAlignment="1">
      <alignment horizontal="center" vertical="center"/>
    </xf>
    <xf numFmtId="181" fontId="40" fillId="32" borderId="24" xfId="0" applyNumberFormat="1" applyFont="1" applyFill="1" applyBorder="1" applyAlignment="1">
      <alignment horizontal="center" vertical="center"/>
    </xf>
    <xf numFmtId="183" fontId="50" fillId="32" borderId="24" xfId="0" applyNumberFormat="1" applyFont="1" applyFill="1" applyBorder="1" applyAlignment="1">
      <alignment horizontal="center" vertical="center"/>
    </xf>
    <xf numFmtId="174" fontId="50" fillId="32" borderId="24" xfId="0" applyNumberFormat="1" applyFont="1" applyFill="1" applyBorder="1" applyAlignment="1">
      <alignment horizontal="center" vertical="center"/>
    </xf>
    <xf numFmtId="176" fontId="50" fillId="32" borderId="24" xfId="0" applyNumberFormat="1" applyFont="1" applyFill="1" applyBorder="1" applyAlignment="1">
      <alignment horizontal="center" vertical="center"/>
    </xf>
    <xf numFmtId="181" fontId="50" fillId="32" borderId="24" xfId="0" applyNumberFormat="1" applyFont="1" applyFill="1" applyBorder="1" applyAlignment="1">
      <alignment horizontal="center" vertical="center"/>
    </xf>
    <xf numFmtId="181" fontId="5" fillId="32" borderId="0" xfId="0" applyNumberFormat="1" applyFont="1" applyFill="1" applyAlignment="1">
      <alignment horizontal="center" vertical="center"/>
    </xf>
    <xf numFmtId="6" fontId="5" fillId="32" borderId="0" xfId="0" applyNumberFormat="1" applyFont="1" applyFill="1" applyAlignment="1">
      <alignment horizontal="center" vertical="center"/>
    </xf>
    <xf numFmtId="181" fontId="0" fillId="32" borderId="0" xfId="0" applyNumberFormat="1" applyFill="1" applyAlignment="1">
      <alignment vertical="center"/>
    </xf>
    <xf numFmtId="176" fontId="0" fillId="32" borderId="0" xfId="0" applyNumberFormat="1" applyFill="1" applyAlignment="1">
      <alignment vertical="center"/>
    </xf>
    <xf numFmtId="6" fontId="50" fillId="32" borderId="24" xfId="0" applyNumberFormat="1" applyFont="1" applyFill="1" applyBorder="1" applyAlignment="1">
      <alignment horizontal="center" vertical="center"/>
    </xf>
    <xf numFmtId="181" fontId="5" fillId="32" borderId="24" xfId="0" applyNumberFormat="1" applyFont="1" applyFill="1" applyBorder="1" applyAlignment="1">
      <alignment horizontal="center" vertical="center"/>
    </xf>
    <xf numFmtId="176" fontId="44" fillId="32" borderId="24" xfId="0" applyNumberFormat="1" applyFont="1" applyFill="1" applyBorder="1" applyAlignment="1">
      <alignment horizontal="center" vertical="center"/>
    </xf>
    <xf numFmtId="176" fontId="5" fillId="32" borderId="0" xfId="0" applyNumberFormat="1" applyFont="1" applyFill="1" applyAlignment="1">
      <alignment horizontal="center" vertical="center"/>
    </xf>
    <xf numFmtId="172" fontId="44" fillId="32" borderId="0" xfId="0" applyNumberFormat="1" applyFont="1" applyFill="1" applyAlignment="1">
      <alignment horizontal="center" vertical="center"/>
    </xf>
    <xf numFmtId="189" fontId="44" fillId="32" borderId="0" xfId="0" applyNumberFormat="1" applyFont="1" applyFill="1" applyAlignment="1">
      <alignment horizontal="center" vertical="center"/>
    </xf>
    <xf numFmtId="181" fontId="50" fillId="32" borderId="25" xfId="0" applyNumberFormat="1" applyFont="1" applyFill="1" applyBorder="1" applyAlignment="1">
      <alignment horizontal="center" vertical="center"/>
    </xf>
    <xf numFmtId="176" fontId="50" fillId="32" borderId="25" xfId="0" applyNumberFormat="1" applyFont="1" applyFill="1" applyBorder="1" applyAlignment="1">
      <alignment horizontal="center" vertical="center"/>
    </xf>
    <xf numFmtId="6" fontId="50" fillId="32" borderId="25" xfId="0" applyNumberFormat="1" applyFont="1" applyFill="1" applyBorder="1" applyAlignment="1">
      <alignment horizontal="center" vertical="center"/>
    </xf>
    <xf numFmtId="172" fontId="50" fillId="32" borderId="25" xfId="0" applyNumberFormat="1" applyFont="1" applyFill="1" applyBorder="1" applyAlignment="1">
      <alignment horizontal="center" vertical="center"/>
    </xf>
    <xf numFmtId="181" fontId="13" fillId="32" borderId="0" xfId="0" applyNumberFormat="1" applyFont="1" applyFill="1" applyAlignment="1">
      <alignment horizontal="center" vertical="center" wrapText="1"/>
    </xf>
    <xf numFmtId="176" fontId="13" fillId="32" borderId="0" xfId="0" applyNumberFormat="1" applyFont="1" applyFill="1" applyAlignment="1">
      <alignment horizontal="center" vertical="center" wrapText="1"/>
    </xf>
    <xf numFmtId="181" fontId="13" fillId="32" borderId="0" xfId="0" applyNumberFormat="1" applyFont="1" applyFill="1" applyAlignment="1">
      <alignment horizontal="center" vertical="center"/>
    </xf>
    <xf numFmtId="169" fontId="13" fillId="32" borderId="0" xfId="0" applyNumberFormat="1" applyFont="1" applyFill="1" applyAlignment="1">
      <alignment horizontal="center" vertical="center"/>
    </xf>
    <xf numFmtId="189" fontId="5" fillId="32" borderId="0" xfId="0" applyNumberFormat="1" applyFont="1" applyFill="1" applyAlignment="1">
      <alignment horizontal="center" vertical="center"/>
    </xf>
    <xf numFmtId="176" fontId="5" fillId="32" borderId="0" xfId="0" applyNumberFormat="1" applyFont="1" applyFill="1" applyAlignment="1">
      <alignment horizontal="center"/>
    </xf>
    <xf numFmtId="176" fontId="6" fillId="32" borderId="10" xfId="0" applyNumberFormat="1" applyFont="1" applyFill="1" applyBorder="1" applyAlignment="1">
      <alignment horizontal="center"/>
    </xf>
    <xf numFmtId="181" fontId="6" fillId="32" borderId="0" xfId="0" applyNumberFormat="1" applyFont="1" applyFill="1" applyAlignment="1">
      <alignment horizontal="center"/>
    </xf>
    <xf numFmtId="3" fontId="84" fillId="32" borderId="0" xfId="0" applyNumberFormat="1" applyFont="1" applyFill="1" applyAlignment="1">
      <alignment horizontal="center"/>
    </xf>
    <xf numFmtId="10" fontId="6" fillId="32" borderId="0" xfId="5" applyNumberFormat="1" applyFont="1" applyFill="1" applyBorder="1" applyAlignment="1">
      <alignment horizontal="center"/>
    </xf>
    <xf numFmtId="3" fontId="6" fillId="32" borderId="0" xfId="5" applyNumberFormat="1" applyFont="1" applyFill="1" applyBorder="1" applyAlignment="1">
      <alignment horizontal="center"/>
    </xf>
    <xf numFmtId="181" fontId="5" fillId="32" borderId="0" xfId="0" applyNumberFormat="1" applyFont="1" applyFill="1" applyAlignment="1">
      <alignment horizontal="center"/>
    </xf>
    <xf numFmtId="3" fontId="5" fillId="32" borderId="0" xfId="0" applyNumberFormat="1" applyFont="1" applyFill="1" applyAlignment="1">
      <alignment horizontal="center"/>
    </xf>
    <xf numFmtId="10" fontId="5" fillId="32" borderId="0" xfId="0" applyNumberFormat="1" applyFont="1" applyFill="1" applyAlignment="1">
      <alignment horizontal="center"/>
    </xf>
    <xf numFmtId="165" fontId="78" fillId="32" borderId="0" xfId="0" applyNumberFormat="1" applyFont="1" applyFill="1" applyAlignment="1">
      <alignment horizontal="center"/>
    </xf>
    <xf numFmtId="176" fontId="11" fillId="32" borderId="0" xfId="0" applyNumberFormat="1" applyFont="1" applyFill="1" applyAlignment="1">
      <alignment horizontal="center"/>
    </xf>
    <xf numFmtId="183" fontId="8" fillId="32" borderId="0" xfId="0" applyNumberFormat="1" applyFont="1" applyFill="1" applyAlignment="1">
      <alignment horizontal="center"/>
    </xf>
    <xf numFmtId="165" fontId="11" fillId="32" borderId="23" xfId="0" applyNumberFormat="1" applyFont="1" applyFill="1" applyBorder="1" applyAlignment="1">
      <alignment horizontal="center"/>
    </xf>
    <xf numFmtId="165" fontId="8" fillId="32" borderId="23" xfId="0" applyNumberFormat="1" applyFont="1" applyFill="1" applyBorder="1" applyAlignment="1">
      <alignment horizontal="center"/>
    </xf>
    <xf numFmtId="9" fontId="5" fillId="32" borderId="0" xfId="0" applyNumberFormat="1" applyFont="1" applyFill="1" applyAlignment="1">
      <alignment horizontal="center"/>
    </xf>
    <xf numFmtId="165" fontId="5" fillId="32" borderId="23" xfId="0" applyNumberFormat="1" applyFont="1" applyFill="1" applyBorder="1" applyAlignment="1">
      <alignment horizontal="center"/>
    </xf>
    <xf numFmtId="176" fontId="6" fillId="32" borderId="0" xfId="0" applyNumberFormat="1" applyFont="1" applyFill="1" applyAlignment="1">
      <alignment horizontal="center"/>
    </xf>
    <xf numFmtId="181" fontId="6" fillId="32" borderId="8" xfId="0" applyNumberFormat="1" applyFont="1" applyFill="1" applyBorder="1" applyAlignment="1">
      <alignment horizontal="center"/>
    </xf>
    <xf numFmtId="3" fontId="13" fillId="32" borderId="0" xfId="0" applyNumberFormat="1" applyFont="1" applyFill="1" applyAlignment="1">
      <alignment horizontal="center"/>
    </xf>
    <xf numFmtId="3" fontId="5" fillId="32" borderId="24" xfId="0" applyNumberFormat="1" applyFont="1" applyFill="1" applyBorder="1" applyAlignment="1">
      <alignment horizontal="center"/>
    </xf>
    <xf numFmtId="4" fontId="5" fillId="32" borderId="0" xfId="0" applyNumberFormat="1" applyFont="1" applyFill="1" applyAlignment="1">
      <alignment horizontal="center"/>
    </xf>
    <xf numFmtId="4" fontId="13" fillId="32" borderId="24" xfId="0" applyNumberFormat="1" applyFont="1" applyFill="1" applyBorder="1" applyAlignment="1">
      <alignment horizontal="center"/>
    </xf>
    <xf numFmtId="4" fontId="13" fillId="32" borderId="24" xfId="0" applyNumberFormat="1" applyFont="1" applyFill="1" applyBorder="1" applyAlignment="1" applyProtection="1">
      <alignment horizontal="center"/>
      <protection locked="0"/>
    </xf>
    <xf numFmtId="189" fontId="5" fillId="36" borderId="0" xfId="0" applyNumberFormat="1" applyFont="1" applyFill="1" applyAlignment="1">
      <alignment horizontal="center" vertical="center"/>
    </xf>
    <xf numFmtId="189" fontId="5" fillId="36" borderId="33" xfId="0" applyNumberFormat="1" applyFont="1" applyFill="1" applyBorder="1" applyAlignment="1">
      <alignment horizontal="center" vertical="center"/>
    </xf>
    <xf numFmtId="189" fontId="5" fillId="36" borderId="36" xfId="0" applyNumberFormat="1" applyFont="1" applyFill="1" applyBorder="1" applyAlignment="1">
      <alignment horizontal="center"/>
    </xf>
    <xf numFmtId="181" fontId="78" fillId="37" borderId="0" xfId="0" applyNumberFormat="1" applyFont="1" applyFill="1" applyAlignment="1">
      <alignment horizontal="center" vertical="center"/>
    </xf>
    <xf numFmtId="181" fontId="5" fillId="37" borderId="36" xfId="0" applyNumberFormat="1" applyFont="1" applyFill="1" applyBorder="1" applyAlignment="1">
      <alignment horizontal="center"/>
    </xf>
    <xf numFmtId="176" fontId="5" fillId="37" borderId="36" xfId="0" applyNumberFormat="1" applyFont="1" applyFill="1" applyBorder="1" applyAlignment="1">
      <alignment horizontal="center"/>
    </xf>
    <xf numFmtId="181" fontId="5" fillId="36" borderId="36" xfId="0" applyNumberFormat="1" applyFont="1" applyFill="1" applyBorder="1" applyAlignment="1">
      <alignment horizontal="center"/>
    </xf>
    <xf numFmtId="181" fontId="5" fillId="36" borderId="0" xfId="0" applyNumberFormat="1" applyFont="1" applyFill="1" applyAlignment="1">
      <alignment horizontal="center" vertical="center"/>
    </xf>
    <xf numFmtId="181" fontId="5" fillId="36" borderId="33" xfId="0" applyNumberFormat="1" applyFont="1" applyFill="1" applyBorder="1" applyAlignment="1">
      <alignment horizontal="center" vertical="center"/>
    </xf>
    <xf numFmtId="189" fontId="5" fillId="37" borderId="33" xfId="0" applyNumberFormat="1" applyFont="1" applyFill="1" applyBorder="1" applyAlignment="1">
      <alignment horizontal="center"/>
    </xf>
    <xf numFmtId="3" fontId="5" fillId="36" borderId="33" xfId="0" applyNumberFormat="1" applyFont="1" applyFill="1" applyBorder="1" applyAlignment="1">
      <alignment horizontal="center"/>
    </xf>
    <xf numFmtId="37" fontId="67" fillId="0" borderId="0" xfId="0" applyFont="1" applyAlignment="1">
      <alignment vertical="center" wrapText="1"/>
    </xf>
    <xf numFmtId="181" fontId="91" fillId="32" borderId="0" xfId="1" applyNumberFormat="1" applyFont="1" applyFill="1" applyAlignment="1">
      <alignment horizontal="center" vertical="center"/>
    </xf>
    <xf numFmtId="176" fontId="91" fillId="32" borderId="0" xfId="1" applyNumberFormat="1" applyFont="1" applyFill="1" applyAlignment="1">
      <alignment horizontal="center" vertical="center"/>
    </xf>
    <xf numFmtId="176" fontId="95" fillId="32" borderId="31" xfId="1" applyNumberFormat="1" applyFont="1" applyFill="1" applyBorder="1" applyAlignment="1">
      <alignment horizontal="center" vertical="center"/>
    </xf>
    <xf numFmtId="176" fontId="95" fillId="32" borderId="0" xfId="1" applyNumberFormat="1" applyFont="1" applyFill="1" applyAlignment="1">
      <alignment horizontal="center"/>
    </xf>
    <xf numFmtId="176" fontId="91" fillId="32" borderId="22" xfId="1" applyNumberFormat="1" applyFont="1" applyFill="1" applyBorder="1" applyAlignment="1">
      <alignment horizontal="center"/>
    </xf>
    <xf numFmtId="174" fontId="91" fillId="38" borderId="0" xfId="1" applyNumberFormat="1" applyFont="1" applyFill="1" applyAlignment="1">
      <alignment horizontal="center" vertical="center"/>
    </xf>
    <xf numFmtId="176" fontId="91" fillId="28" borderId="0" xfId="1" applyNumberFormat="1" applyFont="1" applyFill="1" applyAlignment="1">
      <alignment horizontal="center" vertical="center"/>
    </xf>
    <xf numFmtId="174" fontId="91" fillId="28" borderId="0" xfId="1" applyNumberFormat="1" applyFont="1" applyFill="1" applyAlignment="1">
      <alignment horizontal="center" vertical="center"/>
    </xf>
    <xf numFmtId="181" fontId="35" fillId="28" borderId="0" xfId="1" applyNumberFormat="1" applyFont="1" applyFill="1" applyAlignment="1">
      <alignment horizontal="center" vertical="center"/>
    </xf>
    <xf numFmtId="5" fontId="35" fillId="28" borderId="0" xfId="1" applyNumberFormat="1" applyFont="1" applyFill="1" applyAlignment="1">
      <alignment horizontal="center" vertical="center"/>
    </xf>
    <xf numFmtId="37" fontId="46" fillId="32" borderId="0" xfId="0" applyFont="1" applyFill="1"/>
    <xf numFmtId="37" fontId="104" fillId="0" borderId="0" xfId="0" applyFont="1"/>
    <xf numFmtId="37" fontId="11" fillId="33" borderId="11" xfId="0" applyFont="1" applyFill="1" applyBorder="1" applyAlignment="1">
      <alignment horizontal="left"/>
    </xf>
    <xf numFmtId="37" fontId="11" fillId="33" borderId="0" xfId="0" applyFont="1" applyFill="1" applyAlignment="1">
      <alignment horizontal="right"/>
    </xf>
    <xf numFmtId="5" fontId="6" fillId="33" borderId="0" xfId="0" applyNumberFormat="1" applyFont="1" applyFill="1" applyAlignment="1">
      <alignment horizontal="center"/>
    </xf>
    <xf numFmtId="166" fontId="6" fillId="33" borderId="0" xfId="0" applyNumberFormat="1" applyFont="1" applyFill="1" applyAlignment="1">
      <alignment horizontal="center"/>
    </xf>
    <xf numFmtId="5" fontId="11" fillId="33" borderId="0" xfId="0" applyNumberFormat="1" applyFont="1" applyFill="1" applyAlignment="1">
      <alignment horizontal="right"/>
    </xf>
    <xf numFmtId="37" fontId="5" fillId="33" borderId="4" xfId="0" applyFont="1" applyFill="1" applyBorder="1"/>
    <xf numFmtId="37" fontId="6" fillId="33" borderId="22" xfId="0" applyFont="1" applyFill="1" applyBorder="1" applyAlignment="1">
      <alignment horizontal="center"/>
    </xf>
    <xf numFmtId="3" fontId="6" fillId="5" borderId="21" xfId="5" applyNumberFormat="1" applyFont="1" applyFill="1" applyBorder="1" applyAlignment="1" applyProtection="1">
      <alignment horizontal="center"/>
      <protection locked="0"/>
    </xf>
    <xf numFmtId="3" fontId="13" fillId="5" borderId="21" xfId="0" applyNumberFormat="1" applyFont="1" applyFill="1" applyBorder="1" applyAlignment="1" applyProtection="1">
      <alignment horizontal="center"/>
      <protection locked="0"/>
    </xf>
    <xf numFmtId="3" fontId="5" fillId="5" borderId="21" xfId="0" applyNumberFormat="1" applyFont="1" applyFill="1" applyBorder="1" applyAlignment="1" applyProtection="1">
      <alignment horizontal="center"/>
      <protection locked="0"/>
    </xf>
    <xf numFmtId="4" fontId="5" fillId="5" borderId="21" xfId="0" applyNumberFormat="1" applyFont="1" applyFill="1" applyBorder="1" applyAlignment="1" applyProtection="1">
      <alignment horizontal="center"/>
      <protection locked="0"/>
    </xf>
    <xf numFmtId="181" fontId="5" fillId="2" borderId="21" xfId="0" applyNumberFormat="1" applyFont="1" applyFill="1" applyBorder="1" applyAlignment="1" applyProtection="1">
      <alignment horizontal="center" vertical="center"/>
      <protection locked="0"/>
    </xf>
    <xf numFmtId="189" fontId="5" fillId="34" borderId="0" xfId="0" applyNumberFormat="1" applyFont="1" applyFill="1" applyAlignment="1">
      <alignment horizontal="center" vertical="center"/>
    </xf>
    <xf numFmtId="181" fontId="5" fillId="34" borderId="0" xfId="0" applyNumberFormat="1" applyFont="1" applyFill="1" applyAlignment="1">
      <alignment horizontal="center" vertical="center"/>
    </xf>
    <xf numFmtId="181" fontId="5" fillId="35" borderId="0" xfId="0" applyNumberFormat="1" applyFont="1" applyFill="1" applyAlignment="1" applyProtection="1">
      <alignment horizontal="center" vertical="center"/>
      <protection locked="0"/>
    </xf>
    <xf numFmtId="176" fontId="5" fillId="35" borderId="0" xfId="0" applyNumberFormat="1" applyFont="1" applyFill="1" applyAlignment="1" applyProtection="1">
      <alignment horizontal="center" vertical="center"/>
      <protection locked="0"/>
    </xf>
    <xf numFmtId="181" fontId="5" fillId="2" borderId="37" xfId="0" applyNumberFormat="1" applyFont="1" applyFill="1" applyBorder="1" applyAlignment="1" applyProtection="1">
      <alignment horizontal="center" vertical="center"/>
      <protection locked="0"/>
    </xf>
    <xf numFmtId="6" fontId="5" fillId="35" borderId="0" xfId="0" applyNumberFormat="1" applyFont="1" applyFill="1" applyAlignment="1" applyProtection="1">
      <alignment horizontal="center" vertical="center"/>
      <protection locked="0"/>
    </xf>
    <xf numFmtId="181" fontId="5" fillId="37" borderId="33" xfId="0" applyNumberFormat="1" applyFont="1" applyFill="1" applyBorder="1" applyAlignment="1">
      <alignment horizontal="center" vertical="center"/>
    </xf>
    <xf numFmtId="6" fontId="5" fillId="37" borderId="38" xfId="0" applyNumberFormat="1" applyFont="1" applyFill="1" applyBorder="1" applyAlignment="1" applyProtection="1">
      <alignment horizontal="center" vertical="center"/>
      <protection locked="0"/>
    </xf>
    <xf numFmtId="176" fontId="5" fillId="37" borderId="38" xfId="0" applyNumberFormat="1" applyFont="1" applyFill="1" applyBorder="1" applyAlignment="1" applyProtection="1">
      <alignment horizontal="center" vertical="center"/>
      <protection locked="0"/>
    </xf>
    <xf numFmtId="176" fontId="5" fillId="37" borderId="33" xfId="0" applyNumberFormat="1" applyFont="1" applyFill="1" applyBorder="1" applyAlignment="1">
      <alignment horizontal="center" vertical="center"/>
    </xf>
    <xf numFmtId="3" fontId="5" fillId="2" borderId="21" xfId="0" applyNumberFormat="1" applyFont="1" applyFill="1" applyBorder="1" applyAlignment="1" applyProtection="1">
      <alignment horizontal="center"/>
      <protection locked="0"/>
    </xf>
    <xf numFmtId="3" fontId="13" fillId="2" borderId="21" xfId="0" applyNumberFormat="1" applyFont="1" applyFill="1" applyBorder="1" applyAlignment="1" applyProtection="1">
      <alignment horizontal="center"/>
      <protection locked="0"/>
    </xf>
    <xf numFmtId="189" fontId="5" fillId="2" borderId="21" xfId="0" applyNumberFormat="1" applyFont="1" applyFill="1" applyBorder="1" applyAlignment="1" applyProtection="1">
      <alignment horizontal="center" vertical="center"/>
      <protection locked="0"/>
    </xf>
    <xf numFmtId="49" fontId="76" fillId="5" borderId="39" xfId="0" quotePrefix="1" applyNumberFormat="1" applyFont="1" applyFill="1" applyBorder="1" applyAlignment="1" applyProtection="1">
      <alignment horizontal="center"/>
      <protection locked="0"/>
    </xf>
    <xf numFmtId="37" fontId="0" fillId="33" borderId="18" xfId="0" applyFill="1" applyBorder="1"/>
    <xf numFmtId="37" fontId="0" fillId="33" borderId="19" xfId="0" applyFill="1" applyBorder="1"/>
    <xf numFmtId="37" fontId="0" fillId="33" borderId="20" xfId="0" applyFill="1" applyBorder="1"/>
    <xf numFmtId="37" fontId="11" fillId="33" borderId="0" xfId="0" applyFont="1" applyFill="1" applyAlignment="1">
      <alignment vertical="center" wrapText="1"/>
    </xf>
    <xf numFmtId="176" fontId="11" fillId="33" borderId="0" xfId="0" applyNumberFormat="1" applyFont="1" applyFill="1" applyAlignment="1">
      <alignment vertical="center" wrapText="1"/>
    </xf>
    <xf numFmtId="181" fontId="11" fillId="33" borderId="0" xfId="0" applyNumberFormat="1" applyFont="1" applyFill="1" applyAlignment="1">
      <alignment vertical="center" wrapText="1"/>
    </xf>
    <xf numFmtId="37" fontId="79" fillId="33" borderId="22" xfId="0" applyFont="1" applyFill="1" applyBorder="1" applyAlignment="1">
      <alignment horizontal="left"/>
    </xf>
    <xf numFmtId="166" fontId="5" fillId="33" borderId="0" xfId="0" applyNumberFormat="1" applyFont="1" applyFill="1"/>
    <xf numFmtId="166" fontId="5" fillId="33" borderId="23" xfId="0" applyNumberFormat="1" applyFont="1" applyFill="1" applyBorder="1"/>
    <xf numFmtId="37" fontId="79" fillId="33" borderId="18" xfId="0" applyFont="1" applyFill="1" applyBorder="1" applyAlignment="1">
      <alignment horizontal="left"/>
    </xf>
    <xf numFmtId="37" fontId="5" fillId="33" borderId="19" xfId="0" applyFont="1" applyFill="1" applyBorder="1"/>
    <xf numFmtId="166" fontId="5" fillId="33" borderId="19" xfId="0" applyNumberFormat="1" applyFont="1" applyFill="1" applyBorder="1"/>
    <xf numFmtId="166" fontId="5" fillId="33" borderId="20" xfId="0" applyNumberFormat="1" applyFont="1" applyFill="1" applyBorder="1"/>
    <xf numFmtId="37" fontId="6" fillId="0" borderId="18" xfId="0" applyFont="1" applyBorder="1" applyAlignment="1">
      <alignment horizontal="right"/>
    </xf>
    <xf numFmtId="37" fontId="8" fillId="0" borderId="19" xfId="0" applyFont="1" applyBorder="1" applyAlignment="1">
      <alignment horizontal="right"/>
    </xf>
    <xf numFmtId="183" fontId="8" fillId="32" borderId="19" xfId="0" applyNumberFormat="1" applyFont="1" applyFill="1" applyBorder="1" applyAlignment="1">
      <alignment horizontal="center"/>
    </xf>
    <xf numFmtId="165" fontId="8" fillId="32" borderId="20" xfId="0" applyNumberFormat="1" applyFont="1" applyFill="1" applyBorder="1" applyAlignment="1">
      <alignment horizontal="center"/>
    </xf>
    <xf numFmtId="37" fontId="6" fillId="35" borderId="0" xfId="0" applyFont="1" applyFill="1" applyAlignment="1" applyProtection="1">
      <alignment horizontal="center" wrapText="1"/>
      <protection locked="0"/>
    </xf>
    <xf numFmtId="49" fontId="8" fillId="5" borderId="34" xfId="6" applyNumberFormat="1" applyFont="1" applyFill="1" applyBorder="1" applyProtection="1">
      <protection locked="0"/>
    </xf>
    <xf numFmtId="49" fontId="8" fillId="5" borderId="35" xfId="6" applyNumberFormat="1" applyFont="1" applyFill="1" applyBorder="1" applyAlignment="1" applyProtection="1">
      <alignment horizontal="left"/>
      <protection locked="0"/>
    </xf>
    <xf numFmtId="0" fontId="59" fillId="0" borderId="0" xfId="1" applyFont="1" applyAlignment="1">
      <alignment horizontal="right"/>
    </xf>
    <xf numFmtId="0" fontId="8" fillId="5" borderId="0" xfId="6" applyFont="1" applyFill="1"/>
    <xf numFmtId="0" fontId="41" fillId="0" borderId="0" xfId="6" applyFont="1"/>
    <xf numFmtId="0" fontId="15" fillId="32" borderId="0" xfId="6" applyFont="1" applyFill="1"/>
    <xf numFmtId="0" fontId="15" fillId="12" borderId="0" xfId="6" applyFont="1" applyFill="1"/>
    <xf numFmtId="0" fontId="87" fillId="0" borderId="0" xfId="6" applyFont="1" applyAlignment="1">
      <alignment horizontal="right"/>
    </xf>
    <xf numFmtId="37" fontId="81" fillId="0" borderId="0" xfId="0" applyFont="1"/>
    <xf numFmtId="0" fontId="57" fillId="0" borderId="0" xfId="6" applyFont="1"/>
    <xf numFmtId="37" fontId="49" fillId="0" borderId="0" xfId="0" applyFont="1" applyAlignment="1">
      <alignment vertical="center" wrapText="1"/>
    </xf>
    <xf numFmtId="0" fontId="42" fillId="0" borderId="0" xfId="6" applyFont="1" applyAlignment="1">
      <alignment horizontal="justify" vertical="center"/>
    </xf>
    <xf numFmtId="37" fontId="43" fillId="0" borderId="0" xfId="0" applyFont="1"/>
    <xf numFmtId="176" fontId="40" fillId="32" borderId="21" xfId="6" applyNumberFormat="1" applyFont="1" applyFill="1" applyBorder="1" applyAlignment="1">
      <alignment horizontal="center" vertical="center"/>
    </xf>
    <xf numFmtId="181" fontId="40" fillId="32" borderId="21" xfId="6" applyNumberFormat="1" applyFont="1" applyFill="1" applyBorder="1" applyAlignment="1">
      <alignment horizontal="center" vertical="center"/>
    </xf>
    <xf numFmtId="0" fontId="45" fillId="0" borderId="0" xfId="6" applyFont="1" applyAlignment="1">
      <alignment horizontal="justify" vertical="center"/>
    </xf>
    <xf numFmtId="0" fontId="15" fillId="0" borderId="0" xfId="6" applyFont="1" applyAlignment="1">
      <alignment horizontal="justify" vertical="center"/>
    </xf>
    <xf numFmtId="0" fontId="40" fillId="0" borderId="0" xfId="6" applyFont="1" applyAlignment="1">
      <alignment horizontal="center" vertical="center"/>
    </xf>
    <xf numFmtId="0" fontId="40" fillId="0" borderId="0" xfId="6" applyFont="1" applyAlignment="1">
      <alignment horizontal="justify" vertical="center"/>
    </xf>
    <xf numFmtId="0" fontId="44" fillId="0" borderId="0" xfId="6" applyFont="1" applyAlignment="1">
      <alignment horizontal="right" vertical="center"/>
    </xf>
    <xf numFmtId="181" fontId="40" fillId="32" borderId="0" xfId="6" applyNumberFormat="1" applyFont="1" applyFill="1" applyAlignment="1">
      <alignment horizontal="center" vertical="center"/>
    </xf>
    <xf numFmtId="176" fontId="40" fillId="32" borderId="0" xfId="6" applyNumberFormat="1" applyFont="1" applyFill="1" applyAlignment="1">
      <alignment horizontal="center" vertical="center"/>
    </xf>
    <xf numFmtId="0" fontId="42" fillId="0" borderId="0" xfId="6" applyFont="1" applyAlignment="1">
      <alignment horizontal="right" vertical="center"/>
    </xf>
    <xf numFmtId="0" fontId="15" fillId="0" borderId="0" xfId="6" applyFont="1" applyAlignment="1">
      <alignment horizontal="right" vertical="center"/>
    </xf>
    <xf numFmtId="181" fontId="40" fillId="32" borderId="24" xfId="6" applyNumberFormat="1" applyFont="1" applyFill="1" applyBorder="1" applyAlignment="1">
      <alignment horizontal="center" vertical="center"/>
    </xf>
    <xf numFmtId="176" fontId="40" fillId="32" borderId="24" xfId="6" applyNumberFormat="1" applyFont="1" applyFill="1" applyBorder="1" applyAlignment="1">
      <alignment horizontal="center" vertical="center"/>
    </xf>
    <xf numFmtId="0" fontId="44" fillId="0" borderId="0" xfId="6" applyFont="1" applyAlignment="1">
      <alignment horizontal="justify" vertical="center"/>
    </xf>
    <xf numFmtId="0" fontId="40" fillId="32" borderId="0" xfId="6" applyFont="1" applyFill="1" applyAlignment="1">
      <alignment horizontal="center" vertical="center"/>
    </xf>
    <xf numFmtId="5" fontId="40" fillId="32" borderId="0" xfId="6" applyNumberFormat="1" applyFont="1" applyFill="1" applyAlignment="1">
      <alignment horizontal="center" vertical="center"/>
    </xf>
    <xf numFmtId="0" fontId="15" fillId="0" borderId="0" xfId="6" applyFont="1" applyAlignment="1">
      <alignment horizontal="left" vertical="center" wrapText="1"/>
    </xf>
    <xf numFmtId="0" fontId="41" fillId="32" borderId="0" xfId="6" applyFont="1" applyFill="1"/>
    <xf numFmtId="5" fontId="40" fillId="0" borderId="0" xfId="6" applyNumberFormat="1" applyFont="1" applyAlignment="1">
      <alignment horizontal="center" vertical="center"/>
    </xf>
    <xf numFmtId="0" fontId="44" fillId="0" borderId="0" xfId="6" applyFont="1" applyAlignment="1">
      <alignment horizontal="right"/>
    </xf>
    <xf numFmtId="0" fontId="41" fillId="0" borderId="33" xfId="6" applyFont="1" applyBorder="1"/>
    <xf numFmtId="0" fontId="40" fillId="0" borderId="0" xfId="6" applyFont="1" applyAlignment="1">
      <alignment horizontal="right" vertical="center"/>
    </xf>
    <xf numFmtId="176" fontId="40" fillId="32" borderId="34" xfId="6" applyNumberFormat="1" applyFont="1" applyFill="1" applyBorder="1" applyAlignment="1">
      <alignment horizontal="center" vertical="center"/>
    </xf>
    <xf numFmtId="181" fontId="40" fillId="32" borderId="35" xfId="6" applyNumberFormat="1" applyFont="1" applyFill="1" applyBorder="1" applyAlignment="1">
      <alignment horizontal="center" vertical="center"/>
    </xf>
    <xf numFmtId="37" fontId="108" fillId="0" borderId="0" xfId="0" applyFont="1"/>
    <xf numFmtId="37" fontId="109" fillId="0" borderId="0" xfId="8" applyFont="1"/>
    <xf numFmtId="0" fontId="44" fillId="5" borderId="40" xfId="6" applyFont="1" applyFill="1" applyBorder="1"/>
    <xf numFmtId="0" fontId="59" fillId="33" borderId="27" xfId="1" applyFont="1" applyFill="1" applyBorder="1" applyAlignment="1">
      <alignment horizontal="right"/>
    </xf>
    <xf numFmtId="0" fontId="18" fillId="33" borderId="28" xfId="1" applyFont="1" applyFill="1" applyBorder="1"/>
    <xf numFmtId="37" fontId="23" fillId="33" borderId="29" xfId="0" applyFont="1" applyFill="1" applyBorder="1"/>
    <xf numFmtId="176" fontId="44" fillId="5" borderId="21" xfId="0" applyNumberFormat="1" applyFont="1" applyFill="1" applyBorder="1" applyAlignment="1" applyProtection="1">
      <alignment horizontal="center" vertical="center"/>
      <protection locked="0"/>
    </xf>
    <xf numFmtId="181" fontId="5" fillId="37" borderId="0" xfId="0" applyNumberFormat="1" applyFont="1" applyFill="1" applyAlignment="1" applyProtection="1">
      <alignment horizontal="center" vertical="center"/>
      <protection locked="0"/>
    </xf>
    <xf numFmtId="189" fontId="5" fillId="37" borderId="0" xfId="0" applyNumberFormat="1" applyFont="1" applyFill="1" applyAlignment="1" applyProtection="1">
      <alignment horizontal="center" vertical="center"/>
      <protection locked="0"/>
    </xf>
    <xf numFmtId="37" fontId="5" fillId="33" borderId="0" xfId="0" applyFont="1" applyFill="1" applyAlignment="1" applyProtection="1">
      <alignment horizontal="center" vertical="center" wrapText="1"/>
      <protection locked="0"/>
    </xf>
    <xf numFmtId="5" fontId="84" fillId="33" borderId="11" xfId="0" applyNumberFormat="1" applyFont="1" applyFill="1" applyBorder="1" applyAlignment="1">
      <alignment wrapText="1"/>
    </xf>
    <xf numFmtId="37" fontId="78" fillId="33" borderId="0" xfId="0" applyFont="1" applyFill="1" applyAlignment="1">
      <alignment horizontal="right"/>
    </xf>
    <xf numFmtId="5" fontId="78" fillId="33" borderId="11" xfId="0" applyNumberFormat="1" applyFont="1" applyFill="1" applyBorder="1"/>
    <xf numFmtId="169" fontId="6" fillId="33" borderId="0" xfId="0" applyNumberFormat="1" applyFont="1" applyFill="1" applyAlignment="1">
      <alignment horizontal="center"/>
    </xf>
    <xf numFmtId="169" fontId="6" fillId="33" borderId="0" xfId="0" applyNumberFormat="1" applyFont="1" applyFill="1" applyAlignment="1">
      <alignment horizontal="center" wrapText="1"/>
    </xf>
    <xf numFmtId="188" fontId="35" fillId="0" borderId="19" xfId="1" applyNumberFormat="1" applyFont="1" applyBorder="1" applyAlignment="1">
      <alignment horizontal="center"/>
    </xf>
    <xf numFmtId="49" fontId="35" fillId="0" borderId="19" xfId="1" applyNumberFormat="1" applyFont="1" applyBorder="1"/>
    <xf numFmtId="5" fontId="78" fillId="33" borderId="11" xfId="0" applyNumberFormat="1" applyFont="1" applyFill="1" applyBorder="1" applyAlignment="1">
      <alignment horizontal="right" wrapText="1"/>
    </xf>
    <xf numFmtId="5" fontId="84" fillId="33" borderId="0" xfId="0" applyNumberFormat="1" applyFont="1" applyFill="1" applyAlignment="1">
      <alignment horizontal="right" wrapText="1"/>
    </xf>
    <xf numFmtId="49" fontId="101" fillId="5" borderId="34" xfId="1" applyNumberFormat="1" applyFont="1" applyFill="1" applyBorder="1" applyProtection="1">
      <protection locked="0"/>
    </xf>
    <xf numFmtId="0" fontId="101" fillId="5" borderId="35" xfId="1" applyFont="1" applyFill="1" applyBorder="1" applyProtection="1">
      <protection locked="0"/>
    </xf>
    <xf numFmtId="189" fontId="5" fillId="2" borderId="37" xfId="0" applyNumberFormat="1" applyFont="1" applyFill="1" applyBorder="1" applyAlignment="1" applyProtection="1">
      <alignment horizontal="center" vertical="center"/>
      <protection locked="0"/>
    </xf>
    <xf numFmtId="189" fontId="5" fillId="13" borderId="21" xfId="0" applyNumberFormat="1" applyFont="1" applyFill="1" applyBorder="1" applyAlignment="1" applyProtection="1">
      <alignment horizontal="center"/>
      <protection locked="0"/>
    </xf>
    <xf numFmtId="37" fontId="15" fillId="32" borderId="0" xfId="0" applyFont="1" applyFill="1"/>
    <xf numFmtId="37" fontId="0" fillId="32" borderId="0" xfId="0" applyFill="1"/>
    <xf numFmtId="37" fontId="8" fillId="0" borderId="0" xfId="0" applyFont="1"/>
    <xf numFmtId="37" fontId="110" fillId="32" borderId="0" xfId="0" applyFont="1" applyFill="1" applyAlignment="1">
      <alignment horizontal="center"/>
    </xf>
    <xf numFmtId="181" fontId="5" fillId="32" borderId="41" xfId="0" applyNumberFormat="1" applyFont="1" applyFill="1" applyBorder="1" applyAlignment="1" applyProtection="1">
      <alignment horizontal="center" vertical="center"/>
      <protection locked="0"/>
    </xf>
    <xf numFmtId="176" fontId="44" fillId="32" borderId="41" xfId="0" applyNumberFormat="1" applyFont="1" applyFill="1" applyBorder="1" applyAlignment="1" applyProtection="1">
      <alignment horizontal="center" vertical="center"/>
      <protection locked="0"/>
    </xf>
    <xf numFmtId="181" fontId="0" fillId="32" borderId="41" xfId="0" applyNumberFormat="1" applyFill="1" applyBorder="1" applyAlignment="1" applyProtection="1">
      <alignment vertical="center"/>
      <protection locked="0"/>
    </xf>
    <xf numFmtId="176" fontId="0" fillId="32" borderId="41" xfId="0" applyNumberFormat="1" applyFill="1" applyBorder="1" applyAlignment="1" applyProtection="1">
      <alignment vertical="center"/>
      <protection locked="0"/>
    </xf>
    <xf numFmtId="0" fontId="37" fillId="0" borderId="0" xfId="1" applyFont="1"/>
    <xf numFmtId="37" fontId="107" fillId="0" borderId="0" xfId="0" applyFont="1" applyAlignment="1">
      <alignment vertical="center" wrapText="1"/>
    </xf>
    <xf numFmtId="37" fontId="50" fillId="0" borderId="0" xfId="0" applyFont="1" applyAlignment="1">
      <alignment vertical="center" wrapText="1"/>
    </xf>
    <xf numFmtId="37" fontId="67" fillId="29" borderId="0" xfId="0" applyFont="1" applyFill="1" applyAlignment="1">
      <alignment horizontal="center" vertical="center" wrapText="1"/>
    </xf>
    <xf numFmtId="37" fontId="68" fillId="29" borderId="0" xfId="0" applyFont="1" applyFill="1" applyAlignment="1">
      <alignment horizontal="center" vertical="center" wrapText="1"/>
    </xf>
    <xf numFmtId="0" fontId="9" fillId="0" borderId="0" xfId="7" applyFont="1" applyAlignment="1">
      <alignment horizontal="center" vertical="center"/>
    </xf>
    <xf numFmtId="180" fontId="69" fillId="0" borderId="0" xfId="7" applyNumberFormat="1" applyFont="1" applyAlignment="1" applyProtection="1">
      <alignment horizontal="center"/>
      <protection locked="0"/>
    </xf>
    <xf numFmtId="0" fontId="55" fillId="0" borderId="0" xfId="7" applyFont="1" applyAlignment="1">
      <alignment horizontal="center"/>
    </xf>
    <xf numFmtId="0" fontId="71" fillId="0" borderId="0" xfId="7" applyFont="1" applyAlignment="1" applyProtection="1">
      <alignment horizontal="center"/>
      <protection locked="0"/>
    </xf>
    <xf numFmtId="37" fontId="88" fillId="29" borderId="0" xfId="0" applyFont="1" applyFill="1" applyAlignment="1">
      <alignment horizontal="center" vertical="center" wrapText="1"/>
    </xf>
    <xf numFmtId="0" fontId="58" fillId="32" borderId="0" xfId="6" applyFont="1" applyFill="1" applyAlignment="1">
      <alignment horizontal="center" vertical="center"/>
    </xf>
    <xf numFmtId="37" fontId="76" fillId="0" borderId="0" xfId="0" applyFont="1" applyAlignment="1">
      <alignment horizontal="center" wrapText="1"/>
    </xf>
    <xf numFmtId="37" fontId="46" fillId="0" borderId="0" xfId="0" applyFont="1" applyAlignment="1">
      <alignment horizontal="center" wrapText="1"/>
    </xf>
    <xf numFmtId="49" fontId="89" fillId="0" borderId="0" xfId="6" applyNumberFormat="1" applyFont="1" applyAlignment="1">
      <alignment horizontal="center" vertical="top"/>
    </xf>
    <xf numFmtId="0" fontId="58" fillId="0" borderId="0" xfId="6" applyFont="1" applyAlignment="1">
      <alignment horizontal="center" vertical="top"/>
    </xf>
    <xf numFmtId="37" fontId="97" fillId="33" borderId="15" xfId="0" applyFont="1" applyFill="1" applyBorder="1" applyAlignment="1">
      <alignment horizontal="center"/>
    </xf>
    <xf numFmtId="37" fontId="97" fillId="33" borderId="16" xfId="0" applyFont="1" applyFill="1" applyBorder="1" applyAlignment="1">
      <alignment horizontal="center"/>
    </xf>
    <xf numFmtId="37" fontId="97" fillId="33" borderId="17" xfId="0" applyFont="1" applyFill="1" applyBorder="1" applyAlignment="1">
      <alignment horizontal="center"/>
    </xf>
    <xf numFmtId="37" fontId="9" fillId="3" borderId="15" xfId="0" applyFont="1" applyFill="1" applyBorder="1" applyAlignment="1">
      <alignment horizontal="center"/>
    </xf>
    <xf numFmtId="0" fontId="10" fillId="0" borderId="16" xfId="0" applyNumberFormat="1" applyFont="1" applyBorder="1"/>
    <xf numFmtId="0" fontId="10" fillId="0" borderId="17" xfId="0" applyNumberFormat="1" applyFont="1" applyBorder="1"/>
    <xf numFmtId="37" fontId="11" fillId="0" borderId="22" xfId="0" applyFont="1" applyBorder="1" applyAlignment="1">
      <alignment horizontal="center"/>
    </xf>
    <xf numFmtId="37" fontId="0" fillId="0" borderId="0" xfId="0"/>
    <xf numFmtId="0" fontId="10" fillId="0" borderId="23" xfId="0" applyNumberFormat="1" applyFont="1" applyBorder="1"/>
    <xf numFmtId="37" fontId="6" fillId="0" borderId="22" xfId="0" applyFont="1" applyBorder="1" applyAlignment="1">
      <alignment horizontal="center" wrapText="1"/>
    </xf>
    <xf numFmtId="37" fontId="105" fillId="0" borderId="11" xfId="0" applyFont="1" applyBorder="1" applyAlignment="1">
      <alignment horizontal="center"/>
    </xf>
    <xf numFmtId="37" fontId="22" fillId="0" borderId="0" xfId="0" applyFont="1" applyAlignment="1">
      <alignment horizontal="center"/>
    </xf>
    <xf numFmtId="37" fontId="22" fillId="0" borderId="5" xfId="0" applyFont="1" applyBorder="1" applyAlignment="1">
      <alignment horizontal="center"/>
    </xf>
    <xf numFmtId="169" fontId="54" fillId="0" borderId="0" xfId="0" applyNumberFormat="1" applyFont="1" applyAlignment="1">
      <alignment horizontal="center" vertical="top" wrapText="1"/>
    </xf>
    <xf numFmtId="37" fontId="83" fillId="0" borderId="0" xfId="0" applyFont="1" applyAlignment="1">
      <alignment horizontal="center"/>
    </xf>
    <xf numFmtId="37" fontId="9" fillId="3" borderId="12" xfId="0" applyFont="1" applyFill="1" applyBorder="1" applyAlignment="1">
      <alignment horizontal="center"/>
    </xf>
    <xf numFmtId="0" fontId="10" fillId="0" borderId="13" xfId="0" applyNumberFormat="1" applyFont="1" applyBorder="1"/>
    <xf numFmtId="0" fontId="10" fillId="0" borderId="14" xfId="0" applyNumberFormat="1" applyFont="1" applyBorder="1"/>
    <xf numFmtId="5" fontId="84" fillId="33" borderId="11" xfId="0" applyNumberFormat="1" applyFont="1" applyFill="1" applyBorder="1" applyAlignment="1">
      <alignment horizontal="right" wrapText="1"/>
    </xf>
    <xf numFmtId="5" fontId="84" fillId="33" borderId="0" xfId="0" applyNumberFormat="1" applyFont="1" applyFill="1" applyAlignment="1">
      <alignment horizontal="right" wrapText="1"/>
    </xf>
    <xf numFmtId="0" fontId="112" fillId="9" borderId="0" xfId="8" applyNumberFormat="1" applyFont="1" applyFill="1" applyAlignment="1" applyProtection="1">
      <alignment horizontal="center" vertical="center"/>
      <protection locked="0"/>
    </xf>
    <xf numFmtId="0" fontId="87" fillId="9" borderId="0" xfId="1" applyFont="1" applyFill="1" applyAlignment="1">
      <alignment horizontal="center" vertical="center" wrapText="1"/>
    </xf>
    <xf numFmtId="0" fontId="34" fillId="32" borderId="15" xfId="1" applyFont="1" applyFill="1" applyBorder="1" applyAlignment="1">
      <alignment horizontal="center"/>
    </xf>
    <xf numFmtId="0" fontId="34" fillId="32" borderId="16" xfId="1" applyFont="1" applyFill="1" applyBorder="1" applyAlignment="1">
      <alignment horizontal="center"/>
    </xf>
    <xf numFmtId="0" fontId="34" fillId="32" borderId="17" xfId="1" applyFont="1" applyFill="1" applyBorder="1" applyAlignment="1">
      <alignment horizontal="center"/>
    </xf>
    <xf numFmtId="37" fontId="50" fillId="0" borderId="0" xfId="0" applyFont="1" applyAlignment="1">
      <alignment horizontal="left" vertical="center" wrapText="1"/>
    </xf>
    <xf numFmtId="0" fontId="34" fillId="32" borderId="0" xfId="1" applyFont="1" applyFill="1" applyAlignment="1">
      <alignment horizontal="center"/>
    </xf>
    <xf numFmtId="0" fontId="34" fillId="32" borderId="0" xfId="1" applyFont="1" applyFill="1" applyAlignment="1">
      <alignment horizontal="center" wrapText="1"/>
    </xf>
    <xf numFmtId="0" fontId="5" fillId="0" borderId="0" xfId="1" applyFont="1" applyAlignment="1">
      <alignment horizontal="left" vertical="center" wrapText="1"/>
    </xf>
    <xf numFmtId="0" fontId="13" fillId="0" borderId="0" xfId="1" applyFont="1" applyAlignment="1">
      <alignment horizontal="left" vertical="center" wrapText="1"/>
    </xf>
    <xf numFmtId="37" fontId="46" fillId="0" borderId="0" xfId="0" applyFont="1" applyAlignment="1">
      <alignment horizontal="left" vertical="center" wrapText="1"/>
    </xf>
    <xf numFmtId="37" fontId="60" fillId="0" borderId="0" xfId="0" applyFont="1" applyAlignment="1">
      <alignment horizontal="left" vertical="center" wrapText="1"/>
    </xf>
    <xf numFmtId="37" fontId="102" fillId="0" borderId="21" xfId="0" applyFont="1" applyBorder="1" applyAlignment="1">
      <alignment horizontal="center" vertical="center"/>
    </xf>
    <xf numFmtId="0" fontId="36" fillId="0" borderId="0" xfId="6" applyFont="1" applyAlignment="1">
      <alignment wrapText="1"/>
    </xf>
    <xf numFmtId="0" fontId="33" fillId="0" borderId="0" xfId="6" applyFont="1"/>
    <xf numFmtId="0" fontId="37" fillId="16" borderId="0" xfId="6" applyFont="1" applyFill="1" applyAlignment="1">
      <alignment textRotation="255"/>
    </xf>
    <xf numFmtId="0" fontId="34" fillId="18" borderId="0" xfId="6" applyFont="1" applyFill="1" applyAlignment="1">
      <alignment horizontal="center" vertical="center"/>
    </xf>
    <xf numFmtId="0" fontId="34" fillId="19" borderId="0" xfId="6" applyFont="1" applyFill="1" applyAlignment="1">
      <alignment horizontal="center" vertical="center"/>
    </xf>
    <xf numFmtId="0" fontId="34" fillId="0" borderId="22" xfId="6" applyFont="1" applyBorder="1" applyAlignment="1">
      <alignment horizontal="center"/>
    </xf>
    <xf numFmtId="0" fontId="37" fillId="16" borderId="0" xfId="6" applyFont="1" applyFill="1" applyAlignment="1">
      <alignment horizontal="center" textRotation="255"/>
    </xf>
    <xf numFmtId="43" fontId="39" fillId="16" borderId="0" xfId="6" applyNumberFormat="1" applyFont="1" applyFill="1" applyAlignment="1">
      <alignment textRotation="255"/>
    </xf>
  </cellXfs>
  <cellStyles count="25">
    <cellStyle name="Comma" xfId="14" builtinId="3"/>
    <cellStyle name="Comma 2" xfId="2" xr:uid="{528971D3-2496-427A-A3EC-958F8B91E33F}"/>
    <cellStyle name="Comma 2 2" xfId="10" xr:uid="{9EF1D8D0-1A62-45BA-9C8A-6E2321A6064B}"/>
    <cellStyle name="Comma 3" xfId="12" xr:uid="{2B0BBD94-FB0F-4624-B1B5-037ACCCD4147}"/>
    <cellStyle name="Comma 3 2" xfId="16" xr:uid="{A4FC74AD-742A-4E9A-AC3E-1872A5ADCD46}"/>
    <cellStyle name="Comma 4" xfId="18" xr:uid="{D155F1A7-3EE2-4DFE-85B0-6D5FE6317F18}"/>
    <cellStyle name="Comma0" xfId="22" xr:uid="{2F504542-ADFC-45B2-B3DF-F80469EF2313}"/>
    <cellStyle name="Currency 2" xfId="3" xr:uid="{9CEBC381-C9B0-4505-9DD3-E45420972F06}"/>
    <cellStyle name="Hyperlink" xfId="8" builtinId="8"/>
    <cellStyle name="Hyperlink 2" xfId="4" xr:uid="{85AE25D8-BFD7-41B7-91DE-6216D261667A}"/>
    <cellStyle name="Normal" xfId="0" builtinId="0"/>
    <cellStyle name="Normal 2" xfId="1" xr:uid="{96540DF0-F5ED-431E-8A00-F824D7618D24}"/>
    <cellStyle name="Normal 2 2" xfId="9" xr:uid="{3C9F84BE-2B10-4A71-8BA2-320351F8C806}"/>
    <cellStyle name="Normal 3" xfId="6" xr:uid="{653D1AB0-26B5-4553-AD46-122BF9A54DD2}"/>
    <cellStyle name="Normal 4" xfId="7" xr:uid="{0406CAF9-B895-4262-9E36-54A1D3C50246}"/>
    <cellStyle name="Normal 5" xfId="11" xr:uid="{00B5F7A6-AF56-47B3-8CD1-8BF9BCC541DD}"/>
    <cellStyle name="Normal 5 2" xfId="15" xr:uid="{CC201B04-7D25-44CD-A17B-D4C2A4666705}"/>
    <cellStyle name="Normal 5 2 2" xfId="23" xr:uid="{021A8F73-2B84-45D1-B9BF-5C42E2C2E8E7}"/>
    <cellStyle name="Normal 5 2 3" xfId="21" xr:uid="{10A8F607-E5F5-403D-BED1-B12B2277F55D}"/>
    <cellStyle name="Normal 5 3" xfId="24" xr:uid="{2931E9A1-3FE3-4FDC-9B11-9433061A3453}"/>
    <cellStyle name="Normal 5 4" xfId="20" xr:uid="{F5F34E1A-FEE1-451B-A2D2-E4F513B7F720}"/>
    <cellStyle name="Normal 6" xfId="13" xr:uid="{B662CD9D-218C-4622-88AA-D757F4893CD8}"/>
    <cellStyle name="Normal 7" xfId="17" xr:uid="{26548ED6-AA93-412B-96CE-D08E3201D0C7}"/>
    <cellStyle name="Percent" xfId="5" builtinId="5"/>
    <cellStyle name="Percent 2" xfId="19" xr:uid="{A01353BF-BEAA-4C15-9BE1-FEED10FEFF11}"/>
  </cellStyles>
  <dxfs count="1">
    <dxf>
      <font>
        <color rgb="FF9C0006"/>
      </font>
      <fill>
        <patternFill>
          <bgColor rgb="FFFFC7CE"/>
        </patternFill>
      </fill>
    </dxf>
  </dxfs>
  <tableStyles count="0" defaultTableStyle="TableStyleMedium2" defaultPivotStyle="PivotStyleLight16"/>
  <colors>
    <mruColors>
      <color rgb="FFFFFFFF"/>
      <color rgb="FF60A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472018</xdr:colOff>
      <xdr:row>0</xdr:row>
      <xdr:rowOff>266375</xdr:rowOff>
    </xdr:from>
    <xdr:to>
      <xdr:col>7</xdr:col>
      <xdr:colOff>1460085</xdr:colOff>
      <xdr:row>1</xdr:row>
      <xdr:rowOff>227549</xdr:rowOff>
    </xdr:to>
    <xdr:grpSp>
      <xdr:nvGrpSpPr>
        <xdr:cNvPr id="6" name="Group 5" descr="Arrows pointing to the right">
          <a:extLst>
            <a:ext uri="{FF2B5EF4-FFF2-40B4-BE49-F238E27FC236}">
              <a16:creationId xmlns:a16="http://schemas.microsoft.com/office/drawing/2014/main" id="{F266CA5E-46E1-3891-F1AC-CF45B73942F8}"/>
            </a:ext>
          </a:extLst>
        </xdr:cNvPr>
        <xdr:cNvGrpSpPr/>
      </xdr:nvGrpSpPr>
      <xdr:grpSpPr>
        <a:xfrm>
          <a:off x="12890804" y="253675"/>
          <a:ext cx="4190281" cy="227874"/>
          <a:chOff x="9504165" y="226270"/>
          <a:chExt cx="3663223" cy="226825"/>
        </a:xfrm>
      </xdr:grpSpPr>
      <xdr:sp macro="" textlink="">
        <xdr:nvSpPr>
          <xdr:cNvPr id="2" name="Arrow: Right 1">
            <a:extLst>
              <a:ext uri="{FF2B5EF4-FFF2-40B4-BE49-F238E27FC236}">
                <a16:creationId xmlns:a16="http://schemas.microsoft.com/office/drawing/2014/main" id="{D3C2065C-79E7-0F06-657C-DE26BD2FC170}"/>
              </a:ext>
            </a:extLst>
          </xdr:cNvPr>
          <xdr:cNvSpPr/>
        </xdr:nvSpPr>
        <xdr:spPr>
          <a:xfrm>
            <a:off x="9504165" y="226620"/>
            <a:ext cx="472440" cy="226475"/>
          </a:xfrm>
          <a:prstGeom prst="rightArrow">
            <a:avLst/>
          </a:prstGeom>
          <a:solidFill>
            <a:srgbClr val="60A5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sp macro="" textlink="">
        <xdr:nvSpPr>
          <xdr:cNvPr id="3" name="Arrow: Right 2">
            <a:extLst>
              <a:ext uri="{FF2B5EF4-FFF2-40B4-BE49-F238E27FC236}">
                <a16:creationId xmlns:a16="http://schemas.microsoft.com/office/drawing/2014/main" id="{BA0F3091-2F5A-47EE-8572-D7558685A587}"/>
              </a:ext>
            </a:extLst>
          </xdr:cNvPr>
          <xdr:cNvSpPr/>
        </xdr:nvSpPr>
        <xdr:spPr>
          <a:xfrm>
            <a:off x="10614828" y="226620"/>
            <a:ext cx="469708" cy="226475"/>
          </a:xfrm>
          <a:prstGeom prst="rightArrow">
            <a:avLst/>
          </a:prstGeom>
          <a:solidFill>
            <a:srgbClr val="60A5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sp macro="" textlink="">
        <xdr:nvSpPr>
          <xdr:cNvPr id="4" name="Arrow: Right 3">
            <a:extLst>
              <a:ext uri="{FF2B5EF4-FFF2-40B4-BE49-F238E27FC236}">
                <a16:creationId xmlns:a16="http://schemas.microsoft.com/office/drawing/2014/main" id="{A5A80B68-27AC-40AF-A903-8E2EAD829E34}"/>
              </a:ext>
            </a:extLst>
          </xdr:cNvPr>
          <xdr:cNvSpPr/>
        </xdr:nvSpPr>
        <xdr:spPr>
          <a:xfrm>
            <a:off x="11715486" y="226620"/>
            <a:ext cx="474740" cy="226475"/>
          </a:xfrm>
          <a:prstGeom prst="rightArrow">
            <a:avLst/>
          </a:prstGeom>
          <a:solidFill>
            <a:srgbClr val="60A5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sp macro="" textlink="">
        <xdr:nvSpPr>
          <xdr:cNvPr id="5" name="Arrow: Right 4">
            <a:extLst>
              <a:ext uri="{FF2B5EF4-FFF2-40B4-BE49-F238E27FC236}">
                <a16:creationId xmlns:a16="http://schemas.microsoft.com/office/drawing/2014/main" id="{E7492228-B04E-4625-9A13-9FBAF32AE3D4}"/>
              </a:ext>
            </a:extLst>
          </xdr:cNvPr>
          <xdr:cNvSpPr/>
        </xdr:nvSpPr>
        <xdr:spPr>
          <a:xfrm>
            <a:off x="12694948" y="226270"/>
            <a:ext cx="472440" cy="221144"/>
          </a:xfrm>
          <a:prstGeom prst="rightArrow">
            <a:avLst/>
          </a:prstGeom>
          <a:solidFill>
            <a:srgbClr val="60A5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2042451</xdr:colOff>
      <xdr:row>74</xdr:row>
      <xdr:rowOff>406866</xdr:rowOff>
    </xdr:from>
    <xdr:to>
      <xdr:col>6</xdr:col>
      <xdr:colOff>76369</xdr:colOff>
      <xdr:row>79</xdr:row>
      <xdr:rowOff>402341</xdr:rowOff>
    </xdr:to>
    <xdr:pic>
      <xdr:nvPicPr>
        <xdr:cNvPr id="2" name="Picture 1" descr="EDAC review stamp. Mandatory Form #PSF-119 EDAC reviewed, 03/01/2024 for 2024-2025&#10;">
          <a:extLst>
            <a:ext uri="{FF2B5EF4-FFF2-40B4-BE49-F238E27FC236}">
              <a16:creationId xmlns:a16="http://schemas.microsoft.com/office/drawing/2014/main" id="{BF78F66D-FEED-FB3D-8A3E-936BD58CB9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45474" y="23023203"/>
          <a:ext cx="2567523" cy="14462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ourier"/>
        <a:ea typeface="Courier"/>
        <a:cs typeface="Courier"/>
      </a:majorFont>
      <a:minorFont>
        <a:latin typeface="Courier"/>
        <a:ea typeface="Courier"/>
        <a:cs typeface="Courier"/>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de.state.co.us/cdefinance/fiscalyear2022-23schoolfinancefunding"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8" Type="http://schemas.openxmlformats.org/officeDocument/2006/relationships/hyperlink" Target="mailto:sbecker@hsd2.org" TargetMode="External"/><Relationship Id="rId13" Type="http://schemas.openxmlformats.org/officeDocument/2006/relationships/printerSettings" Target="../printerSettings/printerSettings9.bin"/><Relationship Id="rId3" Type="http://schemas.openxmlformats.org/officeDocument/2006/relationships/hyperlink" Target="mailto:mramthun@debeque.k12.co.us" TargetMode="External"/><Relationship Id="rId7" Type="http://schemas.openxmlformats.org/officeDocument/2006/relationships/hyperlink" Target="mailto:cathy.watts@asd20.org" TargetMode="External"/><Relationship Id="rId12" Type="http://schemas.openxmlformats.org/officeDocument/2006/relationships/hyperlink" Target="mailto:justin.petrone@bvsd.org" TargetMode="External"/><Relationship Id="rId2" Type="http://schemas.openxmlformats.org/officeDocument/2006/relationships/hyperlink" Target="mailto:rbarkhuizen@burlingtonk12.org" TargetMode="External"/><Relationship Id="rId1" Type="http://schemas.openxmlformats.org/officeDocument/2006/relationships/hyperlink" Target="mailto:ppetrukitas@hanoverhornets.org" TargetMode="External"/><Relationship Id="rId6" Type="http://schemas.openxmlformats.org/officeDocument/2006/relationships/hyperlink" Target="mailto:kimbert@wsd3.org" TargetMode="External"/><Relationship Id="rId11" Type="http://schemas.openxmlformats.org/officeDocument/2006/relationships/hyperlink" Target="mailto:cbartholomew@southrouttk12.org" TargetMode="External"/><Relationship Id="rId5" Type="http://schemas.openxmlformats.org/officeDocument/2006/relationships/hyperlink" Target="mailto:tmills@gunnisonschools.net" TargetMode="External"/><Relationship Id="rId10" Type="http://schemas.openxmlformats.org/officeDocument/2006/relationships/hyperlink" Target="mailto:cbartholomew@southrouttk12.org" TargetMode="External"/><Relationship Id="rId4" Type="http://schemas.openxmlformats.org/officeDocument/2006/relationships/hyperlink" Target="mailto:lucinda.carpenter@creedek12.net" TargetMode="External"/><Relationship Id="rId9" Type="http://schemas.openxmlformats.org/officeDocument/2006/relationships/hyperlink" Target="mailto:robyn.klunder@miamiyoder.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dm.cde.state.co.us/equal" TargetMode="External"/><Relationship Id="rId1" Type="http://schemas.openxmlformats.org/officeDocument/2006/relationships/hyperlink" Target="https://cdx.cde.state.co.us/equal/secure/MillLevyCert" TargetMode="Externa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BAE0C-BD78-41E0-B1A1-933AE76A0F37}">
  <dimension ref="A1:V80"/>
  <sheetViews>
    <sheetView tabSelected="1" zoomScale="104" zoomScaleNormal="85" workbookViewId="0">
      <selection activeCell="B1" sqref="B1:V1"/>
    </sheetView>
  </sheetViews>
  <sheetFormatPr defaultColWidth="8.75" defaultRowHeight="23" x14ac:dyDescent="0.5"/>
  <cols>
    <col min="1" max="1" width="34.75" style="189" customWidth="1"/>
    <col min="2" max="7" width="8.75" style="189"/>
    <col min="8" max="8" width="11" style="189" customWidth="1"/>
    <col min="9" max="9" width="11.75" style="189" customWidth="1"/>
    <col min="10" max="10" width="13.33203125" style="189" customWidth="1"/>
    <col min="11" max="11" width="10.4140625" style="189" customWidth="1"/>
    <col min="12" max="12" width="12.08203125" style="189" customWidth="1"/>
    <col min="13" max="13" width="13.75" style="189" customWidth="1"/>
    <col min="14" max="16384" width="8.75" style="189"/>
  </cols>
  <sheetData>
    <row r="1" spans="2:22" ht="124.25" customHeight="1" x14ac:dyDescent="0.5">
      <c r="B1" s="690" t="s">
        <v>917</v>
      </c>
      <c r="C1" s="690"/>
      <c r="D1" s="690"/>
      <c r="E1" s="690"/>
      <c r="F1" s="690"/>
      <c r="G1" s="690"/>
      <c r="H1" s="690"/>
      <c r="I1" s="690"/>
      <c r="J1" s="690"/>
      <c r="K1" s="690"/>
      <c r="L1" s="690"/>
      <c r="M1" s="690"/>
      <c r="N1" s="690"/>
      <c r="O1" s="690"/>
      <c r="P1" s="690"/>
      <c r="Q1" s="690"/>
      <c r="R1" s="690"/>
      <c r="S1" s="690"/>
      <c r="T1" s="690"/>
      <c r="U1" s="690"/>
      <c r="V1" s="690"/>
    </row>
    <row r="2" spans="2:22" ht="124.25" customHeight="1" x14ac:dyDescent="0.5">
      <c r="B2" s="691" t="s">
        <v>844</v>
      </c>
      <c r="C2" s="691"/>
      <c r="D2" s="691"/>
      <c r="E2" s="691"/>
      <c r="F2" s="691"/>
      <c r="G2" s="691"/>
      <c r="H2" s="691"/>
      <c r="I2" s="691"/>
      <c r="J2" s="691"/>
      <c r="K2" s="691"/>
      <c r="L2" s="691"/>
      <c r="M2" s="691"/>
      <c r="N2" s="691"/>
      <c r="O2" s="691"/>
      <c r="P2" s="691"/>
      <c r="Q2" s="691"/>
      <c r="R2" s="691"/>
      <c r="S2" s="691"/>
      <c r="T2" s="691"/>
      <c r="U2" s="691"/>
      <c r="V2" s="691"/>
    </row>
    <row r="3" spans="2:22" ht="48.65" customHeight="1" x14ac:dyDescent="0.5">
      <c r="B3" s="692" t="s">
        <v>685</v>
      </c>
      <c r="C3" s="693"/>
      <c r="D3" s="693"/>
      <c r="E3" s="693"/>
      <c r="F3" s="693"/>
      <c r="G3" s="693"/>
      <c r="H3" s="693"/>
      <c r="I3" s="693"/>
      <c r="J3" s="693"/>
      <c r="K3" s="693"/>
      <c r="L3" s="693"/>
      <c r="M3" s="693"/>
      <c r="N3" s="693"/>
      <c r="O3" s="693"/>
      <c r="P3" s="693"/>
      <c r="Q3" s="693"/>
      <c r="R3" s="693"/>
      <c r="S3" s="693"/>
      <c r="T3" s="693"/>
      <c r="U3" s="693"/>
      <c r="V3" s="693"/>
    </row>
    <row r="5" spans="2:22" x14ac:dyDescent="0.5">
      <c r="B5" s="190" t="s">
        <v>918</v>
      </c>
      <c r="C5" s="190"/>
      <c r="D5" s="190"/>
      <c r="E5" s="190"/>
    </row>
    <row r="6" spans="2:22" x14ac:dyDescent="0.5">
      <c r="B6" s="189" t="s">
        <v>924</v>
      </c>
    </row>
    <row r="7" spans="2:22" x14ac:dyDescent="0.5">
      <c r="B7" s="189" t="s">
        <v>920</v>
      </c>
    </row>
    <row r="8" spans="2:22" x14ac:dyDescent="0.5">
      <c r="B8" s="189" t="s">
        <v>919</v>
      </c>
    </row>
    <row r="9" spans="2:22" x14ac:dyDescent="0.5">
      <c r="B9" s="189" t="s">
        <v>921</v>
      </c>
    </row>
    <row r="10" spans="2:22" x14ac:dyDescent="0.5">
      <c r="B10" s="189" t="s">
        <v>925</v>
      </c>
    </row>
    <row r="11" spans="2:22" x14ac:dyDescent="0.5">
      <c r="B11" s="189" t="s">
        <v>62</v>
      </c>
    </row>
    <row r="12" spans="2:22" x14ac:dyDescent="0.5">
      <c r="B12" s="189" t="s">
        <v>660</v>
      </c>
      <c r="H12" s="658" t="s">
        <v>913</v>
      </c>
      <c r="I12" s="228"/>
      <c r="J12" s="228"/>
      <c r="K12" s="191" t="s">
        <v>911</v>
      </c>
      <c r="L12" s="191"/>
      <c r="M12" s="191"/>
    </row>
    <row r="13" spans="2:22" x14ac:dyDescent="0.5">
      <c r="K13" s="575" t="s">
        <v>912</v>
      </c>
      <c r="L13" s="575"/>
      <c r="M13" s="575"/>
    </row>
    <row r="14" spans="2:22" x14ac:dyDescent="0.5">
      <c r="K14" s="576" t="s">
        <v>910</v>
      </c>
    </row>
    <row r="15" spans="2:22" x14ac:dyDescent="0.5">
      <c r="H15" s="228"/>
    </row>
    <row r="16" spans="2:22" x14ac:dyDescent="0.5">
      <c r="B16" s="190" t="s">
        <v>922</v>
      </c>
    </row>
    <row r="17" spans="1:14" x14ac:dyDescent="0.5">
      <c r="A17" s="190" t="s">
        <v>662</v>
      </c>
      <c r="B17" s="189" t="s">
        <v>651</v>
      </c>
    </row>
    <row r="18" spans="1:14" x14ac:dyDescent="0.5">
      <c r="A18" s="304" t="s">
        <v>759</v>
      </c>
      <c r="B18" s="305" t="s">
        <v>845</v>
      </c>
      <c r="C18" s="305"/>
      <c r="D18" s="305"/>
      <c r="E18" s="305"/>
      <c r="F18" s="305"/>
      <c r="G18" s="305"/>
      <c r="H18" s="305"/>
      <c r="I18" s="305"/>
      <c r="J18" s="305"/>
      <c r="K18" s="308" t="s">
        <v>758</v>
      </c>
      <c r="L18" s="306" t="s">
        <v>760</v>
      </c>
      <c r="M18" s="305"/>
      <c r="N18" s="305"/>
    </row>
    <row r="19" spans="1:14" x14ac:dyDescent="0.5">
      <c r="A19" s="190" t="s">
        <v>763</v>
      </c>
    </row>
    <row r="20" spans="1:14" x14ac:dyDescent="0.5">
      <c r="A20" s="190" t="s">
        <v>664</v>
      </c>
      <c r="B20" s="231" t="s">
        <v>915</v>
      </c>
    </row>
    <row r="21" spans="1:14" x14ac:dyDescent="0.5">
      <c r="A21" s="189">
        <v>1</v>
      </c>
      <c r="B21" s="189" t="s">
        <v>926</v>
      </c>
    </row>
    <row r="22" spans="1:14" x14ac:dyDescent="0.5">
      <c r="A22" s="189">
        <v>2</v>
      </c>
      <c r="B22" s="189" t="s">
        <v>993</v>
      </c>
    </row>
    <row r="23" spans="1:14" x14ac:dyDescent="0.5">
      <c r="A23" s="189">
        <v>3</v>
      </c>
      <c r="B23" s="189" t="s">
        <v>916</v>
      </c>
    </row>
    <row r="24" spans="1:14" x14ac:dyDescent="0.5">
      <c r="A24" s="189">
        <v>4</v>
      </c>
      <c r="B24" s="189" t="s">
        <v>939</v>
      </c>
    </row>
    <row r="25" spans="1:14" x14ac:dyDescent="0.5">
      <c r="A25" s="189">
        <v>5</v>
      </c>
      <c r="B25" s="189" t="s">
        <v>914</v>
      </c>
    </row>
    <row r="26" spans="1:14" x14ac:dyDescent="0.5">
      <c r="B26" s="189" t="s">
        <v>923</v>
      </c>
    </row>
    <row r="27" spans="1:14" x14ac:dyDescent="0.5">
      <c r="A27" s="190" t="s">
        <v>665</v>
      </c>
    </row>
    <row r="28" spans="1:14" x14ac:dyDescent="0.5">
      <c r="A28" s="189">
        <v>1</v>
      </c>
      <c r="B28" s="189" t="s">
        <v>666</v>
      </c>
    </row>
    <row r="29" spans="1:14" x14ac:dyDescent="0.5">
      <c r="A29" s="189">
        <v>2</v>
      </c>
      <c r="B29" s="189" t="s">
        <v>928</v>
      </c>
    </row>
    <row r="31" spans="1:14" x14ac:dyDescent="0.5">
      <c r="A31" s="190" t="s">
        <v>667</v>
      </c>
    </row>
    <row r="32" spans="1:14" x14ac:dyDescent="0.5">
      <c r="A32" s="189">
        <v>1</v>
      </c>
      <c r="B32" s="189" t="s">
        <v>927</v>
      </c>
    </row>
    <row r="33" spans="1:20" x14ac:dyDescent="0.5">
      <c r="B33" s="189" t="s">
        <v>929</v>
      </c>
    </row>
    <row r="34" spans="1:20" x14ac:dyDescent="0.5">
      <c r="B34" s="190" t="s">
        <v>940</v>
      </c>
      <c r="C34" s="194"/>
      <c r="D34" s="194"/>
      <c r="E34" s="194"/>
      <c r="F34" s="194"/>
      <c r="G34" s="194"/>
      <c r="H34" s="194"/>
      <c r="I34" s="194"/>
      <c r="J34" s="194"/>
      <c r="K34" s="194"/>
    </row>
    <row r="35" spans="1:20" x14ac:dyDescent="0.5">
      <c r="A35" s="189">
        <v>2</v>
      </c>
      <c r="B35" s="189" t="s">
        <v>652</v>
      </c>
    </row>
    <row r="36" spans="1:20" x14ac:dyDescent="0.5">
      <c r="B36" s="189" t="s">
        <v>930</v>
      </c>
    </row>
    <row r="37" spans="1:20" x14ac:dyDescent="0.5">
      <c r="A37" s="227" t="s">
        <v>671</v>
      </c>
      <c r="B37" s="189" t="s">
        <v>942</v>
      </c>
      <c r="D37" s="194"/>
      <c r="E37" s="194"/>
      <c r="F37" s="194"/>
      <c r="G37" s="194"/>
      <c r="H37" s="194"/>
      <c r="I37" s="194"/>
      <c r="J37" s="194"/>
      <c r="K37" s="194"/>
      <c r="L37" s="190"/>
    </row>
    <row r="38" spans="1:20" x14ac:dyDescent="0.5">
      <c r="A38" s="227"/>
      <c r="B38" s="189" t="s">
        <v>941</v>
      </c>
      <c r="D38" s="194"/>
      <c r="E38" s="194"/>
      <c r="F38" s="194"/>
      <c r="G38" s="194"/>
      <c r="H38" s="194"/>
      <c r="I38" s="194"/>
      <c r="J38" s="194"/>
      <c r="K38" s="194"/>
      <c r="L38" s="190"/>
    </row>
    <row r="39" spans="1:20" x14ac:dyDescent="0.5">
      <c r="A39" s="227" t="s">
        <v>672</v>
      </c>
      <c r="B39" s="189" t="s">
        <v>943</v>
      </c>
      <c r="D39" s="194"/>
      <c r="E39" s="194"/>
      <c r="F39" s="194"/>
      <c r="G39" s="194"/>
      <c r="H39" s="194"/>
      <c r="I39" s="194"/>
      <c r="J39" s="194"/>
      <c r="K39" s="194"/>
      <c r="L39" s="190"/>
    </row>
    <row r="40" spans="1:20" x14ac:dyDescent="0.5">
      <c r="B40" s="189" t="s">
        <v>931</v>
      </c>
      <c r="D40" s="194"/>
      <c r="E40" s="194"/>
      <c r="F40" s="194"/>
      <c r="G40" s="194"/>
      <c r="H40" s="194"/>
      <c r="I40" s="194"/>
      <c r="J40" s="194"/>
      <c r="K40" s="194"/>
      <c r="L40" s="190"/>
    </row>
    <row r="41" spans="1:20" x14ac:dyDescent="0.5">
      <c r="B41" s="189" t="s">
        <v>938</v>
      </c>
      <c r="D41" s="194"/>
      <c r="E41" s="194"/>
      <c r="F41" s="194"/>
      <c r="G41" s="194"/>
      <c r="H41" s="194"/>
      <c r="I41" s="194"/>
      <c r="J41" s="194"/>
      <c r="K41" s="194"/>
      <c r="L41" s="190"/>
    </row>
    <row r="42" spans="1:20" x14ac:dyDescent="0.5">
      <c r="B42" s="189" t="s">
        <v>944</v>
      </c>
      <c r="D42" s="194"/>
      <c r="E42" s="194"/>
      <c r="F42" s="194"/>
      <c r="G42" s="194"/>
      <c r="H42" s="194"/>
      <c r="I42" s="194"/>
      <c r="J42" s="194"/>
      <c r="K42" s="194"/>
      <c r="L42" s="190"/>
    </row>
    <row r="43" spans="1:20" x14ac:dyDescent="0.5">
      <c r="B43" s="194" t="s">
        <v>945</v>
      </c>
      <c r="C43" s="194"/>
      <c r="D43" s="194"/>
      <c r="E43" s="194"/>
      <c r="F43" s="194"/>
      <c r="G43" s="194"/>
      <c r="H43" s="194"/>
      <c r="I43" s="194"/>
      <c r="J43" s="194"/>
      <c r="K43" s="194"/>
      <c r="L43" s="190"/>
    </row>
    <row r="44" spans="1:20" x14ac:dyDescent="0.5">
      <c r="B44" s="194" t="s">
        <v>946</v>
      </c>
      <c r="C44" s="194"/>
      <c r="D44" s="194"/>
      <c r="E44" s="194"/>
      <c r="F44" s="194"/>
      <c r="G44" s="194"/>
      <c r="H44" s="194"/>
      <c r="I44" s="194"/>
      <c r="J44" s="194"/>
      <c r="K44" s="194"/>
      <c r="L44" s="190"/>
    </row>
    <row r="45" spans="1:20" x14ac:dyDescent="0.5">
      <c r="A45" s="227">
        <v>3</v>
      </c>
      <c r="B45" s="189" t="s">
        <v>947</v>
      </c>
      <c r="C45" s="194"/>
      <c r="D45" s="194"/>
      <c r="E45" s="194"/>
      <c r="F45" s="194"/>
      <c r="G45" s="194"/>
      <c r="H45" s="194"/>
      <c r="I45" s="194"/>
      <c r="J45" s="194"/>
      <c r="K45" s="194"/>
      <c r="L45" s="190"/>
    </row>
    <row r="46" spans="1:20" x14ac:dyDescent="0.5">
      <c r="B46" s="189" t="s">
        <v>932</v>
      </c>
      <c r="C46" s="194"/>
      <c r="D46" s="194"/>
      <c r="E46" s="194"/>
      <c r="F46" s="194"/>
      <c r="G46" s="194"/>
      <c r="H46" s="194"/>
      <c r="I46" s="194"/>
      <c r="J46" s="194"/>
      <c r="K46" s="194"/>
      <c r="L46" s="190"/>
      <c r="T46" s="659" t="s">
        <v>948</v>
      </c>
    </row>
    <row r="47" spans="1:20" x14ac:dyDescent="0.5">
      <c r="A47" s="189">
        <v>4</v>
      </c>
      <c r="B47" s="189" t="s">
        <v>994</v>
      </c>
      <c r="C47" s="194"/>
      <c r="D47" s="194"/>
      <c r="E47" s="194"/>
      <c r="F47" s="194"/>
      <c r="G47" s="194"/>
      <c r="H47" s="194"/>
      <c r="I47" s="194"/>
      <c r="J47" s="194"/>
      <c r="K47" s="194"/>
      <c r="L47" s="190"/>
      <c r="T47" s="659"/>
    </row>
    <row r="48" spans="1:20" x14ac:dyDescent="0.5">
      <c r="A48" s="189">
        <v>5</v>
      </c>
      <c r="B48" s="190" t="s">
        <v>933</v>
      </c>
      <c r="C48" s="194"/>
      <c r="D48" s="194"/>
      <c r="E48" s="194"/>
      <c r="F48" s="194"/>
      <c r="G48" s="194"/>
      <c r="H48" s="194"/>
      <c r="I48" s="194"/>
      <c r="J48" s="194"/>
      <c r="K48" s="194"/>
      <c r="L48" s="190"/>
      <c r="T48" s="302"/>
    </row>
    <row r="49" spans="1:12" x14ac:dyDescent="0.5">
      <c r="A49" s="190" t="s">
        <v>674</v>
      </c>
      <c r="C49" s="194"/>
      <c r="D49" s="194"/>
      <c r="E49" s="194"/>
      <c r="F49" s="194"/>
      <c r="G49" s="194"/>
      <c r="H49" s="194"/>
      <c r="I49" s="194"/>
      <c r="J49" s="194"/>
      <c r="K49" s="194"/>
      <c r="L49" s="190"/>
    </row>
    <row r="50" spans="1:12" x14ac:dyDescent="0.5">
      <c r="A50" s="189">
        <v>1</v>
      </c>
      <c r="B50" s="189" t="s">
        <v>934</v>
      </c>
    </row>
    <row r="51" spans="1:12" x14ac:dyDescent="0.5">
      <c r="B51" s="189" t="s">
        <v>935</v>
      </c>
    </row>
    <row r="52" spans="1:12" x14ac:dyDescent="0.5">
      <c r="A52" s="189">
        <v>2</v>
      </c>
      <c r="B52" s="189" t="s">
        <v>936</v>
      </c>
    </row>
    <row r="53" spans="1:12" x14ac:dyDescent="0.5">
      <c r="B53" s="190" t="s">
        <v>940</v>
      </c>
    </row>
    <row r="54" spans="1:12" x14ac:dyDescent="0.5">
      <c r="A54" s="190" t="s">
        <v>675</v>
      </c>
    </row>
    <row r="55" spans="1:12" x14ac:dyDescent="0.5">
      <c r="B55" s="189" t="s">
        <v>937</v>
      </c>
    </row>
    <row r="56" spans="1:12" x14ac:dyDescent="0.5">
      <c r="A56" s="190" t="s">
        <v>678</v>
      </c>
    </row>
    <row r="57" spans="1:12" x14ac:dyDescent="0.5">
      <c r="B57" s="189" t="s">
        <v>937</v>
      </c>
    </row>
    <row r="58" spans="1:12" x14ac:dyDescent="0.5">
      <c r="A58" s="190" t="s">
        <v>686</v>
      </c>
    </row>
    <row r="59" spans="1:12" x14ac:dyDescent="0.5">
      <c r="B59" s="189" t="s">
        <v>937</v>
      </c>
    </row>
    <row r="60" spans="1:12" x14ac:dyDescent="0.5">
      <c r="A60" s="190" t="s">
        <v>680</v>
      </c>
    </row>
    <row r="61" spans="1:12" x14ac:dyDescent="0.5">
      <c r="B61" s="189" t="s">
        <v>937</v>
      </c>
    </row>
    <row r="62" spans="1:12" x14ac:dyDescent="0.5">
      <c r="A62" s="190" t="s">
        <v>829</v>
      </c>
    </row>
    <row r="63" spans="1:12" x14ac:dyDescent="0.5">
      <c r="A63" s="190" t="s">
        <v>949</v>
      </c>
    </row>
    <row r="64" spans="1:12" x14ac:dyDescent="0.5">
      <c r="B64" s="189" t="s">
        <v>950</v>
      </c>
    </row>
    <row r="65" spans="1:2" x14ac:dyDescent="0.5">
      <c r="B65" s="189" t="s">
        <v>596</v>
      </c>
    </row>
    <row r="66" spans="1:2" x14ac:dyDescent="0.5">
      <c r="B66" s="194" t="s">
        <v>951</v>
      </c>
    </row>
    <row r="67" spans="1:2" x14ac:dyDescent="0.5">
      <c r="B67" s="194" t="s">
        <v>653</v>
      </c>
    </row>
    <row r="68" spans="1:2" x14ac:dyDescent="0.5">
      <c r="B68" s="194" t="s">
        <v>952</v>
      </c>
    </row>
    <row r="69" spans="1:2" x14ac:dyDescent="0.5">
      <c r="B69" s="194" t="s">
        <v>953</v>
      </c>
    </row>
    <row r="70" spans="1:2" x14ac:dyDescent="0.5">
      <c r="A70" s="190" t="s">
        <v>684</v>
      </c>
      <c r="B70" s="231"/>
    </row>
    <row r="71" spans="1:2" x14ac:dyDescent="0.5">
      <c r="B71" s="189" t="s">
        <v>954</v>
      </c>
    </row>
    <row r="72" spans="1:2" x14ac:dyDescent="0.5">
      <c r="B72" s="189" t="s">
        <v>955</v>
      </c>
    </row>
    <row r="73" spans="1:2" x14ac:dyDescent="0.5">
      <c r="A73" s="190" t="s">
        <v>956</v>
      </c>
    </row>
    <row r="74" spans="1:2" x14ac:dyDescent="0.5">
      <c r="B74" s="189" t="s">
        <v>957</v>
      </c>
    </row>
    <row r="75" spans="1:2" x14ac:dyDescent="0.5">
      <c r="B75" s="189" t="s">
        <v>958</v>
      </c>
    </row>
    <row r="76" spans="1:2" x14ac:dyDescent="0.5">
      <c r="B76" s="189" t="s">
        <v>959</v>
      </c>
    </row>
    <row r="77" spans="1:2" x14ac:dyDescent="0.5">
      <c r="B77" s="189" t="s">
        <v>597</v>
      </c>
    </row>
    <row r="78" spans="1:2" x14ac:dyDescent="0.5">
      <c r="B78" s="189" t="s">
        <v>606</v>
      </c>
    </row>
    <row r="79" spans="1:2" x14ac:dyDescent="0.5">
      <c r="B79" s="194" t="s">
        <v>960</v>
      </c>
    </row>
    <row r="80" spans="1:2" x14ac:dyDescent="0.5">
      <c r="B80" s="194" t="s">
        <v>961</v>
      </c>
    </row>
  </sheetData>
  <mergeCells count="3">
    <mergeCell ref="B1:V1"/>
    <mergeCell ref="B2:V2"/>
    <mergeCell ref="B3:V3"/>
  </mergeCells>
  <hyperlinks>
    <hyperlink ref="K18" location="'Calculation Worksheet'!C1" display="C1" xr:uid="{43DDF598-EBA1-47EF-BF87-30C5F68EB35E}"/>
    <hyperlink ref="T46" r:id="rId1" display="Go to FY 23-24 School Finance Funding page" xr:uid="{46212659-309F-4415-A69C-6D60AB150D88}"/>
  </hyperlinks>
  <pageMargins left="0.7" right="0.7" top="0.75" bottom="0.75" header="0.3" footer="0.3"/>
  <pageSetup orientation="portrait" horizontalDpi="1200" verticalDpi="1200"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5355E-7408-42C6-AA57-9B13D8447609}">
  <sheetPr>
    <tabColor theme="9" tint="0.59999389629810485"/>
    <pageSetUpPr fitToPage="1"/>
  </sheetPr>
  <dimension ref="A1:AE44"/>
  <sheetViews>
    <sheetView workbookViewId="0">
      <selection activeCell="A13" sqref="A13"/>
    </sheetView>
  </sheetViews>
  <sheetFormatPr defaultColWidth="14.4140625" defaultRowHeight="15" customHeight="1" x14ac:dyDescent="0.25"/>
  <cols>
    <col min="1" max="1" width="34.58203125" style="94" customWidth="1"/>
    <col min="2" max="2" width="25.75" style="94" customWidth="1"/>
    <col min="3" max="3" width="29.75" style="94" customWidth="1"/>
    <col min="4" max="4" width="17.4140625" style="94" customWidth="1"/>
    <col min="5" max="7" width="15.58203125" style="94" customWidth="1"/>
    <col min="8" max="8" width="18.33203125" style="94" customWidth="1"/>
    <col min="9" max="9" width="15.08203125" style="94" customWidth="1"/>
    <col min="10" max="10" width="16.75" style="94" customWidth="1"/>
    <col min="11" max="11" width="17.4140625" style="94" customWidth="1"/>
    <col min="12" max="12" width="15.33203125" style="94" customWidth="1"/>
    <col min="13" max="13" width="15.58203125" style="94" bestFit="1" customWidth="1"/>
    <col min="14" max="14" width="17.58203125" style="94" customWidth="1"/>
    <col min="15" max="15" width="15.58203125" style="94" customWidth="1"/>
    <col min="16" max="16" width="16.08203125" style="94" customWidth="1"/>
    <col min="17" max="17" width="16.4140625" style="94" customWidth="1"/>
    <col min="18" max="18" width="14.4140625" style="94" customWidth="1"/>
    <col min="19" max="19" width="12.4140625" style="94" customWidth="1"/>
    <col min="20" max="20" width="16.75" style="94" customWidth="1"/>
    <col min="21" max="21" width="16.4140625" style="94" customWidth="1"/>
    <col min="22" max="22" width="17.08203125" style="94" customWidth="1"/>
    <col min="23" max="23" width="12.58203125" style="94" customWidth="1"/>
    <col min="24" max="24" width="7.58203125" style="94" customWidth="1"/>
    <col min="25" max="25" width="16.58203125" style="94" customWidth="1"/>
    <col min="26" max="26" width="19.4140625" style="94" customWidth="1"/>
    <col min="27" max="28" width="15.4140625" style="94" customWidth="1"/>
    <col min="29" max="29" width="15.75" style="94" customWidth="1"/>
    <col min="30" max="31" width="13.4140625" style="94" customWidth="1"/>
    <col min="32" max="32" width="19" style="94" customWidth="1"/>
    <col min="33" max="47" width="13.4140625" style="94" customWidth="1"/>
    <col min="48" max="16384" width="14.4140625" style="94"/>
  </cols>
  <sheetData>
    <row r="1" spans="1:31" ht="46.5" x14ac:dyDescent="0.35">
      <c r="A1" s="183" t="s">
        <v>488</v>
      </c>
      <c r="B1" s="86"/>
      <c r="C1" s="87" t="s">
        <v>489</v>
      </c>
      <c r="D1" s="88"/>
      <c r="E1" s="88"/>
      <c r="F1" s="88"/>
      <c r="G1" s="88"/>
      <c r="H1" s="88"/>
      <c r="I1" s="88"/>
      <c r="J1" s="88"/>
      <c r="K1" s="88"/>
      <c r="L1" s="88"/>
      <c r="M1" s="88"/>
      <c r="N1" s="89"/>
      <c r="O1" s="88"/>
      <c r="P1" s="88"/>
      <c r="Q1" s="90"/>
      <c r="R1" s="91" t="s">
        <v>490</v>
      </c>
      <c r="S1" s="92"/>
      <c r="T1" s="86"/>
      <c r="U1" s="92"/>
      <c r="V1" s="92"/>
      <c r="W1" s="86"/>
      <c r="X1" s="739" t="s">
        <v>491</v>
      </c>
      <c r="Y1" s="86"/>
      <c r="Z1" s="93"/>
      <c r="AA1" s="86"/>
      <c r="AB1" s="86"/>
      <c r="AC1" s="86"/>
      <c r="AD1" s="86"/>
      <c r="AE1" s="86"/>
    </row>
    <row r="2" spans="1:31" ht="52.25" customHeight="1" x14ac:dyDescent="0.35">
      <c r="A2" s="85" t="s">
        <v>492</v>
      </c>
      <c r="B2" s="86"/>
      <c r="C2" s="95" t="s">
        <v>493</v>
      </c>
      <c r="D2" s="92"/>
      <c r="E2" s="92"/>
      <c r="F2" s="92"/>
      <c r="G2" s="92"/>
      <c r="H2" s="92"/>
      <c r="I2" s="92"/>
      <c r="J2" s="92"/>
      <c r="K2" s="92"/>
      <c r="L2" s="92"/>
      <c r="M2" s="92"/>
      <c r="N2" s="92"/>
      <c r="O2" s="92"/>
      <c r="P2" s="92"/>
      <c r="Q2" s="96"/>
      <c r="R2" s="95" t="s">
        <v>493</v>
      </c>
      <c r="S2" s="92"/>
      <c r="T2" s="86"/>
      <c r="U2" s="92"/>
      <c r="V2" s="92"/>
      <c r="W2" s="86"/>
      <c r="X2" s="738"/>
      <c r="Y2" s="86"/>
      <c r="Z2" s="93"/>
      <c r="AA2" s="86"/>
      <c r="AB2" s="86"/>
      <c r="AC2" s="86"/>
      <c r="AD2" s="86"/>
      <c r="AE2" s="86"/>
    </row>
    <row r="3" spans="1:31" ht="31" x14ac:dyDescent="0.35">
      <c r="A3" s="85" t="s">
        <v>494</v>
      </c>
      <c r="B3" s="86"/>
      <c r="C3" s="91" t="s">
        <v>490</v>
      </c>
      <c r="D3" s="98"/>
      <c r="E3" s="92"/>
      <c r="F3" s="92"/>
      <c r="G3" s="92"/>
      <c r="H3" s="92"/>
      <c r="I3" s="99"/>
      <c r="J3" s="99"/>
      <c r="K3" s="99"/>
      <c r="L3" s="99"/>
      <c r="M3" s="99"/>
      <c r="N3" s="99"/>
      <c r="O3" s="99"/>
      <c r="P3" s="99"/>
      <c r="Q3" s="100"/>
      <c r="R3" s="99"/>
      <c r="S3" s="92"/>
      <c r="T3" s="99"/>
      <c r="U3" s="101"/>
      <c r="V3" s="92"/>
      <c r="W3" s="86"/>
      <c r="X3" s="738"/>
      <c r="Y3" s="86"/>
      <c r="Z3" s="93"/>
      <c r="AA3" s="86"/>
      <c r="AB3" s="86"/>
      <c r="AC3" s="86"/>
      <c r="AD3" s="86"/>
      <c r="AE3" s="86"/>
    </row>
    <row r="4" spans="1:31" ht="15.5" x14ac:dyDescent="0.35">
      <c r="A4" s="102" t="s">
        <v>608</v>
      </c>
      <c r="B4" s="103"/>
      <c r="C4" s="97"/>
      <c r="D4" s="98"/>
      <c r="E4" s="92"/>
      <c r="F4" s="92"/>
      <c r="G4" s="92"/>
      <c r="H4" s="92"/>
      <c r="I4" s="99"/>
      <c r="J4" s="99"/>
      <c r="K4" s="99"/>
      <c r="L4" s="99"/>
      <c r="M4" s="99"/>
      <c r="N4" s="99"/>
      <c r="O4" s="99"/>
      <c r="P4" s="99"/>
      <c r="Q4" s="100"/>
      <c r="R4" s="99"/>
      <c r="S4" s="92"/>
      <c r="T4" s="104"/>
      <c r="U4" s="101"/>
      <c r="V4" s="92"/>
      <c r="W4" s="86"/>
      <c r="X4" s="738"/>
      <c r="Y4" s="86"/>
      <c r="Z4" s="93"/>
      <c r="AA4" s="86"/>
      <c r="AB4" s="86"/>
      <c r="AC4" s="86"/>
      <c r="AD4" s="86"/>
      <c r="AE4" s="86"/>
    </row>
    <row r="5" spans="1:31" ht="16" thickBot="1" x14ac:dyDescent="0.4">
      <c r="A5" s="105" t="s">
        <v>744</v>
      </c>
      <c r="B5" s="106"/>
      <c r="C5" s="740" t="s">
        <v>609</v>
      </c>
      <c r="D5" s="738"/>
      <c r="E5" s="738"/>
      <c r="F5" s="738"/>
      <c r="G5" s="738"/>
      <c r="H5" s="738"/>
      <c r="I5" s="741" t="s">
        <v>495</v>
      </c>
      <c r="J5" s="738"/>
      <c r="K5" s="738"/>
      <c r="L5" s="738"/>
      <c r="M5" s="738"/>
      <c r="N5" s="738"/>
      <c r="O5" s="738"/>
      <c r="P5" s="738"/>
      <c r="Q5" s="738"/>
      <c r="R5" s="738"/>
      <c r="S5" s="107"/>
      <c r="T5" s="104" t="s">
        <v>496</v>
      </c>
      <c r="U5" s="101"/>
      <c r="V5" s="92"/>
      <c r="W5" s="86"/>
      <c r="X5" s="738"/>
      <c r="Y5" s="86"/>
      <c r="Z5" s="93"/>
      <c r="AA5" s="86"/>
      <c r="AB5" s="86"/>
      <c r="AC5" s="86"/>
      <c r="AD5" s="86"/>
      <c r="AE5" s="86"/>
    </row>
    <row r="6" spans="1:31" ht="12" customHeight="1" x14ac:dyDescent="0.35">
      <c r="B6" s="86"/>
      <c r="C6" s="108"/>
      <c r="D6" s="109"/>
      <c r="E6" s="107"/>
      <c r="F6" s="107"/>
      <c r="G6" s="107"/>
      <c r="H6" s="110" t="s">
        <v>497</v>
      </c>
      <c r="I6" s="111" t="e">
        <f t="shared" ref="I6:R6" si="0">(+I13-I29)/$Z$12</f>
        <v>#N/A</v>
      </c>
      <c r="J6" s="111" t="e">
        <f t="shared" si="0"/>
        <v>#N/A</v>
      </c>
      <c r="K6" s="111" t="e">
        <f t="shared" si="0"/>
        <v>#N/A</v>
      </c>
      <c r="L6" s="111" t="e">
        <f t="shared" si="0"/>
        <v>#N/A</v>
      </c>
      <c r="M6" s="111" t="e">
        <f t="shared" si="0"/>
        <v>#N/A</v>
      </c>
      <c r="N6" s="111" t="e">
        <f t="shared" si="0"/>
        <v>#N/A</v>
      </c>
      <c r="O6" s="111" t="e">
        <f t="shared" si="0"/>
        <v>#N/A</v>
      </c>
      <c r="P6" s="111" t="e">
        <f t="shared" si="0"/>
        <v>#N/A</v>
      </c>
      <c r="Q6" s="111" t="e">
        <f t="shared" si="0"/>
        <v>#N/A</v>
      </c>
      <c r="R6" s="111" t="e">
        <f t="shared" si="0"/>
        <v>#N/A</v>
      </c>
      <c r="S6" s="107"/>
      <c r="T6" s="112" t="e">
        <f>SUM(I6:S6)</f>
        <v>#N/A</v>
      </c>
      <c r="U6" s="113" t="s">
        <v>498</v>
      </c>
      <c r="V6" s="92"/>
      <c r="W6" s="86"/>
      <c r="X6" s="738"/>
      <c r="Y6" s="168"/>
      <c r="Z6" s="169"/>
      <c r="AA6" s="170"/>
      <c r="AB6" s="170"/>
      <c r="AC6" s="170"/>
      <c r="AD6" s="170"/>
      <c r="AE6" s="170"/>
    </row>
    <row r="7" spans="1:31" ht="15.5" x14ac:dyDescent="0.35">
      <c r="B7" s="86"/>
      <c r="C7" s="96"/>
      <c r="D7" s="92"/>
      <c r="E7" s="92"/>
      <c r="F7" s="92"/>
      <c r="G7" s="92"/>
      <c r="H7" s="92"/>
      <c r="I7" s="114"/>
      <c r="J7" s="114"/>
      <c r="K7" s="114"/>
      <c r="L7" s="114"/>
      <c r="M7" s="114"/>
      <c r="N7" s="114"/>
      <c r="O7" s="114"/>
      <c r="P7" s="114"/>
      <c r="Q7" s="115"/>
      <c r="R7" s="114"/>
      <c r="S7" s="96"/>
      <c r="T7" s="86"/>
      <c r="U7" s="113" t="s">
        <v>499</v>
      </c>
      <c r="V7" s="92"/>
      <c r="W7" s="86"/>
      <c r="X7" s="738"/>
      <c r="Y7" s="742" t="s">
        <v>614</v>
      </c>
      <c r="Z7" s="738"/>
      <c r="AA7" s="738"/>
      <c r="AB7" s="738"/>
      <c r="AC7" s="738"/>
      <c r="AD7" s="738"/>
      <c r="AE7" s="738"/>
    </row>
    <row r="8" spans="1:31" ht="15.5" x14ac:dyDescent="0.35">
      <c r="A8" s="116"/>
      <c r="B8" s="104" t="s">
        <v>500</v>
      </c>
      <c r="C8" s="117">
        <v>44783</v>
      </c>
      <c r="D8" s="117">
        <v>44814</v>
      </c>
      <c r="E8" s="117">
        <v>44844</v>
      </c>
      <c r="F8" s="117">
        <v>44875</v>
      </c>
      <c r="G8" s="117">
        <v>44905</v>
      </c>
      <c r="H8" s="117">
        <v>44571</v>
      </c>
      <c r="I8" s="118">
        <v>44602</v>
      </c>
      <c r="J8" s="118">
        <v>44630</v>
      </c>
      <c r="K8" s="118">
        <v>44644</v>
      </c>
      <c r="L8" s="118">
        <v>44661</v>
      </c>
      <c r="M8" s="119">
        <v>44691</v>
      </c>
      <c r="N8" s="119">
        <v>44705</v>
      </c>
      <c r="O8" s="118">
        <v>44722</v>
      </c>
      <c r="P8" s="119">
        <v>44736</v>
      </c>
      <c r="Q8" s="118">
        <v>44752</v>
      </c>
      <c r="R8" s="118">
        <v>44783</v>
      </c>
      <c r="S8" s="96"/>
      <c r="T8" s="116"/>
      <c r="U8" s="113"/>
      <c r="V8" s="96"/>
      <c r="W8" s="116"/>
      <c r="X8" s="738"/>
      <c r="Y8" s="171" t="s">
        <v>501</v>
      </c>
      <c r="Z8" s="172"/>
      <c r="AA8" s="116"/>
      <c r="AB8" s="116"/>
      <c r="AC8" s="116"/>
      <c r="AD8" s="116"/>
      <c r="AE8" s="116"/>
    </row>
    <row r="9" spans="1:31" ht="15.5" x14ac:dyDescent="0.35">
      <c r="A9" s="116"/>
      <c r="B9" s="104"/>
      <c r="C9" s="120"/>
      <c r="D9" s="120"/>
      <c r="E9" s="120"/>
      <c r="F9" s="120"/>
      <c r="G9" s="120"/>
      <c r="H9" s="120"/>
      <c r="I9" s="115"/>
      <c r="J9" s="115"/>
      <c r="K9" s="115"/>
      <c r="L9" s="115"/>
      <c r="M9" s="115"/>
      <c r="N9" s="115"/>
      <c r="O9" s="115"/>
      <c r="P9" s="115"/>
      <c r="Q9" s="115"/>
      <c r="R9" s="115"/>
      <c r="S9" s="96"/>
      <c r="T9" s="116"/>
      <c r="U9" s="113"/>
      <c r="W9" s="116"/>
      <c r="X9" s="738"/>
      <c r="Y9" s="171" t="s">
        <v>502</v>
      </c>
      <c r="Z9" s="172"/>
      <c r="AA9" s="116"/>
      <c r="AB9" s="116"/>
      <c r="AC9" s="116"/>
      <c r="AD9" s="116"/>
      <c r="AE9" s="116"/>
    </row>
    <row r="10" spans="1:31" ht="15.5" x14ac:dyDescent="0.35">
      <c r="A10" s="116"/>
      <c r="B10" s="104" t="s">
        <v>503</v>
      </c>
      <c r="C10" s="120" t="s">
        <v>504</v>
      </c>
      <c r="D10" s="120" t="s">
        <v>505</v>
      </c>
      <c r="E10" s="120" t="s">
        <v>506</v>
      </c>
      <c r="F10" s="120" t="s">
        <v>507</v>
      </c>
      <c r="G10" s="120" t="s">
        <v>508</v>
      </c>
      <c r="H10" s="120" t="s">
        <v>509</v>
      </c>
      <c r="I10" s="115" t="s">
        <v>510</v>
      </c>
      <c r="J10" s="115" t="s">
        <v>511</v>
      </c>
      <c r="K10" s="115" t="s">
        <v>512</v>
      </c>
      <c r="L10" s="115" t="s">
        <v>513</v>
      </c>
      <c r="M10" s="115" t="s">
        <v>514</v>
      </c>
      <c r="N10" s="115" t="s">
        <v>515</v>
      </c>
      <c r="O10" s="115" t="s">
        <v>516</v>
      </c>
      <c r="P10" s="115" t="s">
        <v>517</v>
      </c>
      <c r="Q10" s="115" t="s">
        <v>518</v>
      </c>
      <c r="R10" s="115" t="s">
        <v>504</v>
      </c>
      <c r="S10" s="96" t="s">
        <v>519</v>
      </c>
      <c r="T10" s="116" t="s">
        <v>496</v>
      </c>
      <c r="U10" s="113" t="s">
        <v>520</v>
      </c>
      <c r="V10" s="96" t="s">
        <v>521</v>
      </c>
      <c r="W10" s="116"/>
      <c r="X10" s="738"/>
      <c r="Y10" s="173"/>
      <c r="Z10" s="172"/>
      <c r="AA10" s="116"/>
      <c r="AB10" s="116"/>
      <c r="AC10" s="116"/>
      <c r="AD10" s="116"/>
      <c r="AE10" s="116"/>
    </row>
    <row r="11" spans="1:31" ht="17.5" customHeight="1" x14ac:dyDescent="0.35">
      <c r="A11" s="86"/>
      <c r="B11" s="121" t="s">
        <v>522</v>
      </c>
      <c r="C11" s="122" t="s">
        <v>523</v>
      </c>
      <c r="D11" s="122" t="s">
        <v>523</v>
      </c>
      <c r="E11" s="122" t="s">
        <v>523</v>
      </c>
      <c r="F11" s="122" t="s">
        <v>523</v>
      </c>
      <c r="G11" s="122" t="s">
        <v>523</v>
      </c>
      <c r="H11" s="122" t="s">
        <v>523</v>
      </c>
      <c r="I11" s="122" t="s">
        <v>523</v>
      </c>
      <c r="J11" s="122" t="s">
        <v>523</v>
      </c>
      <c r="K11" s="122" t="s">
        <v>523</v>
      </c>
      <c r="L11" s="122" t="s">
        <v>523</v>
      </c>
      <c r="M11" s="122" t="s">
        <v>523</v>
      </c>
      <c r="N11" s="122" t="s">
        <v>523</v>
      </c>
      <c r="O11" s="122" t="s">
        <v>523</v>
      </c>
      <c r="P11" s="122" t="s">
        <v>523</v>
      </c>
      <c r="Q11" s="123" t="s">
        <v>524</v>
      </c>
      <c r="R11" s="123" t="s">
        <v>524</v>
      </c>
      <c r="S11" s="92"/>
      <c r="T11" s="86"/>
      <c r="U11" s="101"/>
      <c r="V11" s="92"/>
      <c r="W11" s="86"/>
      <c r="X11" s="743" t="s">
        <v>491</v>
      </c>
      <c r="Y11" s="174"/>
      <c r="Z11" s="93"/>
      <c r="AA11" s="85"/>
      <c r="AB11" s="86"/>
      <c r="AC11" s="86"/>
      <c r="AD11" s="86"/>
      <c r="AE11" s="86"/>
    </row>
    <row r="12" spans="1:31" ht="24" customHeight="1" x14ac:dyDescent="0.35">
      <c r="A12" s="86"/>
      <c r="B12" s="124" t="s">
        <v>525</v>
      </c>
      <c r="C12" s="96"/>
      <c r="D12" s="92"/>
      <c r="E12" s="92"/>
      <c r="F12" s="92"/>
      <c r="G12" s="92"/>
      <c r="H12" s="92"/>
      <c r="I12" s="92"/>
      <c r="J12" s="92"/>
      <c r="K12" s="92"/>
      <c r="L12" s="92"/>
      <c r="M12" s="92"/>
      <c r="N12" s="92"/>
      <c r="O12" s="92"/>
      <c r="P12" s="92"/>
      <c r="Q12" s="96"/>
      <c r="R12" s="92"/>
      <c r="S12" s="92"/>
      <c r="T12" s="86"/>
      <c r="U12" s="101"/>
      <c r="V12" s="92"/>
      <c r="W12" s="86"/>
      <c r="X12" s="738"/>
      <c r="Y12" s="174"/>
      <c r="Z12" s="254" t="e">
        <f>+'BOE Resolution'!B30</f>
        <v>#N/A</v>
      </c>
      <c r="AA12" s="185" t="s">
        <v>737</v>
      </c>
      <c r="AB12" s="186"/>
      <c r="AC12" s="186"/>
      <c r="AD12" s="186"/>
      <c r="AE12" s="186"/>
    </row>
    <row r="13" spans="1:31" ht="48.75" customHeight="1" x14ac:dyDescent="0.25">
      <c r="A13" s="125" t="s">
        <v>526</v>
      </c>
      <c r="B13" s="126">
        <v>1110</v>
      </c>
      <c r="C13" s="255" t="s">
        <v>527</v>
      </c>
      <c r="D13" s="128"/>
      <c r="E13" s="128"/>
      <c r="F13" s="128"/>
      <c r="G13" s="128"/>
      <c r="H13" s="128"/>
      <c r="I13" s="128"/>
      <c r="J13" s="128"/>
      <c r="K13" s="128"/>
      <c r="L13" s="128"/>
      <c r="M13" s="128"/>
      <c r="N13" s="128">
        <v>1500000</v>
      </c>
      <c r="O13" s="128">
        <v>5000000</v>
      </c>
      <c r="P13" s="128">
        <v>5000000</v>
      </c>
      <c r="Q13" s="128"/>
      <c r="R13" s="129">
        <v>0</v>
      </c>
      <c r="S13" s="128"/>
      <c r="T13" s="130">
        <f>SUM(C13:S13)</f>
        <v>11500000</v>
      </c>
      <c r="U13" s="131">
        <v>4200000</v>
      </c>
      <c r="V13" s="130">
        <f>+T13+T18-T29-U13</f>
        <v>7300000</v>
      </c>
      <c r="W13" s="132"/>
      <c r="X13" s="738"/>
      <c r="Y13" s="175"/>
      <c r="Z13" s="187">
        <f>SUM(I13:R13)+SUM(I29:R29)</f>
        <v>11500000</v>
      </c>
      <c r="AA13" s="133" t="s">
        <v>528</v>
      </c>
      <c r="AB13" s="132"/>
      <c r="AC13" s="132"/>
      <c r="AD13" s="132"/>
      <c r="AE13" s="132"/>
    </row>
    <row r="14" spans="1:31" ht="15" customHeight="1" x14ac:dyDescent="0.25">
      <c r="A14" s="125" t="s">
        <v>529</v>
      </c>
      <c r="B14" s="126">
        <v>1140</v>
      </c>
      <c r="C14" s="129" t="s">
        <v>741</v>
      </c>
      <c r="D14" s="128"/>
      <c r="E14" s="128"/>
      <c r="F14" s="128"/>
      <c r="G14" s="128"/>
      <c r="H14" s="128"/>
      <c r="I14" s="128"/>
      <c r="J14" s="128"/>
      <c r="K14" s="128"/>
      <c r="L14" s="128"/>
      <c r="M14" s="128"/>
      <c r="N14" s="128"/>
      <c r="O14" s="128"/>
      <c r="P14" s="128"/>
      <c r="Q14" s="128"/>
      <c r="R14" s="134"/>
      <c r="S14" s="128"/>
      <c r="T14" s="135">
        <f>SUM(C14:S14)</f>
        <v>0</v>
      </c>
      <c r="U14" s="131">
        <v>1050</v>
      </c>
      <c r="V14" s="135">
        <f>U14-T14-T15-T27-T28-T30</f>
        <v>1050</v>
      </c>
      <c r="W14" s="136"/>
      <c r="X14" s="738"/>
      <c r="Y14" s="175"/>
      <c r="Z14" s="137" t="e">
        <f>Z12-Z13</f>
        <v>#N/A</v>
      </c>
      <c r="AA14" s="133" t="s">
        <v>530</v>
      </c>
      <c r="AB14" s="132"/>
      <c r="AC14" s="132"/>
      <c r="AD14" s="132"/>
      <c r="AE14" s="132"/>
    </row>
    <row r="15" spans="1:31" ht="15" customHeight="1" x14ac:dyDescent="0.35">
      <c r="A15" s="138" t="s">
        <v>531</v>
      </c>
      <c r="B15" s="104">
        <v>1140</v>
      </c>
      <c r="C15" s="129" t="s">
        <v>741</v>
      </c>
      <c r="D15" s="96"/>
      <c r="E15" s="96"/>
      <c r="F15" s="96"/>
      <c r="G15" s="96"/>
      <c r="H15" s="96"/>
      <c r="I15" s="96"/>
      <c r="J15" s="96"/>
      <c r="K15" s="96"/>
      <c r="L15" s="96"/>
      <c r="M15" s="96"/>
      <c r="N15" s="96"/>
      <c r="O15" s="96"/>
      <c r="P15" s="96"/>
      <c r="Q15" s="96"/>
      <c r="R15" s="139"/>
      <c r="S15" s="96"/>
      <c r="T15" s="140">
        <f>SUM(C15:S15)</f>
        <v>0</v>
      </c>
      <c r="U15" s="113"/>
      <c r="V15" s="96"/>
      <c r="W15" s="86"/>
      <c r="X15" s="738"/>
      <c r="Y15" s="176" t="s">
        <v>532</v>
      </c>
      <c r="Z15" s="177"/>
      <c r="AA15" s="177"/>
      <c r="AB15" s="177"/>
      <c r="AC15" s="177"/>
      <c r="AD15" s="177"/>
      <c r="AE15" s="92"/>
    </row>
    <row r="16" spans="1:31" ht="15" customHeight="1" x14ac:dyDescent="0.35">
      <c r="A16" s="138" t="s">
        <v>611</v>
      </c>
      <c r="B16" s="104">
        <v>1140</v>
      </c>
      <c r="C16" s="129" t="s">
        <v>741</v>
      </c>
      <c r="D16" s="96"/>
      <c r="E16" s="96"/>
      <c r="F16" s="96"/>
      <c r="G16" s="96"/>
      <c r="H16" s="96"/>
      <c r="I16" s="96"/>
      <c r="J16" s="96"/>
      <c r="K16" s="96"/>
      <c r="L16" s="96"/>
      <c r="M16" s="96"/>
      <c r="N16" s="96"/>
      <c r="O16" s="96"/>
      <c r="P16" s="96"/>
      <c r="Q16" s="96"/>
      <c r="R16" s="139"/>
      <c r="S16" s="96"/>
      <c r="T16" s="96"/>
      <c r="U16" s="113"/>
      <c r="V16" s="96"/>
      <c r="W16" s="86"/>
      <c r="X16" s="738"/>
      <c r="Y16" s="178"/>
      <c r="AA16" s="132"/>
      <c r="AB16" s="107" t="s">
        <v>533</v>
      </c>
      <c r="AC16" s="107" t="s">
        <v>534</v>
      </c>
      <c r="AD16" s="132"/>
      <c r="AE16" s="132"/>
    </row>
    <row r="17" spans="1:31" ht="15" customHeight="1" x14ac:dyDescent="0.35">
      <c r="A17" s="138" t="s">
        <v>535</v>
      </c>
      <c r="B17" s="104">
        <v>1120</v>
      </c>
      <c r="C17" s="129" t="s">
        <v>741</v>
      </c>
      <c r="D17" s="96"/>
      <c r="E17" s="96"/>
      <c r="F17" s="96"/>
      <c r="G17" s="96"/>
      <c r="H17" s="96"/>
      <c r="I17" s="96"/>
      <c r="J17" s="96"/>
      <c r="K17" s="96"/>
      <c r="L17" s="96"/>
      <c r="M17" s="96"/>
      <c r="N17" s="96"/>
      <c r="O17" s="96"/>
      <c r="P17" s="96"/>
      <c r="Q17" s="96"/>
      <c r="R17" s="139"/>
      <c r="S17" s="96"/>
      <c r="T17" s="96">
        <f>SUM(C17:S17)</f>
        <v>0</v>
      </c>
      <c r="U17" s="113">
        <v>50000</v>
      </c>
      <c r="V17" s="96">
        <f>+U17-T17</f>
        <v>50000</v>
      </c>
      <c r="W17" s="86"/>
      <c r="X17" s="738"/>
      <c r="Y17" s="179" t="s">
        <v>536</v>
      </c>
      <c r="AA17" s="167" t="s">
        <v>537</v>
      </c>
      <c r="AB17" s="96" t="e">
        <f>Z14</f>
        <v>#N/A</v>
      </c>
      <c r="AC17" s="96"/>
      <c r="AD17" s="92"/>
      <c r="AE17" s="92"/>
    </row>
    <row r="18" spans="1:31" ht="15" customHeight="1" x14ac:dyDescent="0.35">
      <c r="A18" s="138" t="s">
        <v>538</v>
      </c>
      <c r="B18" s="104">
        <v>1110</v>
      </c>
      <c r="C18" s="96"/>
      <c r="D18" s="96"/>
      <c r="E18" s="96"/>
      <c r="F18" s="96"/>
      <c r="G18" s="96"/>
      <c r="H18" s="96"/>
      <c r="I18" s="96"/>
      <c r="J18" s="96"/>
      <c r="K18" s="96"/>
      <c r="L18" s="96"/>
      <c r="M18" s="96"/>
      <c r="N18" s="96"/>
      <c r="O18" s="96"/>
      <c r="P18" s="96"/>
      <c r="Q18" s="96"/>
      <c r="R18" s="96"/>
      <c r="S18" s="96"/>
      <c r="T18" s="141">
        <f>SUM(C18:S18)</f>
        <v>0</v>
      </c>
      <c r="U18" s="113"/>
      <c r="V18" s="96"/>
      <c r="W18" s="86"/>
      <c r="X18" s="738"/>
      <c r="Y18" s="179" t="s">
        <v>613</v>
      </c>
      <c r="AA18" s="167" t="s">
        <v>539</v>
      </c>
      <c r="AB18" s="96"/>
      <c r="AC18" s="96" t="e">
        <f>Z14</f>
        <v>#N/A</v>
      </c>
      <c r="AD18" s="92"/>
      <c r="AE18" s="92"/>
    </row>
    <row r="19" spans="1:31" ht="15" customHeight="1" thickBot="1" x14ac:dyDescent="0.4">
      <c r="A19" s="138" t="s">
        <v>540</v>
      </c>
      <c r="B19" s="104">
        <v>2030</v>
      </c>
      <c r="C19" s="96"/>
      <c r="D19" s="96"/>
      <c r="E19" s="96"/>
      <c r="F19" s="96"/>
      <c r="G19" s="96"/>
      <c r="H19" s="96"/>
      <c r="I19" s="96"/>
      <c r="J19" s="96"/>
      <c r="K19" s="96"/>
      <c r="L19" s="96"/>
      <c r="M19" s="96"/>
      <c r="N19" s="96"/>
      <c r="O19" s="96"/>
      <c r="P19" s="96"/>
      <c r="Q19" s="96"/>
      <c r="R19" s="96"/>
      <c r="S19" s="96"/>
      <c r="T19" s="96">
        <f>SUM(C19:S19)</f>
        <v>0</v>
      </c>
      <c r="U19" s="113"/>
      <c r="V19" s="96">
        <f>+U19-T19</f>
        <v>0</v>
      </c>
      <c r="W19" s="86"/>
      <c r="X19" s="738"/>
      <c r="Y19" s="180"/>
      <c r="Z19" s="181"/>
      <c r="AA19" s="182"/>
      <c r="AB19" s="182"/>
      <c r="AC19" s="182"/>
      <c r="AD19" s="182"/>
      <c r="AE19" s="182"/>
    </row>
    <row r="20" spans="1:31" ht="12" customHeight="1" x14ac:dyDescent="0.35">
      <c r="A20" s="86"/>
      <c r="B20" s="116"/>
      <c r="C20" s="96"/>
      <c r="D20" s="96"/>
      <c r="E20" s="96"/>
      <c r="F20" s="96"/>
      <c r="G20" s="96"/>
      <c r="H20" s="96"/>
      <c r="I20" s="96"/>
      <c r="J20" s="96"/>
      <c r="K20" s="96"/>
      <c r="L20" s="96"/>
      <c r="M20" s="96"/>
      <c r="N20" s="96"/>
      <c r="O20" s="96"/>
      <c r="P20" s="96"/>
      <c r="Q20" s="96"/>
      <c r="R20" s="96"/>
      <c r="S20" s="96"/>
      <c r="T20" s="116"/>
      <c r="U20" s="113"/>
      <c r="V20" s="96"/>
      <c r="W20" s="86"/>
      <c r="X20" s="738"/>
      <c r="Y20" s="86"/>
      <c r="Z20" s="93"/>
      <c r="AA20" s="86"/>
      <c r="AB20" s="86"/>
      <c r="AC20" s="86"/>
      <c r="AD20" s="86"/>
      <c r="AE20" s="86"/>
    </row>
    <row r="21" spans="1:31" ht="14.5" customHeight="1" x14ac:dyDescent="0.35">
      <c r="A21" s="86"/>
      <c r="B21" s="104" t="s">
        <v>541</v>
      </c>
      <c r="C21" s="142">
        <f t="shared" ref="C21:V21" si="1">SUM(C13:C20)</f>
        <v>0</v>
      </c>
      <c r="D21" s="142">
        <f t="shared" si="1"/>
        <v>0</v>
      </c>
      <c r="E21" s="142">
        <f t="shared" si="1"/>
        <v>0</v>
      </c>
      <c r="F21" s="142">
        <f t="shared" si="1"/>
        <v>0</v>
      </c>
      <c r="G21" s="142">
        <f t="shared" si="1"/>
        <v>0</v>
      </c>
      <c r="H21" s="142">
        <f t="shared" si="1"/>
        <v>0</v>
      </c>
      <c r="I21" s="142">
        <f t="shared" si="1"/>
        <v>0</v>
      </c>
      <c r="J21" s="142">
        <f t="shared" si="1"/>
        <v>0</v>
      </c>
      <c r="K21" s="142">
        <f t="shared" si="1"/>
        <v>0</v>
      </c>
      <c r="L21" s="142">
        <f t="shared" si="1"/>
        <v>0</v>
      </c>
      <c r="M21" s="142">
        <f t="shared" si="1"/>
        <v>0</v>
      </c>
      <c r="N21" s="142">
        <f t="shared" si="1"/>
        <v>1500000</v>
      </c>
      <c r="O21" s="142">
        <f t="shared" si="1"/>
        <v>5000000</v>
      </c>
      <c r="P21" s="142">
        <f t="shared" si="1"/>
        <v>5000000</v>
      </c>
      <c r="Q21" s="142">
        <f t="shared" si="1"/>
        <v>0</v>
      </c>
      <c r="R21" s="142">
        <f t="shared" si="1"/>
        <v>0</v>
      </c>
      <c r="S21" s="142">
        <f t="shared" si="1"/>
        <v>0</v>
      </c>
      <c r="T21" s="142">
        <f t="shared" si="1"/>
        <v>11500000</v>
      </c>
      <c r="U21" s="143">
        <f t="shared" si="1"/>
        <v>4251050</v>
      </c>
      <c r="V21" s="142">
        <f t="shared" si="1"/>
        <v>7351050</v>
      </c>
      <c r="W21" s="86"/>
      <c r="X21" s="738"/>
      <c r="Y21" s="144" t="s">
        <v>542</v>
      </c>
      <c r="Z21" s="145"/>
      <c r="AA21" s="145"/>
      <c r="AB21" s="145"/>
      <c r="AC21" s="145"/>
      <c r="AD21" s="145"/>
      <c r="AE21" s="145"/>
    </row>
    <row r="22" spans="1:31" ht="17" customHeight="1" x14ac:dyDescent="0.35">
      <c r="A22" s="86"/>
      <c r="B22" s="124" t="s">
        <v>525</v>
      </c>
      <c r="C22" s="96"/>
      <c r="D22" s="96"/>
      <c r="E22" s="96"/>
      <c r="F22" s="96"/>
      <c r="G22" s="96"/>
      <c r="H22" s="96"/>
      <c r="I22" s="96"/>
      <c r="J22" s="96"/>
      <c r="K22" s="96"/>
      <c r="L22" s="96"/>
      <c r="M22" s="96"/>
      <c r="N22" s="96"/>
      <c r="O22" s="96"/>
      <c r="P22" s="96"/>
      <c r="Q22" s="96"/>
      <c r="R22" s="96"/>
      <c r="S22" s="96"/>
      <c r="T22" s="96"/>
      <c r="U22" s="113"/>
      <c r="V22" s="96"/>
      <c r="W22" s="86"/>
      <c r="X22" s="738"/>
      <c r="Y22" s="92" t="s">
        <v>543</v>
      </c>
      <c r="Z22" s="93"/>
      <c r="AA22" s="92"/>
      <c r="AB22" s="92"/>
      <c r="AC22" s="92"/>
      <c r="AD22" s="92"/>
      <c r="AE22" s="92"/>
    </row>
    <row r="23" spans="1:31" ht="15" customHeight="1" x14ac:dyDescent="0.35">
      <c r="A23" s="138" t="s">
        <v>544</v>
      </c>
      <c r="B23" s="116">
        <v>1141</v>
      </c>
      <c r="C23" s="129" t="s">
        <v>741</v>
      </c>
      <c r="D23" s="96"/>
      <c r="E23" s="96"/>
      <c r="F23" s="96"/>
      <c r="G23" s="96"/>
      <c r="H23" s="96"/>
      <c r="I23" s="96"/>
      <c r="J23" s="96"/>
      <c r="K23" s="96"/>
      <c r="L23" s="96"/>
      <c r="M23" s="96"/>
      <c r="N23" s="96"/>
      <c r="O23" s="96"/>
      <c r="P23" s="96"/>
      <c r="Q23" s="96"/>
      <c r="R23" s="146"/>
      <c r="S23" s="96"/>
      <c r="T23" s="147">
        <f t="shared" ref="T23:T30" si="2">SUM(C23:S23)</f>
        <v>0</v>
      </c>
      <c r="U23" s="113">
        <v>-2200</v>
      </c>
      <c r="V23" s="147">
        <f>U23-T23-T24-T25-T26</f>
        <v>-2200</v>
      </c>
      <c r="W23" s="148"/>
      <c r="X23" s="738"/>
      <c r="Y23" s="92"/>
      <c r="Z23" s="149" t="e">
        <f>Z14</f>
        <v>#N/A</v>
      </c>
      <c r="AA23" s="133" t="s">
        <v>545</v>
      </c>
      <c r="AB23" s="92"/>
      <c r="AC23" s="92"/>
      <c r="AD23" s="92"/>
      <c r="AE23" s="92"/>
    </row>
    <row r="24" spans="1:31" ht="15" customHeight="1" x14ac:dyDescent="0.35">
      <c r="A24" s="138" t="s">
        <v>546</v>
      </c>
      <c r="B24" s="116">
        <v>1141</v>
      </c>
      <c r="C24" s="129" t="s">
        <v>741</v>
      </c>
      <c r="D24" s="96"/>
      <c r="E24" s="96"/>
      <c r="F24" s="96"/>
      <c r="G24" s="96"/>
      <c r="H24" s="96"/>
      <c r="I24" s="96"/>
      <c r="J24" s="96"/>
      <c r="K24" s="96"/>
      <c r="L24" s="96"/>
      <c r="M24" s="96"/>
      <c r="N24" s="96"/>
      <c r="O24" s="96"/>
      <c r="P24" s="96"/>
      <c r="Q24" s="96"/>
      <c r="R24" s="146"/>
      <c r="S24" s="96"/>
      <c r="T24" s="147">
        <f t="shared" si="2"/>
        <v>0</v>
      </c>
      <c r="U24" s="113"/>
      <c r="V24" s="96"/>
      <c r="W24" s="86"/>
      <c r="X24" s="150"/>
      <c r="Y24" s="92"/>
      <c r="Z24" s="93"/>
      <c r="AA24" s="92" t="s">
        <v>547</v>
      </c>
      <c r="AB24" s="92"/>
      <c r="AC24" s="92"/>
      <c r="AD24" s="92"/>
      <c r="AE24" s="92"/>
    </row>
    <row r="25" spans="1:31" ht="15" customHeight="1" x14ac:dyDescent="0.35">
      <c r="A25" s="138" t="s">
        <v>548</v>
      </c>
      <c r="B25" s="116">
        <v>1141</v>
      </c>
      <c r="C25" s="129" t="s">
        <v>741</v>
      </c>
      <c r="D25" s="96"/>
      <c r="E25" s="96"/>
      <c r="F25" s="96"/>
      <c r="G25" s="96"/>
      <c r="H25" s="96"/>
      <c r="I25" s="96"/>
      <c r="J25" s="96"/>
      <c r="K25" s="96"/>
      <c r="L25" s="96"/>
      <c r="M25" s="96"/>
      <c r="N25" s="96"/>
      <c r="O25" s="96"/>
      <c r="P25" s="96"/>
      <c r="Q25" s="96"/>
      <c r="R25" s="146"/>
      <c r="S25" s="96"/>
      <c r="T25" s="147">
        <f t="shared" si="2"/>
        <v>0</v>
      </c>
      <c r="U25" s="113"/>
      <c r="V25" s="96"/>
      <c r="W25" s="86"/>
      <c r="X25" s="150"/>
      <c r="Y25" s="92"/>
      <c r="Z25" s="151" t="e">
        <f>Z23/Z24-1</f>
        <v>#N/A</v>
      </c>
      <c r="AA25" s="152" t="s">
        <v>549</v>
      </c>
      <c r="AB25" s="92"/>
      <c r="AC25" s="92"/>
      <c r="AD25" s="92"/>
      <c r="AE25" s="92"/>
    </row>
    <row r="26" spans="1:31" ht="15" customHeight="1" x14ac:dyDescent="0.35">
      <c r="A26" s="138" t="s">
        <v>550</v>
      </c>
      <c r="B26" s="116">
        <v>1141</v>
      </c>
      <c r="C26" s="129" t="s">
        <v>741</v>
      </c>
      <c r="D26" s="96"/>
      <c r="E26" s="96"/>
      <c r="F26" s="96"/>
      <c r="G26" s="96"/>
      <c r="H26" s="96"/>
      <c r="I26" s="96"/>
      <c r="J26" s="96"/>
      <c r="K26" s="96"/>
      <c r="L26" s="96"/>
      <c r="M26" s="96"/>
      <c r="N26" s="96"/>
      <c r="O26" s="96"/>
      <c r="P26" s="96"/>
      <c r="Q26" s="96"/>
      <c r="R26" s="146"/>
      <c r="S26" s="96"/>
      <c r="T26" s="147">
        <f t="shared" si="2"/>
        <v>0</v>
      </c>
      <c r="U26" s="113"/>
      <c r="V26" s="96"/>
      <c r="W26" s="86"/>
      <c r="X26" s="150"/>
      <c r="Y26" s="92"/>
      <c r="Z26" s="93"/>
      <c r="AA26" s="92"/>
      <c r="AB26" s="92"/>
      <c r="AC26" s="92"/>
      <c r="AD26" s="92"/>
      <c r="AE26" s="92"/>
    </row>
    <row r="27" spans="1:31" ht="15" customHeight="1" x14ac:dyDescent="0.35">
      <c r="A27" s="138" t="s">
        <v>551</v>
      </c>
      <c r="B27" s="116">
        <v>1140</v>
      </c>
      <c r="C27" s="129" t="s">
        <v>741</v>
      </c>
      <c r="D27" s="96"/>
      <c r="E27" s="96"/>
      <c r="F27" s="96"/>
      <c r="G27" s="96"/>
      <c r="H27" s="96"/>
      <c r="I27" s="96"/>
      <c r="J27" s="96"/>
      <c r="K27" s="96"/>
      <c r="L27" s="96"/>
      <c r="M27" s="96"/>
      <c r="N27" s="96"/>
      <c r="O27" s="96"/>
      <c r="P27" s="96"/>
      <c r="Q27" s="96"/>
      <c r="R27" s="139"/>
      <c r="S27" s="96"/>
      <c r="T27" s="140">
        <f t="shared" si="2"/>
        <v>0</v>
      </c>
      <c r="U27" s="113"/>
      <c r="V27" s="96"/>
      <c r="W27" s="86"/>
      <c r="X27" s="744" t="s">
        <v>491</v>
      </c>
      <c r="Y27" s="92"/>
      <c r="Z27" s="93"/>
      <c r="AA27" s="92"/>
      <c r="AB27" s="92"/>
      <c r="AC27" s="92"/>
      <c r="AD27" s="92"/>
      <c r="AE27" s="92"/>
    </row>
    <row r="28" spans="1:31" ht="15" customHeight="1" x14ac:dyDescent="0.35">
      <c r="A28" s="138" t="s">
        <v>552</v>
      </c>
      <c r="B28" s="116">
        <v>1140</v>
      </c>
      <c r="C28" s="129" t="s">
        <v>741</v>
      </c>
      <c r="D28" s="96"/>
      <c r="E28" s="96"/>
      <c r="F28" s="96"/>
      <c r="G28" s="96"/>
      <c r="H28" s="96"/>
      <c r="I28" s="96"/>
      <c r="J28" s="96"/>
      <c r="K28" s="96"/>
      <c r="L28" s="96"/>
      <c r="M28" s="96"/>
      <c r="N28" s="96"/>
      <c r="O28" s="96"/>
      <c r="P28" s="96"/>
      <c r="Q28" s="96"/>
      <c r="R28" s="139"/>
      <c r="S28" s="96"/>
      <c r="T28" s="140">
        <f t="shared" si="2"/>
        <v>0</v>
      </c>
      <c r="U28" s="113"/>
      <c r="V28" s="96"/>
      <c r="W28" s="86"/>
      <c r="X28" s="738"/>
      <c r="Y28" s="92"/>
      <c r="Z28" s="93"/>
      <c r="AA28" s="92"/>
      <c r="AB28" s="92"/>
      <c r="AC28" s="92"/>
      <c r="AD28" s="92"/>
      <c r="AE28" s="92"/>
    </row>
    <row r="29" spans="1:31" ht="31" x14ac:dyDescent="0.35">
      <c r="A29" s="125" t="s">
        <v>553</v>
      </c>
      <c r="B29" s="153">
        <v>1110</v>
      </c>
      <c r="C29" s="91" t="s">
        <v>527</v>
      </c>
      <c r="D29" s="128"/>
      <c r="E29" s="128"/>
      <c r="F29" s="128"/>
      <c r="G29" s="128"/>
      <c r="H29" s="128"/>
      <c r="I29" s="128"/>
      <c r="J29" s="128"/>
      <c r="K29" s="128"/>
      <c r="L29" s="128"/>
      <c r="M29" s="128"/>
      <c r="N29" s="128"/>
      <c r="O29" s="128"/>
      <c r="P29" s="128"/>
      <c r="Q29" s="128"/>
      <c r="R29" s="129"/>
      <c r="S29" s="128"/>
      <c r="T29" s="130">
        <f t="shared" si="2"/>
        <v>0</v>
      </c>
      <c r="U29" s="131"/>
      <c r="V29" s="128"/>
      <c r="W29" s="154"/>
      <c r="X29" s="738"/>
      <c r="Y29" s="132"/>
      <c r="Z29" s="155"/>
      <c r="AA29" s="132"/>
      <c r="AB29" s="132"/>
      <c r="AC29" s="132"/>
      <c r="AD29" s="132"/>
      <c r="AE29" s="132"/>
    </row>
    <row r="30" spans="1:31" ht="15" customHeight="1" x14ac:dyDescent="0.35">
      <c r="A30" s="138" t="s">
        <v>554</v>
      </c>
      <c r="B30" s="116">
        <v>1140</v>
      </c>
      <c r="C30" s="129" t="s">
        <v>741</v>
      </c>
      <c r="D30" s="96"/>
      <c r="E30" s="96"/>
      <c r="F30" s="96"/>
      <c r="G30" s="96"/>
      <c r="H30" s="96"/>
      <c r="I30" s="96"/>
      <c r="J30" s="96"/>
      <c r="K30" s="96"/>
      <c r="L30" s="96"/>
      <c r="M30" s="96"/>
      <c r="N30" s="96"/>
      <c r="O30" s="96"/>
      <c r="P30" s="96"/>
      <c r="Q30" s="96"/>
      <c r="R30" s="139"/>
      <c r="S30" s="96"/>
      <c r="T30" s="140">
        <f t="shared" si="2"/>
        <v>0</v>
      </c>
      <c r="U30" s="113"/>
      <c r="V30" s="96"/>
      <c r="W30" s="86"/>
      <c r="X30" s="738"/>
      <c r="Y30" s="92"/>
      <c r="Z30" s="93"/>
      <c r="AA30" s="92"/>
      <c r="AB30" s="92"/>
      <c r="AC30" s="92"/>
      <c r="AD30" s="92"/>
      <c r="AE30" s="92"/>
    </row>
    <row r="31" spans="1:31" ht="15" customHeight="1" x14ac:dyDescent="0.35">
      <c r="A31" s="737" t="s">
        <v>555</v>
      </c>
      <c r="B31" s="738"/>
      <c r="C31" s="90"/>
      <c r="D31" s="96"/>
      <c r="E31" s="96"/>
      <c r="F31" s="96"/>
      <c r="G31" s="96"/>
      <c r="H31" s="96"/>
      <c r="I31" s="96"/>
      <c r="J31" s="96"/>
      <c r="K31" s="96"/>
      <c r="L31" s="96"/>
      <c r="M31" s="96"/>
      <c r="N31" s="96"/>
      <c r="O31" s="96"/>
      <c r="P31" s="96"/>
      <c r="Q31" s="96"/>
      <c r="R31" s="139"/>
      <c r="S31" s="96"/>
      <c r="T31" s="96"/>
      <c r="U31" s="113"/>
      <c r="V31" s="96"/>
      <c r="W31" s="86"/>
      <c r="X31" s="738"/>
      <c r="Y31" s="92"/>
      <c r="Z31" s="93"/>
      <c r="AA31" s="92"/>
      <c r="AB31" s="92"/>
      <c r="AC31" s="92"/>
      <c r="AD31" s="92"/>
      <c r="AE31" s="92"/>
    </row>
    <row r="32" spans="1:31" ht="30" customHeight="1" x14ac:dyDescent="0.25">
      <c r="A32" s="156" t="s">
        <v>556</v>
      </c>
      <c r="B32" s="157" t="s">
        <v>557</v>
      </c>
      <c r="C32" s="129" t="s">
        <v>741</v>
      </c>
      <c r="D32" s="127"/>
      <c r="E32" s="127"/>
      <c r="F32" s="127"/>
      <c r="G32" s="127"/>
      <c r="H32" s="127"/>
      <c r="I32" s="127"/>
      <c r="J32" s="127"/>
      <c r="K32" s="127"/>
      <c r="L32" s="127"/>
      <c r="M32" s="127"/>
      <c r="N32" s="127"/>
      <c r="O32" s="127"/>
      <c r="P32" s="127"/>
      <c r="Q32" s="127"/>
      <c r="R32" s="158"/>
      <c r="S32" s="127"/>
      <c r="T32" s="159">
        <f>SUM(C32:S32)</f>
        <v>0</v>
      </c>
      <c r="U32" s="160">
        <v>-100</v>
      </c>
      <c r="V32" s="159">
        <f>+U32-T32</f>
        <v>-100</v>
      </c>
      <c r="W32" s="157"/>
      <c r="X32" s="738"/>
      <c r="Y32" s="127"/>
      <c r="Z32" s="161"/>
      <c r="AA32" s="127"/>
      <c r="AB32" s="127"/>
      <c r="AC32" s="127"/>
      <c r="AD32" s="127"/>
      <c r="AE32" s="127"/>
    </row>
    <row r="33" spans="1:24" ht="12" customHeight="1" x14ac:dyDescent="0.35">
      <c r="A33" s="86"/>
      <c r="B33" s="86"/>
      <c r="C33" s="96"/>
      <c r="D33" s="96"/>
      <c r="E33" s="96"/>
      <c r="F33" s="96"/>
      <c r="G33" s="96"/>
      <c r="H33" s="96"/>
      <c r="I33" s="96"/>
      <c r="J33" s="96"/>
      <c r="K33" s="96"/>
      <c r="L33" s="96"/>
      <c r="M33" s="96"/>
      <c r="N33" s="96"/>
      <c r="O33" s="96"/>
      <c r="P33" s="96"/>
      <c r="Q33" s="96"/>
      <c r="R33" s="96"/>
      <c r="S33" s="96"/>
      <c r="T33" s="96"/>
      <c r="U33" s="113"/>
      <c r="V33" s="96"/>
      <c r="W33" s="86"/>
      <c r="X33" s="738"/>
    </row>
    <row r="34" spans="1:24" ht="15.5" x14ac:dyDescent="0.35">
      <c r="A34" s="85"/>
      <c r="B34" s="104" t="s">
        <v>558</v>
      </c>
      <c r="C34" s="142">
        <f t="shared" ref="C34:V34" si="3">SUM(C23:C33)</f>
        <v>0</v>
      </c>
      <c r="D34" s="142">
        <f t="shared" si="3"/>
        <v>0</v>
      </c>
      <c r="E34" s="142">
        <f t="shared" si="3"/>
        <v>0</v>
      </c>
      <c r="F34" s="142">
        <f t="shared" si="3"/>
        <v>0</v>
      </c>
      <c r="G34" s="142">
        <f t="shared" si="3"/>
        <v>0</v>
      </c>
      <c r="H34" s="142">
        <f t="shared" si="3"/>
        <v>0</v>
      </c>
      <c r="I34" s="142">
        <f t="shared" si="3"/>
        <v>0</v>
      </c>
      <c r="J34" s="142">
        <f t="shared" si="3"/>
        <v>0</v>
      </c>
      <c r="K34" s="142">
        <f t="shared" si="3"/>
        <v>0</v>
      </c>
      <c r="L34" s="142">
        <f t="shared" si="3"/>
        <v>0</v>
      </c>
      <c r="M34" s="142">
        <f t="shared" si="3"/>
        <v>0</v>
      </c>
      <c r="N34" s="142">
        <f t="shared" si="3"/>
        <v>0</v>
      </c>
      <c r="O34" s="142">
        <f t="shared" si="3"/>
        <v>0</v>
      </c>
      <c r="P34" s="142">
        <f t="shared" si="3"/>
        <v>0</v>
      </c>
      <c r="Q34" s="142">
        <f t="shared" si="3"/>
        <v>0</v>
      </c>
      <c r="R34" s="142">
        <f t="shared" si="3"/>
        <v>0</v>
      </c>
      <c r="S34" s="142">
        <f t="shared" si="3"/>
        <v>0</v>
      </c>
      <c r="T34" s="142">
        <f t="shared" si="3"/>
        <v>0</v>
      </c>
      <c r="U34" s="143">
        <f t="shared" si="3"/>
        <v>-2300</v>
      </c>
      <c r="V34" s="142">
        <f t="shared" si="3"/>
        <v>-2300</v>
      </c>
      <c r="W34" s="85"/>
      <c r="X34" s="738"/>
    </row>
    <row r="35" spans="1:24" ht="15.5" x14ac:dyDescent="0.35">
      <c r="A35" s="86"/>
      <c r="B35" s="86"/>
      <c r="C35" s="96"/>
      <c r="D35" s="96"/>
      <c r="E35" s="96"/>
      <c r="F35" s="96"/>
      <c r="G35" s="96"/>
      <c r="H35" s="96"/>
      <c r="I35" s="96"/>
      <c r="J35" s="96"/>
      <c r="K35" s="96"/>
      <c r="L35" s="96"/>
      <c r="M35" s="96"/>
      <c r="N35" s="96"/>
      <c r="O35" s="96"/>
      <c r="P35" s="96"/>
      <c r="Q35" s="96"/>
      <c r="R35" s="96"/>
      <c r="S35" s="96"/>
      <c r="T35" s="96"/>
      <c r="U35" s="113"/>
      <c r="V35" s="96"/>
      <c r="W35" s="86"/>
      <c r="X35" s="738"/>
    </row>
    <row r="36" spans="1:24" ht="12" customHeight="1" x14ac:dyDescent="0.35">
      <c r="A36" s="85"/>
      <c r="B36" s="162" t="s">
        <v>559</v>
      </c>
      <c r="C36" s="142">
        <f t="shared" ref="C36:U36" si="4">C21+C34</f>
        <v>0</v>
      </c>
      <c r="D36" s="142">
        <f t="shared" si="4"/>
        <v>0</v>
      </c>
      <c r="E36" s="142">
        <f t="shared" si="4"/>
        <v>0</v>
      </c>
      <c r="F36" s="142">
        <f t="shared" si="4"/>
        <v>0</v>
      </c>
      <c r="G36" s="142">
        <f t="shared" si="4"/>
        <v>0</v>
      </c>
      <c r="H36" s="142">
        <f t="shared" si="4"/>
        <v>0</v>
      </c>
      <c r="I36" s="142">
        <f t="shared" si="4"/>
        <v>0</v>
      </c>
      <c r="J36" s="142">
        <f t="shared" si="4"/>
        <v>0</v>
      </c>
      <c r="K36" s="142">
        <f t="shared" si="4"/>
        <v>0</v>
      </c>
      <c r="L36" s="142">
        <f t="shared" si="4"/>
        <v>0</v>
      </c>
      <c r="M36" s="142">
        <f t="shared" si="4"/>
        <v>0</v>
      </c>
      <c r="N36" s="142">
        <f t="shared" si="4"/>
        <v>1500000</v>
      </c>
      <c r="O36" s="142">
        <f t="shared" si="4"/>
        <v>5000000</v>
      </c>
      <c r="P36" s="142">
        <f t="shared" si="4"/>
        <v>5000000</v>
      </c>
      <c r="Q36" s="142">
        <f t="shared" si="4"/>
        <v>0</v>
      </c>
      <c r="R36" s="142">
        <f t="shared" si="4"/>
        <v>0</v>
      </c>
      <c r="S36" s="142">
        <f t="shared" si="4"/>
        <v>0</v>
      </c>
      <c r="T36" s="142">
        <f t="shared" si="4"/>
        <v>11500000</v>
      </c>
      <c r="U36" s="143">
        <f t="shared" si="4"/>
        <v>4248750</v>
      </c>
      <c r="V36" s="142">
        <f>U36-T36</f>
        <v>-7251250</v>
      </c>
      <c r="W36" s="85"/>
      <c r="X36" s="738"/>
    </row>
    <row r="37" spans="1:24" ht="12" customHeight="1" x14ac:dyDescent="0.35">
      <c r="A37" s="86"/>
      <c r="B37" s="86"/>
      <c r="C37" s="96"/>
      <c r="D37" s="96"/>
      <c r="E37" s="96"/>
      <c r="F37" s="96"/>
      <c r="G37" s="96"/>
      <c r="H37" s="96"/>
      <c r="I37" s="96"/>
      <c r="J37" s="96"/>
      <c r="K37" s="96"/>
      <c r="L37" s="96"/>
      <c r="M37" s="96"/>
      <c r="N37" s="96"/>
      <c r="O37" s="96"/>
      <c r="P37" s="96"/>
      <c r="Q37" s="96"/>
      <c r="R37" s="96"/>
      <c r="S37" s="96"/>
      <c r="T37" s="116"/>
      <c r="U37" s="113"/>
      <c r="V37" s="96"/>
      <c r="W37" s="86"/>
      <c r="X37" s="738"/>
    </row>
    <row r="38" spans="1:24" ht="12" customHeight="1" x14ac:dyDescent="0.35">
      <c r="A38" s="86"/>
      <c r="B38" s="86"/>
      <c r="C38" s="163"/>
      <c r="D38" s="164"/>
      <c r="E38" s="164"/>
      <c r="F38" s="164"/>
      <c r="G38" s="164"/>
      <c r="H38" s="164"/>
      <c r="I38" s="164"/>
      <c r="J38" s="164"/>
      <c r="K38" s="164"/>
      <c r="L38" s="164"/>
      <c r="M38" s="164"/>
      <c r="N38" s="164"/>
      <c r="O38" s="164"/>
      <c r="P38" s="164"/>
      <c r="Q38" s="163"/>
      <c r="R38" s="164"/>
      <c r="S38" s="164"/>
      <c r="T38" s="164"/>
      <c r="U38" s="92"/>
      <c r="V38" s="92"/>
      <c r="W38" s="86"/>
      <c r="X38" s="165"/>
    </row>
    <row r="39" spans="1:24" ht="12" customHeight="1" x14ac:dyDescent="0.35">
      <c r="A39" s="86"/>
      <c r="B39" s="86"/>
      <c r="C39" s="96"/>
      <c r="D39" s="92"/>
      <c r="E39" s="92"/>
      <c r="F39" s="92"/>
      <c r="G39" s="92"/>
      <c r="H39" s="92"/>
      <c r="I39" s="92"/>
      <c r="J39" s="92"/>
      <c r="K39" s="92"/>
      <c r="L39" s="92"/>
      <c r="M39" s="92"/>
      <c r="N39" s="92"/>
      <c r="O39" s="92"/>
      <c r="P39" s="92"/>
      <c r="Q39" s="96"/>
      <c r="R39" s="92"/>
      <c r="S39" s="92"/>
      <c r="T39" s="86"/>
      <c r="U39" s="92"/>
      <c r="V39" s="92"/>
      <c r="W39" s="86"/>
      <c r="X39" s="165"/>
    </row>
    <row r="40" spans="1:24" ht="18" customHeight="1" x14ac:dyDescent="0.35">
      <c r="A40" s="166" t="s">
        <v>560</v>
      </c>
      <c r="B40" s="166"/>
      <c r="C40" s="96"/>
      <c r="D40" s="92"/>
      <c r="E40" s="92"/>
      <c r="F40" s="92"/>
      <c r="G40" s="92"/>
      <c r="H40" s="92"/>
      <c r="I40" s="92"/>
      <c r="J40" s="92"/>
      <c r="K40" s="92"/>
      <c r="L40" s="92"/>
      <c r="M40" s="92"/>
      <c r="N40" s="92"/>
      <c r="O40" s="92"/>
      <c r="P40" s="92"/>
      <c r="Q40" s="96"/>
      <c r="R40" s="92"/>
      <c r="S40" s="92"/>
      <c r="T40" s="86"/>
      <c r="U40" s="92"/>
      <c r="V40" s="92"/>
      <c r="W40" s="86"/>
      <c r="X40" s="165"/>
    </row>
    <row r="41" spans="1:24" ht="21.65" customHeight="1" x14ac:dyDescent="0.35">
      <c r="A41" s="86" t="s">
        <v>612</v>
      </c>
      <c r="B41" s="86"/>
      <c r="C41" s="96"/>
      <c r="D41" s="92"/>
      <c r="E41" s="92"/>
      <c r="F41" s="92"/>
      <c r="G41" s="92"/>
      <c r="H41" s="92"/>
      <c r="I41" s="92"/>
      <c r="J41" s="92"/>
      <c r="K41" s="92"/>
      <c r="L41" s="92"/>
      <c r="M41" s="92"/>
      <c r="N41" s="92"/>
      <c r="O41" s="92"/>
      <c r="P41" s="92"/>
      <c r="Q41" s="96"/>
      <c r="R41" s="92"/>
      <c r="S41" s="92"/>
      <c r="T41" s="86"/>
      <c r="U41" s="92"/>
      <c r="V41" s="92"/>
      <c r="W41" s="86"/>
      <c r="X41" s="165"/>
    </row>
    <row r="42" spans="1:24" ht="15" customHeight="1" x14ac:dyDescent="0.35">
      <c r="A42" s="86"/>
      <c r="B42" s="138" t="s">
        <v>561</v>
      </c>
      <c r="C42" s="96" t="str">
        <f t="shared" ref="C42:T42" si="5">C17</f>
        <v>Item Booked in Current Year</v>
      </c>
      <c r="D42" s="96">
        <f t="shared" si="5"/>
        <v>0</v>
      </c>
      <c r="E42" s="96">
        <f t="shared" si="5"/>
        <v>0</v>
      </c>
      <c r="F42" s="96">
        <f t="shared" si="5"/>
        <v>0</v>
      </c>
      <c r="G42" s="96">
        <f t="shared" si="5"/>
        <v>0</v>
      </c>
      <c r="H42" s="96">
        <f t="shared" si="5"/>
        <v>0</v>
      </c>
      <c r="I42" s="96">
        <f t="shared" si="5"/>
        <v>0</v>
      </c>
      <c r="J42" s="96">
        <f t="shared" si="5"/>
        <v>0</v>
      </c>
      <c r="K42" s="96">
        <f t="shared" si="5"/>
        <v>0</v>
      </c>
      <c r="L42" s="96">
        <f t="shared" si="5"/>
        <v>0</v>
      </c>
      <c r="M42" s="96">
        <f t="shared" si="5"/>
        <v>0</v>
      </c>
      <c r="N42" s="96">
        <f t="shared" si="5"/>
        <v>0</v>
      </c>
      <c r="O42" s="96">
        <f t="shared" si="5"/>
        <v>0</v>
      </c>
      <c r="P42" s="96">
        <f t="shared" si="5"/>
        <v>0</v>
      </c>
      <c r="Q42" s="96">
        <f t="shared" si="5"/>
        <v>0</v>
      </c>
      <c r="R42" s="96">
        <f t="shared" si="5"/>
        <v>0</v>
      </c>
      <c r="S42" s="96">
        <f t="shared" si="5"/>
        <v>0</v>
      </c>
      <c r="T42" s="96">
        <f t="shared" si="5"/>
        <v>0</v>
      </c>
      <c r="U42" s="92"/>
      <c r="V42" s="92"/>
      <c r="W42" s="86"/>
      <c r="X42" s="165"/>
    </row>
    <row r="43" spans="1:24" ht="15" customHeight="1" x14ac:dyDescent="0.35">
      <c r="A43" s="86"/>
      <c r="B43" s="138" t="s">
        <v>562</v>
      </c>
      <c r="C43" s="96">
        <v>50000</v>
      </c>
      <c r="D43" s="92">
        <f>C43*1.01</f>
        <v>50500</v>
      </c>
      <c r="E43" s="96">
        <f>C43*1.01</f>
        <v>50500</v>
      </c>
      <c r="F43" s="92">
        <v>55000</v>
      </c>
      <c r="G43" s="92">
        <v>55000</v>
      </c>
      <c r="H43" s="92">
        <v>55000</v>
      </c>
      <c r="I43" s="92">
        <v>57500</v>
      </c>
      <c r="J43" s="92">
        <v>40000</v>
      </c>
      <c r="K43" s="92">
        <v>0</v>
      </c>
      <c r="L43" s="92">
        <v>65000</v>
      </c>
      <c r="M43" s="92">
        <v>62500</v>
      </c>
      <c r="N43" s="92">
        <v>0</v>
      </c>
      <c r="O43" s="92">
        <v>65000</v>
      </c>
      <c r="P43" s="92">
        <v>0</v>
      </c>
      <c r="Q43" s="96">
        <v>65000</v>
      </c>
      <c r="R43" s="92">
        <v>0</v>
      </c>
      <c r="S43" s="92"/>
      <c r="T43" s="92">
        <f>SUM(C43:S43)</f>
        <v>671000</v>
      </c>
      <c r="U43" s="92"/>
      <c r="V43" s="92"/>
      <c r="W43" s="86"/>
      <c r="X43" s="165"/>
    </row>
    <row r="44" spans="1:24" ht="15" customHeight="1" x14ac:dyDescent="0.35">
      <c r="A44" s="86"/>
      <c r="B44" s="138" t="s">
        <v>563</v>
      </c>
      <c r="C44" s="96">
        <v>45000</v>
      </c>
      <c r="D44" s="92">
        <f>C44*1.02</f>
        <v>45900</v>
      </c>
      <c r="E44" s="96">
        <f>C44*1.01</f>
        <v>45450</v>
      </c>
      <c r="F44" s="92">
        <v>53500</v>
      </c>
      <c r="G44" s="92">
        <v>53500</v>
      </c>
      <c r="H44" s="92">
        <v>55000</v>
      </c>
      <c r="I44" s="92">
        <v>52500</v>
      </c>
      <c r="J44" s="92">
        <v>40000</v>
      </c>
      <c r="K44" s="92">
        <v>0</v>
      </c>
      <c r="L44" s="92">
        <v>60000</v>
      </c>
      <c r="M44" s="92">
        <v>57500</v>
      </c>
      <c r="N44" s="92"/>
      <c r="O44" s="92">
        <v>67500</v>
      </c>
      <c r="P44" s="92">
        <v>0</v>
      </c>
      <c r="Q44" s="96">
        <v>62500</v>
      </c>
      <c r="R44" s="92">
        <v>0</v>
      </c>
      <c r="S44" s="92"/>
      <c r="T44" s="92">
        <f>SUM(C44:S44)</f>
        <v>638350</v>
      </c>
      <c r="U44" s="100"/>
      <c r="V44" s="92"/>
      <c r="W44" s="86"/>
      <c r="X44" s="165"/>
    </row>
  </sheetData>
  <mergeCells count="7">
    <mergeCell ref="A31:B31"/>
    <mergeCell ref="X1:X10"/>
    <mergeCell ref="C5:H5"/>
    <mergeCell ref="I5:R5"/>
    <mergeCell ref="Y7:AE7"/>
    <mergeCell ref="X11:X23"/>
    <mergeCell ref="X27:X37"/>
  </mergeCells>
  <pageMargins left="0.24" right="0.32" top="0.75" bottom="0.75" header="0" footer="0"/>
  <pageSetup orientation="landscape"/>
  <headerFooter>
    <oddFooter>&amp;L&amp;D &amp;T&amp;R&amp;F</oddFoot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B3A44-03B4-4A17-9401-A961EB62E2F9}">
  <sheetPr>
    <tabColor theme="9" tint="0.59999389629810485"/>
    <pageSetUpPr fitToPage="1"/>
  </sheetPr>
  <dimension ref="A1:AE37"/>
  <sheetViews>
    <sheetView topLeftCell="T1" workbookViewId="0">
      <selection activeCell="Z13" sqref="Z13"/>
    </sheetView>
  </sheetViews>
  <sheetFormatPr defaultColWidth="14.4140625" defaultRowHeight="15" customHeight="1" x14ac:dyDescent="0.25"/>
  <cols>
    <col min="1" max="1" width="34.58203125" style="94" customWidth="1"/>
    <col min="2" max="2" width="25.75" style="94" customWidth="1"/>
    <col min="3" max="3" width="24.58203125" style="94" customWidth="1"/>
    <col min="4" max="4" width="17.4140625" style="94" customWidth="1"/>
    <col min="5" max="7" width="15.58203125" style="94" customWidth="1"/>
    <col min="8" max="8" width="18.33203125" style="94" customWidth="1"/>
    <col min="9" max="9" width="15.08203125" style="94" customWidth="1"/>
    <col min="10" max="10" width="16.75" style="94" customWidth="1"/>
    <col min="11" max="11" width="17.4140625" style="94" customWidth="1"/>
    <col min="12" max="12" width="15.33203125" style="94" customWidth="1"/>
    <col min="13" max="13" width="15.58203125" style="94" bestFit="1" customWidth="1"/>
    <col min="14" max="14" width="14.4140625" style="94" customWidth="1"/>
    <col min="15" max="15" width="15.58203125" style="94" customWidth="1"/>
    <col min="16" max="16" width="14.58203125" style="94" customWidth="1"/>
    <col min="17" max="17" width="16.4140625" style="94" customWidth="1"/>
    <col min="18" max="18" width="14.4140625" style="94" customWidth="1"/>
    <col min="19" max="19" width="12.4140625" style="94" customWidth="1"/>
    <col min="20" max="20" width="16.75" style="94" customWidth="1"/>
    <col min="21" max="21" width="16.4140625" style="94" customWidth="1"/>
    <col min="22" max="22" width="17.08203125" style="94" customWidth="1"/>
    <col min="23" max="23" width="12.58203125" style="94" customWidth="1"/>
    <col min="24" max="24" width="7.58203125" style="94" customWidth="1"/>
    <col min="25" max="25" width="16.58203125" style="94" customWidth="1"/>
    <col min="26" max="26" width="19.4140625" style="94" customWidth="1"/>
    <col min="27" max="28" width="15.4140625" style="94" customWidth="1"/>
    <col min="29" max="29" width="15.75" style="94" customWidth="1"/>
    <col min="30" max="31" width="13.4140625" style="94" customWidth="1"/>
    <col min="32" max="32" width="19" style="94" customWidth="1"/>
    <col min="33" max="47" width="13.4140625" style="94" customWidth="1"/>
    <col min="48" max="16384" width="14.4140625" style="94"/>
  </cols>
  <sheetData>
    <row r="1" spans="1:31" ht="46.5" x14ac:dyDescent="0.35">
      <c r="A1" s="183" t="s">
        <v>488</v>
      </c>
      <c r="B1" s="86"/>
      <c r="C1" s="87" t="s">
        <v>489</v>
      </c>
      <c r="D1" s="88"/>
      <c r="E1" s="88"/>
      <c r="F1" s="88"/>
      <c r="G1" s="88"/>
      <c r="H1" s="88"/>
      <c r="I1" s="88"/>
      <c r="J1" s="88"/>
      <c r="K1" s="88"/>
      <c r="L1" s="88"/>
      <c r="M1" s="88"/>
      <c r="N1" s="89"/>
      <c r="O1" s="88"/>
      <c r="P1" s="88"/>
      <c r="Q1" s="90"/>
      <c r="R1" s="91" t="s">
        <v>490</v>
      </c>
      <c r="S1" s="92"/>
      <c r="T1" s="86"/>
      <c r="U1" s="92"/>
      <c r="V1" s="92"/>
      <c r="W1" s="86"/>
      <c r="X1" s="739" t="s">
        <v>491</v>
      </c>
      <c r="Y1" s="86"/>
      <c r="Z1" s="93"/>
      <c r="AA1" s="86"/>
      <c r="AB1" s="86"/>
      <c r="AC1" s="86"/>
      <c r="AD1" s="86"/>
      <c r="AE1" s="86"/>
    </row>
    <row r="2" spans="1:31" ht="52.25" customHeight="1" x14ac:dyDescent="0.35">
      <c r="A2" s="85" t="s">
        <v>492</v>
      </c>
      <c r="B2" s="86"/>
      <c r="C2" s="95" t="s">
        <v>493</v>
      </c>
      <c r="D2" s="92"/>
      <c r="E2" s="92"/>
      <c r="F2" s="92"/>
      <c r="G2" s="92"/>
      <c r="H2" s="92"/>
      <c r="I2" s="92"/>
      <c r="J2" s="92"/>
      <c r="K2" s="92"/>
      <c r="L2" s="92"/>
      <c r="M2" s="92"/>
      <c r="N2" s="92"/>
      <c r="O2" s="92"/>
      <c r="P2" s="92"/>
      <c r="Q2" s="96"/>
      <c r="R2" s="95" t="s">
        <v>493</v>
      </c>
      <c r="S2" s="92"/>
      <c r="T2" s="86"/>
      <c r="U2" s="92"/>
      <c r="V2" s="92"/>
      <c r="W2" s="86"/>
      <c r="X2" s="738"/>
      <c r="Y2" s="86"/>
      <c r="Z2" s="93"/>
      <c r="AA2" s="86"/>
      <c r="AB2" s="86"/>
      <c r="AC2" s="86"/>
      <c r="AD2" s="86"/>
      <c r="AE2" s="86"/>
    </row>
    <row r="3" spans="1:31" ht="15.5" x14ac:dyDescent="0.35">
      <c r="A3" s="85" t="s">
        <v>564</v>
      </c>
      <c r="B3" s="86"/>
      <c r="C3" s="97"/>
      <c r="D3" s="98"/>
      <c r="E3" s="92"/>
      <c r="F3" s="92"/>
      <c r="G3" s="92"/>
      <c r="H3" s="92"/>
      <c r="I3" s="99"/>
      <c r="J3" s="99"/>
      <c r="K3" s="99"/>
      <c r="L3" s="99"/>
      <c r="M3" s="99"/>
      <c r="N3" s="99"/>
      <c r="O3" s="99"/>
      <c r="P3" s="99"/>
      <c r="Q3" s="100"/>
      <c r="R3" s="99"/>
      <c r="S3" s="92"/>
      <c r="T3" s="99"/>
      <c r="U3" s="101"/>
      <c r="V3" s="92"/>
      <c r="W3" s="86"/>
      <c r="X3" s="738"/>
      <c r="Y3" s="86"/>
      <c r="Z3" s="93"/>
      <c r="AA3" s="86"/>
      <c r="AB3" s="86"/>
      <c r="AC3" s="86"/>
      <c r="AD3" s="86"/>
      <c r="AE3" s="86"/>
    </row>
    <row r="4" spans="1:31" ht="15.5" x14ac:dyDescent="0.35">
      <c r="A4" s="102" t="s">
        <v>608</v>
      </c>
      <c r="B4" s="103"/>
      <c r="C4" s="97"/>
      <c r="D4" s="98"/>
      <c r="E4" s="92"/>
      <c r="F4" s="92"/>
      <c r="G4" s="92"/>
      <c r="H4" s="92"/>
      <c r="I4" s="99"/>
      <c r="J4" s="99"/>
      <c r="K4" s="99"/>
      <c r="L4" s="99"/>
      <c r="M4" s="99"/>
      <c r="N4" s="99"/>
      <c r="O4" s="99"/>
      <c r="P4" s="99"/>
      <c r="Q4" s="100"/>
      <c r="R4" s="99"/>
      <c r="S4" s="92"/>
      <c r="T4" s="104"/>
      <c r="U4" s="101"/>
      <c r="V4" s="92"/>
      <c r="W4" s="86"/>
      <c r="X4" s="738"/>
      <c r="Y4" s="86"/>
      <c r="Z4" s="93"/>
      <c r="AA4" s="86"/>
      <c r="AB4" s="86"/>
      <c r="AC4" s="86"/>
      <c r="AD4" s="86"/>
      <c r="AE4" s="86"/>
    </row>
    <row r="5" spans="1:31" ht="16" thickBot="1" x14ac:dyDescent="0.4">
      <c r="A5" s="105" t="s">
        <v>744</v>
      </c>
      <c r="B5" s="106"/>
      <c r="C5" s="740" t="s">
        <v>609</v>
      </c>
      <c r="D5" s="738"/>
      <c r="E5" s="738"/>
      <c r="F5" s="738"/>
      <c r="G5" s="738"/>
      <c r="H5" s="738"/>
      <c r="I5" s="741" t="s">
        <v>495</v>
      </c>
      <c r="J5" s="738"/>
      <c r="K5" s="738"/>
      <c r="L5" s="738"/>
      <c r="M5" s="738"/>
      <c r="N5" s="738"/>
      <c r="O5" s="738"/>
      <c r="P5" s="738"/>
      <c r="Q5" s="738"/>
      <c r="R5" s="738"/>
      <c r="S5" s="107"/>
      <c r="T5" s="104" t="s">
        <v>496</v>
      </c>
      <c r="U5" s="101"/>
      <c r="V5" s="92"/>
      <c r="W5" s="86"/>
      <c r="X5" s="738"/>
      <c r="Y5" s="86"/>
      <c r="Z5" s="93"/>
      <c r="AA5" s="86"/>
      <c r="AB5" s="86"/>
      <c r="AC5" s="86"/>
      <c r="AD5" s="86"/>
      <c r="AE5" s="86"/>
    </row>
    <row r="6" spans="1:31" ht="29.5" customHeight="1" x14ac:dyDescent="0.35">
      <c r="B6" s="86"/>
      <c r="C6" s="108"/>
      <c r="D6" s="109"/>
      <c r="E6" s="107"/>
      <c r="F6" s="107"/>
      <c r="G6" s="107"/>
      <c r="H6" s="110" t="s">
        <v>497</v>
      </c>
      <c r="I6" s="111" t="e">
        <f t="shared" ref="I6:R6" si="0">(+I13-I29)/$Z$12</f>
        <v>#DIV/0!</v>
      </c>
      <c r="J6" s="111" t="e">
        <f t="shared" si="0"/>
        <v>#DIV/0!</v>
      </c>
      <c r="K6" s="111" t="e">
        <f t="shared" si="0"/>
        <v>#DIV/0!</v>
      </c>
      <c r="L6" s="111" t="e">
        <f t="shared" si="0"/>
        <v>#DIV/0!</v>
      </c>
      <c r="M6" s="111" t="e">
        <f t="shared" si="0"/>
        <v>#DIV/0!</v>
      </c>
      <c r="N6" s="111" t="e">
        <f t="shared" si="0"/>
        <v>#DIV/0!</v>
      </c>
      <c r="O6" s="111" t="e">
        <f t="shared" si="0"/>
        <v>#DIV/0!</v>
      </c>
      <c r="P6" s="111" t="e">
        <f t="shared" si="0"/>
        <v>#DIV/0!</v>
      </c>
      <c r="Q6" s="111" t="e">
        <f t="shared" si="0"/>
        <v>#DIV/0!</v>
      </c>
      <c r="R6" s="111" t="e">
        <f t="shared" si="0"/>
        <v>#DIV/0!</v>
      </c>
      <c r="S6" s="107"/>
      <c r="T6" s="112" t="e">
        <f>SUM(I6:S6)</f>
        <v>#DIV/0!</v>
      </c>
      <c r="U6" s="113" t="s">
        <v>498</v>
      </c>
      <c r="V6" s="92"/>
      <c r="W6" s="86"/>
      <c r="X6" s="738"/>
      <c r="Y6" s="168"/>
      <c r="Z6" s="169"/>
      <c r="AA6" s="170"/>
      <c r="AB6" s="170"/>
      <c r="AC6" s="170"/>
      <c r="AD6" s="170"/>
      <c r="AE6" s="170"/>
    </row>
    <row r="7" spans="1:31" ht="15.5" x14ac:dyDescent="0.35">
      <c r="B7" s="86"/>
      <c r="C7" s="96"/>
      <c r="D7" s="92"/>
      <c r="E7" s="92"/>
      <c r="F7" s="92"/>
      <c r="G7" s="92"/>
      <c r="H7" s="92"/>
      <c r="I7" s="114"/>
      <c r="J7" s="114"/>
      <c r="K7" s="114"/>
      <c r="L7" s="114"/>
      <c r="M7" s="114"/>
      <c r="N7" s="114"/>
      <c r="O7" s="114"/>
      <c r="P7" s="114"/>
      <c r="Q7" s="115"/>
      <c r="R7" s="114"/>
      <c r="S7" s="96"/>
      <c r="T7" s="86"/>
      <c r="U7" s="113" t="s">
        <v>499</v>
      </c>
      <c r="V7" s="92"/>
      <c r="W7" s="86"/>
      <c r="X7" s="738"/>
      <c r="Y7" s="742" t="s">
        <v>614</v>
      </c>
      <c r="Z7" s="738"/>
      <c r="AA7" s="738"/>
      <c r="AB7" s="738"/>
      <c r="AC7" s="738"/>
      <c r="AD7" s="738"/>
      <c r="AE7" s="738"/>
    </row>
    <row r="8" spans="1:31" ht="15.5" x14ac:dyDescent="0.35">
      <c r="A8" s="116"/>
      <c r="B8" s="104" t="s">
        <v>500</v>
      </c>
      <c r="C8" s="117">
        <v>44783</v>
      </c>
      <c r="D8" s="117">
        <v>44814</v>
      </c>
      <c r="E8" s="117">
        <v>44844</v>
      </c>
      <c r="F8" s="117">
        <v>44875</v>
      </c>
      <c r="G8" s="117">
        <v>44905</v>
      </c>
      <c r="H8" s="117">
        <v>44571</v>
      </c>
      <c r="I8" s="118">
        <v>44602</v>
      </c>
      <c r="J8" s="118">
        <v>44630</v>
      </c>
      <c r="K8" s="118">
        <v>44644</v>
      </c>
      <c r="L8" s="118">
        <v>44661</v>
      </c>
      <c r="M8" s="119">
        <v>44691</v>
      </c>
      <c r="N8" s="119">
        <v>44705</v>
      </c>
      <c r="O8" s="118">
        <v>44722</v>
      </c>
      <c r="P8" s="119">
        <v>44736</v>
      </c>
      <c r="Q8" s="118">
        <v>44752</v>
      </c>
      <c r="R8" s="118">
        <v>44783</v>
      </c>
      <c r="S8" s="96"/>
      <c r="T8" s="116"/>
      <c r="U8" s="113"/>
      <c r="V8" s="96"/>
      <c r="W8" s="116"/>
      <c r="X8" s="738"/>
      <c r="Y8" s="171" t="s">
        <v>501</v>
      </c>
      <c r="Z8" s="172"/>
      <c r="AA8" s="116"/>
      <c r="AB8" s="116"/>
      <c r="AC8" s="116"/>
      <c r="AD8" s="116"/>
      <c r="AE8" s="116"/>
    </row>
    <row r="9" spans="1:31" ht="15.5" x14ac:dyDescent="0.35">
      <c r="A9" s="116"/>
      <c r="B9" s="104"/>
      <c r="C9" s="120"/>
      <c r="D9" s="120"/>
      <c r="E9" s="120"/>
      <c r="F9" s="120"/>
      <c r="G9" s="120"/>
      <c r="H9" s="120"/>
      <c r="I9" s="115"/>
      <c r="J9" s="115"/>
      <c r="K9" s="115"/>
      <c r="L9" s="115"/>
      <c r="M9" s="115"/>
      <c r="N9" s="115"/>
      <c r="O9" s="115"/>
      <c r="P9" s="115"/>
      <c r="Q9" s="115"/>
      <c r="R9" s="115"/>
      <c r="S9" s="96"/>
      <c r="T9" s="116"/>
      <c r="U9" s="113"/>
      <c r="W9" s="116"/>
      <c r="X9" s="738"/>
      <c r="Y9" s="171" t="s">
        <v>502</v>
      </c>
      <c r="Z9" s="172"/>
      <c r="AA9" s="116"/>
      <c r="AB9" s="116"/>
      <c r="AC9" s="116"/>
      <c r="AD9" s="116"/>
      <c r="AE9" s="116"/>
    </row>
    <row r="10" spans="1:31" ht="15.5" x14ac:dyDescent="0.35">
      <c r="A10" s="116"/>
      <c r="B10" s="104" t="s">
        <v>503</v>
      </c>
      <c r="C10" s="120" t="s">
        <v>504</v>
      </c>
      <c r="D10" s="120" t="s">
        <v>505</v>
      </c>
      <c r="E10" s="120" t="s">
        <v>506</v>
      </c>
      <c r="F10" s="120" t="s">
        <v>507</v>
      </c>
      <c r="G10" s="120" t="s">
        <v>508</v>
      </c>
      <c r="H10" s="120" t="s">
        <v>509</v>
      </c>
      <c r="I10" s="115" t="s">
        <v>510</v>
      </c>
      <c r="J10" s="115" t="s">
        <v>511</v>
      </c>
      <c r="K10" s="115" t="s">
        <v>512</v>
      </c>
      <c r="L10" s="115" t="s">
        <v>513</v>
      </c>
      <c r="M10" s="115" t="s">
        <v>514</v>
      </c>
      <c r="N10" s="115" t="s">
        <v>515</v>
      </c>
      <c r="O10" s="115" t="s">
        <v>516</v>
      </c>
      <c r="P10" s="115" t="s">
        <v>517</v>
      </c>
      <c r="Q10" s="115" t="s">
        <v>518</v>
      </c>
      <c r="R10" s="115" t="s">
        <v>504</v>
      </c>
      <c r="S10" s="96" t="s">
        <v>519</v>
      </c>
      <c r="T10" s="116" t="s">
        <v>496</v>
      </c>
      <c r="U10" s="113" t="s">
        <v>520</v>
      </c>
      <c r="V10" s="96" t="s">
        <v>521</v>
      </c>
      <c r="W10" s="116"/>
      <c r="X10" s="738"/>
      <c r="Y10" s="173"/>
      <c r="Z10" s="172"/>
      <c r="AA10" s="116"/>
      <c r="AB10" s="116"/>
      <c r="AC10" s="116"/>
      <c r="AD10" s="116"/>
      <c r="AE10" s="116"/>
    </row>
    <row r="11" spans="1:31" ht="17.5" customHeight="1" x14ac:dyDescent="0.35">
      <c r="A11" s="86"/>
      <c r="B11" s="121" t="s">
        <v>522</v>
      </c>
      <c r="C11" s="122" t="s">
        <v>566</v>
      </c>
      <c r="D11" s="122" t="s">
        <v>566</v>
      </c>
      <c r="E11" s="122" t="s">
        <v>566</v>
      </c>
      <c r="F11" s="122" t="s">
        <v>566</v>
      </c>
      <c r="G11" s="122" t="s">
        <v>566</v>
      </c>
      <c r="H11" s="122" t="s">
        <v>566</v>
      </c>
      <c r="I11" s="122" t="s">
        <v>566</v>
      </c>
      <c r="J11" s="122" t="s">
        <v>566</v>
      </c>
      <c r="K11" s="122" t="s">
        <v>566</v>
      </c>
      <c r="L11" s="122" t="s">
        <v>566</v>
      </c>
      <c r="M11" s="122" t="s">
        <v>566</v>
      </c>
      <c r="N11" s="122" t="s">
        <v>566</v>
      </c>
      <c r="O11" s="122" t="s">
        <v>566</v>
      </c>
      <c r="P11" s="122" t="s">
        <v>566</v>
      </c>
      <c r="Q11" s="123" t="s">
        <v>567</v>
      </c>
      <c r="R11" s="123" t="s">
        <v>567</v>
      </c>
      <c r="S11" s="92"/>
      <c r="T11" s="86"/>
      <c r="U11" s="101"/>
      <c r="V11" s="92"/>
      <c r="W11" s="86"/>
      <c r="X11" s="743" t="s">
        <v>491</v>
      </c>
      <c r="Y11" s="174"/>
      <c r="Z11" s="93"/>
      <c r="AA11" s="85"/>
      <c r="AB11" s="86"/>
      <c r="AC11" s="86"/>
      <c r="AD11" s="86"/>
      <c r="AE11" s="86"/>
    </row>
    <row r="12" spans="1:31" ht="24" customHeight="1" x14ac:dyDescent="0.35">
      <c r="A12" s="86"/>
      <c r="B12" s="124" t="s">
        <v>525</v>
      </c>
      <c r="C12" s="96"/>
      <c r="D12" s="92"/>
      <c r="E12" s="92"/>
      <c r="F12" s="92"/>
      <c r="G12" s="92"/>
      <c r="H12" s="92"/>
      <c r="I12" s="92"/>
      <c r="J12" s="92"/>
      <c r="K12" s="92"/>
      <c r="L12" s="92"/>
      <c r="M12" s="92"/>
      <c r="N12" s="92"/>
      <c r="O12" s="92"/>
      <c r="P12" s="92"/>
      <c r="Q12" s="96"/>
      <c r="R12" s="92"/>
      <c r="S12" s="92"/>
      <c r="T12" s="86"/>
      <c r="U12" s="101"/>
      <c r="V12" s="92"/>
      <c r="W12" s="86"/>
      <c r="X12" s="738"/>
      <c r="Y12" s="174"/>
      <c r="Z12" s="184">
        <f>+'BOE Resolution'!B32</f>
        <v>0</v>
      </c>
      <c r="AA12" s="185" t="s">
        <v>736</v>
      </c>
      <c r="AB12" s="186"/>
      <c r="AC12" s="186"/>
      <c r="AD12" s="186"/>
      <c r="AE12" s="186"/>
    </row>
    <row r="13" spans="1:31" ht="48.75" customHeight="1" x14ac:dyDescent="0.25">
      <c r="A13" s="125" t="s">
        <v>526</v>
      </c>
      <c r="B13" s="126">
        <v>1110</v>
      </c>
      <c r="C13" s="127" t="s">
        <v>527</v>
      </c>
      <c r="D13" s="128"/>
      <c r="E13" s="128"/>
      <c r="F13" s="128"/>
      <c r="G13" s="128"/>
      <c r="H13" s="128"/>
      <c r="I13" s="128"/>
      <c r="J13" s="128"/>
      <c r="K13" s="128"/>
      <c r="L13" s="128"/>
      <c r="M13" s="128"/>
      <c r="N13" s="128"/>
      <c r="O13" s="128"/>
      <c r="P13" s="128"/>
      <c r="Q13" s="128"/>
      <c r="R13" s="129">
        <v>0</v>
      </c>
      <c r="S13" s="128"/>
      <c r="T13" s="130">
        <f>SUM(C13:S13)</f>
        <v>0</v>
      </c>
      <c r="U13" s="131">
        <v>0</v>
      </c>
      <c r="V13" s="130">
        <f>+T13+T18-T29-U13</f>
        <v>0</v>
      </c>
      <c r="W13" s="132"/>
      <c r="X13" s="738"/>
      <c r="Y13" s="175"/>
      <c r="Z13" s="187">
        <f>SUM(I13:R13)+SUM(I29:R29)</f>
        <v>0</v>
      </c>
      <c r="AA13" s="133" t="s">
        <v>528</v>
      </c>
      <c r="AB13" s="132"/>
      <c r="AC13" s="132"/>
      <c r="AD13" s="132"/>
      <c r="AE13" s="132"/>
    </row>
    <row r="14" spans="1:31" ht="15" customHeight="1" x14ac:dyDescent="0.25">
      <c r="A14" s="125" t="s">
        <v>529</v>
      </c>
      <c r="B14" s="126">
        <v>1140</v>
      </c>
      <c r="C14" s="129"/>
      <c r="D14" s="128"/>
      <c r="E14" s="128"/>
      <c r="F14" s="128"/>
      <c r="G14" s="128"/>
      <c r="H14" s="128"/>
      <c r="I14" s="128"/>
      <c r="J14" s="128"/>
      <c r="K14" s="128"/>
      <c r="L14" s="128"/>
      <c r="M14" s="128"/>
      <c r="N14" s="128"/>
      <c r="O14" s="128"/>
      <c r="P14" s="128"/>
      <c r="Q14" s="128"/>
      <c r="R14" s="134"/>
      <c r="S14" s="128"/>
      <c r="T14" s="135">
        <f>SUM(C14:S14)</f>
        <v>0</v>
      </c>
      <c r="U14" s="131">
        <v>0</v>
      </c>
      <c r="V14" s="135">
        <f>U14-T14-T15-T27-T28-T30</f>
        <v>0</v>
      </c>
      <c r="W14" s="136"/>
      <c r="X14" s="738"/>
      <c r="Y14" s="175"/>
      <c r="Z14" s="137">
        <f>Z12-Z13</f>
        <v>0</v>
      </c>
      <c r="AA14" s="133" t="s">
        <v>530</v>
      </c>
      <c r="AB14" s="132"/>
      <c r="AC14" s="132"/>
      <c r="AD14" s="132"/>
      <c r="AE14" s="132"/>
    </row>
    <row r="15" spans="1:31" ht="15" customHeight="1" x14ac:dyDescent="0.35">
      <c r="A15" s="138" t="s">
        <v>531</v>
      </c>
      <c r="B15" s="104">
        <v>1140</v>
      </c>
      <c r="C15" s="95"/>
      <c r="D15" s="96"/>
      <c r="E15" s="96"/>
      <c r="F15" s="96"/>
      <c r="G15" s="96"/>
      <c r="H15" s="96"/>
      <c r="I15" s="96"/>
      <c r="J15" s="96"/>
      <c r="K15" s="96"/>
      <c r="L15" s="96"/>
      <c r="M15" s="96"/>
      <c r="N15" s="96"/>
      <c r="O15" s="96"/>
      <c r="P15" s="96"/>
      <c r="Q15" s="96"/>
      <c r="R15" s="139"/>
      <c r="S15" s="96"/>
      <c r="T15" s="140">
        <f>SUM(C15:S15)</f>
        <v>0</v>
      </c>
      <c r="U15" s="113">
        <v>0</v>
      </c>
      <c r="V15" s="96"/>
      <c r="W15" s="86"/>
      <c r="X15" s="738"/>
      <c r="Y15" s="176" t="s">
        <v>532</v>
      </c>
      <c r="Z15" s="177"/>
      <c r="AA15" s="177"/>
      <c r="AB15" s="177"/>
      <c r="AC15" s="177"/>
      <c r="AD15" s="177"/>
      <c r="AE15" s="92"/>
    </row>
    <row r="16" spans="1:31" ht="15" customHeight="1" x14ac:dyDescent="0.35">
      <c r="A16" s="138" t="s">
        <v>611</v>
      </c>
      <c r="B16" s="104">
        <v>1140</v>
      </c>
      <c r="C16" s="95"/>
      <c r="D16" s="96"/>
      <c r="E16" s="96"/>
      <c r="F16" s="96"/>
      <c r="G16" s="96"/>
      <c r="H16" s="96"/>
      <c r="I16" s="96"/>
      <c r="J16" s="96"/>
      <c r="K16" s="96"/>
      <c r="L16" s="96"/>
      <c r="M16" s="96"/>
      <c r="N16" s="96"/>
      <c r="O16" s="96"/>
      <c r="P16" s="96"/>
      <c r="Q16" s="96"/>
      <c r="R16" s="139"/>
      <c r="S16" s="96"/>
      <c r="T16" s="96"/>
      <c r="U16" s="113"/>
      <c r="V16" s="96"/>
      <c r="W16" s="86"/>
      <c r="X16" s="738"/>
      <c r="Y16" s="178"/>
      <c r="AA16" s="132"/>
      <c r="AB16" s="107" t="s">
        <v>533</v>
      </c>
      <c r="AC16" s="107" t="s">
        <v>534</v>
      </c>
      <c r="AD16" s="132"/>
      <c r="AE16" s="132"/>
    </row>
    <row r="17" spans="1:31" ht="15" customHeight="1" x14ac:dyDescent="0.35">
      <c r="A17" s="138" t="s">
        <v>535</v>
      </c>
      <c r="B17" s="104">
        <v>1120</v>
      </c>
      <c r="C17" s="95"/>
      <c r="D17" s="96"/>
      <c r="E17" s="96"/>
      <c r="F17" s="96"/>
      <c r="G17" s="96"/>
      <c r="H17" s="96"/>
      <c r="I17" s="96"/>
      <c r="J17" s="96"/>
      <c r="K17" s="96"/>
      <c r="L17" s="96"/>
      <c r="M17" s="96"/>
      <c r="N17" s="96"/>
      <c r="O17" s="96"/>
      <c r="P17" s="96"/>
      <c r="Q17" s="96"/>
      <c r="R17" s="139"/>
      <c r="S17" s="96"/>
      <c r="T17" s="96">
        <f>SUM(C17:S17)</f>
        <v>0</v>
      </c>
      <c r="U17" s="113">
        <v>0</v>
      </c>
      <c r="V17" s="96">
        <f>+U17-T17</f>
        <v>0</v>
      </c>
      <c r="W17" s="86"/>
      <c r="X17" s="738"/>
      <c r="Y17" s="179" t="s">
        <v>536</v>
      </c>
      <c r="AA17" s="167" t="s">
        <v>568</v>
      </c>
      <c r="AB17" s="96">
        <f>Z14</f>
        <v>0</v>
      </c>
      <c r="AC17" s="96"/>
      <c r="AD17" s="92"/>
      <c r="AE17" s="92"/>
    </row>
    <row r="18" spans="1:31" ht="15" customHeight="1" x14ac:dyDescent="0.35">
      <c r="A18" s="138" t="s">
        <v>538</v>
      </c>
      <c r="B18" s="104">
        <v>1110</v>
      </c>
      <c r="C18" s="96"/>
      <c r="D18" s="96"/>
      <c r="E18" s="96"/>
      <c r="F18" s="96"/>
      <c r="G18" s="96"/>
      <c r="H18" s="96"/>
      <c r="I18" s="96"/>
      <c r="J18" s="96"/>
      <c r="K18" s="96"/>
      <c r="L18" s="96"/>
      <c r="M18" s="96"/>
      <c r="N18" s="96"/>
      <c r="O18" s="96"/>
      <c r="P18" s="96"/>
      <c r="Q18" s="96"/>
      <c r="R18" s="96"/>
      <c r="S18" s="96"/>
      <c r="T18" s="141">
        <f>SUM(C18:S18)</f>
        <v>0</v>
      </c>
      <c r="U18" s="113"/>
      <c r="V18" s="96"/>
      <c r="W18" s="86"/>
      <c r="X18" s="738"/>
      <c r="Y18" s="179" t="s">
        <v>613</v>
      </c>
      <c r="AA18" s="167" t="s">
        <v>569</v>
      </c>
      <c r="AB18" s="96"/>
      <c r="AC18" s="96">
        <f>Z14</f>
        <v>0</v>
      </c>
      <c r="AD18" s="92"/>
      <c r="AE18" s="92"/>
    </row>
    <row r="19" spans="1:31" ht="15" customHeight="1" thickBot="1" x14ac:dyDescent="0.4">
      <c r="A19" s="138" t="s">
        <v>540</v>
      </c>
      <c r="B19" s="104">
        <v>2030</v>
      </c>
      <c r="C19" s="96"/>
      <c r="D19" s="96"/>
      <c r="E19" s="96"/>
      <c r="F19" s="96"/>
      <c r="G19" s="96"/>
      <c r="H19" s="96"/>
      <c r="I19" s="96"/>
      <c r="J19" s="96"/>
      <c r="K19" s="96"/>
      <c r="L19" s="96"/>
      <c r="M19" s="96"/>
      <c r="N19" s="96"/>
      <c r="O19" s="96"/>
      <c r="P19" s="96"/>
      <c r="Q19" s="96"/>
      <c r="R19" s="96"/>
      <c r="S19" s="96"/>
      <c r="T19" s="96">
        <f>SUM(C19:S19)</f>
        <v>0</v>
      </c>
      <c r="U19" s="113"/>
      <c r="V19" s="96">
        <f>+U19-T19</f>
        <v>0</v>
      </c>
      <c r="W19" s="86"/>
      <c r="X19" s="738"/>
      <c r="Y19" s="180"/>
      <c r="Z19" s="181"/>
      <c r="AA19" s="182"/>
      <c r="AB19" s="182"/>
      <c r="AC19" s="182"/>
      <c r="AD19" s="182"/>
      <c r="AE19" s="182"/>
    </row>
    <row r="20" spans="1:31" ht="12" customHeight="1" x14ac:dyDescent="0.35">
      <c r="A20" s="86"/>
      <c r="B20" s="116"/>
      <c r="C20" s="96"/>
      <c r="D20" s="96"/>
      <c r="E20" s="96"/>
      <c r="F20" s="96"/>
      <c r="G20" s="96"/>
      <c r="H20" s="96"/>
      <c r="I20" s="96"/>
      <c r="J20" s="96"/>
      <c r="K20" s="96"/>
      <c r="L20" s="96"/>
      <c r="M20" s="96"/>
      <c r="N20" s="96"/>
      <c r="O20" s="96"/>
      <c r="P20" s="96"/>
      <c r="Q20" s="96"/>
      <c r="R20" s="96"/>
      <c r="S20" s="96"/>
      <c r="T20" s="116"/>
      <c r="U20" s="113"/>
      <c r="V20" s="96"/>
      <c r="W20" s="86"/>
      <c r="X20" s="738"/>
      <c r="Y20" s="86"/>
      <c r="Z20" s="93"/>
      <c r="AA20" s="86"/>
      <c r="AB20" s="86"/>
      <c r="AC20" s="86"/>
      <c r="AD20" s="86"/>
      <c r="AE20" s="86"/>
    </row>
    <row r="21" spans="1:31" ht="14.5" customHeight="1" x14ac:dyDescent="0.35">
      <c r="A21" s="86"/>
      <c r="B21" s="104" t="s">
        <v>541</v>
      </c>
      <c r="C21" s="142">
        <f t="shared" ref="C21:V21" si="1">SUM(C13:C20)</f>
        <v>0</v>
      </c>
      <c r="D21" s="142">
        <f t="shared" si="1"/>
        <v>0</v>
      </c>
      <c r="E21" s="142">
        <f t="shared" si="1"/>
        <v>0</v>
      </c>
      <c r="F21" s="142">
        <f t="shared" si="1"/>
        <v>0</v>
      </c>
      <c r="G21" s="142">
        <f t="shared" si="1"/>
        <v>0</v>
      </c>
      <c r="H21" s="142">
        <f t="shared" si="1"/>
        <v>0</v>
      </c>
      <c r="I21" s="142">
        <f t="shared" si="1"/>
        <v>0</v>
      </c>
      <c r="J21" s="142">
        <f t="shared" si="1"/>
        <v>0</v>
      </c>
      <c r="K21" s="142">
        <f t="shared" si="1"/>
        <v>0</v>
      </c>
      <c r="L21" s="142">
        <f t="shared" si="1"/>
        <v>0</v>
      </c>
      <c r="M21" s="142">
        <f t="shared" si="1"/>
        <v>0</v>
      </c>
      <c r="N21" s="142">
        <f t="shared" si="1"/>
        <v>0</v>
      </c>
      <c r="O21" s="142">
        <f t="shared" si="1"/>
        <v>0</v>
      </c>
      <c r="P21" s="142">
        <f t="shared" si="1"/>
        <v>0</v>
      </c>
      <c r="Q21" s="142">
        <f t="shared" si="1"/>
        <v>0</v>
      </c>
      <c r="R21" s="142">
        <f t="shared" si="1"/>
        <v>0</v>
      </c>
      <c r="S21" s="142">
        <f t="shared" si="1"/>
        <v>0</v>
      </c>
      <c r="T21" s="142">
        <f t="shared" si="1"/>
        <v>0</v>
      </c>
      <c r="U21" s="143">
        <f t="shared" si="1"/>
        <v>0</v>
      </c>
      <c r="V21" s="142">
        <f t="shared" si="1"/>
        <v>0</v>
      </c>
      <c r="W21" s="86"/>
      <c r="X21" s="738"/>
      <c r="Y21" s="144" t="s">
        <v>542</v>
      </c>
      <c r="Z21" s="145"/>
      <c r="AA21" s="145"/>
      <c r="AB21" s="145"/>
      <c r="AC21" s="145"/>
      <c r="AD21" s="145"/>
      <c r="AE21" s="145"/>
    </row>
    <row r="22" spans="1:31" ht="17" customHeight="1" x14ac:dyDescent="0.35">
      <c r="A22" s="86"/>
      <c r="B22" s="124" t="s">
        <v>525</v>
      </c>
      <c r="C22" s="96"/>
      <c r="D22" s="96"/>
      <c r="E22" s="96"/>
      <c r="F22" s="96"/>
      <c r="G22" s="96"/>
      <c r="H22" s="96"/>
      <c r="I22" s="96"/>
      <c r="J22" s="96"/>
      <c r="K22" s="96"/>
      <c r="L22" s="96"/>
      <c r="M22" s="96"/>
      <c r="N22" s="96"/>
      <c r="O22" s="96"/>
      <c r="P22" s="96"/>
      <c r="Q22" s="96"/>
      <c r="R22" s="96"/>
      <c r="S22" s="96"/>
      <c r="T22" s="96"/>
      <c r="U22" s="113"/>
      <c r="V22" s="96"/>
      <c r="W22" s="86"/>
      <c r="X22" s="738"/>
      <c r="Y22" s="92" t="s">
        <v>543</v>
      </c>
      <c r="Z22" s="93"/>
      <c r="AA22" s="92"/>
      <c r="AB22" s="92"/>
      <c r="AC22" s="92"/>
      <c r="AD22" s="92"/>
      <c r="AE22" s="92"/>
    </row>
    <row r="23" spans="1:31" ht="15" customHeight="1" x14ac:dyDescent="0.35">
      <c r="A23" s="138" t="s">
        <v>544</v>
      </c>
      <c r="B23" s="116">
        <v>1141</v>
      </c>
      <c r="C23" s="95"/>
      <c r="D23" s="96"/>
      <c r="E23" s="96"/>
      <c r="F23" s="96"/>
      <c r="G23" s="96"/>
      <c r="H23" s="96"/>
      <c r="I23" s="96"/>
      <c r="J23" s="96"/>
      <c r="K23" s="96"/>
      <c r="L23" s="96"/>
      <c r="M23" s="96"/>
      <c r="N23" s="96"/>
      <c r="O23" s="96"/>
      <c r="P23" s="96"/>
      <c r="Q23" s="96"/>
      <c r="R23" s="146"/>
      <c r="S23" s="96"/>
      <c r="T23" s="147">
        <f t="shared" ref="T23:T30" si="2">SUM(C23:S23)</f>
        <v>0</v>
      </c>
      <c r="U23" s="113">
        <v>0</v>
      </c>
      <c r="V23" s="147">
        <f>U23-T23-T24-T25-T26</f>
        <v>0</v>
      </c>
      <c r="W23" s="148"/>
      <c r="X23" s="738"/>
      <c r="Y23" s="92"/>
      <c r="Z23" s="149">
        <f>Z14</f>
        <v>0</v>
      </c>
      <c r="AA23" s="133" t="s">
        <v>545</v>
      </c>
      <c r="AB23" s="92"/>
      <c r="AC23" s="92"/>
      <c r="AD23" s="92"/>
      <c r="AE23" s="92"/>
    </row>
    <row r="24" spans="1:31" ht="15" customHeight="1" x14ac:dyDescent="0.35">
      <c r="A24" s="138" t="s">
        <v>546</v>
      </c>
      <c r="B24" s="116">
        <v>1141</v>
      </c>
      <c r="C24" s="95"/>
      <c r="D24" s="96"/>
      <c r="E24" s="96"/>
      <c r="F24" s="96"/>
      <c r="G24" s="96"/>
      <c r="H24" s="96"/>
      <c r="I24" s="96"/>
      <c r="J24" s="96"/>
      <c r="K24" s="96"/>
      <c r="L24" s="96"/>
      <c r="M24" s="96"/>
      <c r="N24" s="96"/>
      <c r="O24" s="96"/>
      <c r="P24" s="96"/>
      <c r="Q24" s="96"/>
      <c r="R24" s="146"/>
      <c r="S24" s="96"/>
      <c r="T24" s="147">
        <f t="shared" si="2"/>
        <v>0</v>
      </c>
      <c r="U24" s="113"/>
      <c r="V24" s="96"/>
      <c r="W24" s="86"/>
      <c r="X24" s="150"/>
      <c r="Y24" s="92"/>
      <c r="Z24" s="93"/>
      <c r="AA24" s="92" t="s">
        <v>547</v>
      </c>
      <c r="AB24" s="92"/>
      <c r="AC24" s="92"/>
      <c r="AD24" s="92"/>
      <c r="AE24" s="92"/>
    </row>
    <row r="25" spans="1:31" ht="15" customHeight="1" x14ac:dyDescent="0.35">
      <c r="A25" s="138" t="s">
        <v>548</v>
      </c>
      <c r="B25" s="116">
        <v>1141</v>
      </c>
      <c r="C25" s="95"/>
      <c r="D25" s="96"/>
      <c r="E25" s="96"/>
      <c r="F25" s="96"/>
      <c r="G25" s="96"/>
      <c r="H25" s="96"/>
      <c r="I25" s="96"/>
      <c r="J25" s="96"/>
      <c r="K25" s="96"/>
      <c r="L25" s="96"/>
      <c r="M25" s="96"/>
      <c r="N25" s="96"/>
      <c r="O25" s="96"/>
      <c r="P25" s="96"/>
      <c r="Q25" s="96"/>
      <c r="R25" s="146"/>
      <c r="S25" s="96"/>
      <c r="T25" s="147">
        <f t="shared" si="2"/>
        <v>0</v>
      </c>
      <c r="U25" s="113"/>
      <c r="V25" s="96"/>
      <c r="W25" s="86"/>
      <c r="X25" s="150"/>
      <c r="Y25" s="92"/>
      <c r="Z25" s="151" t="e">
        <f>Z23/Z24-1</f>
        <v>#DIV/0!</v>
      </c>
      <c r="AA25" s="152" t="s">
        <v>549</v>
      </c>
      <c r="AB25" s="92"/>
      <c r="AC25" s="92"/>
      <c r="AD25" s="92"/>
      <c r="AE25" s="92"/>
    </row>
    <row r="26" spans="1:31" ht="15" customHeight="1" x14ac:dyDescent="0.35">
      <c r="A26" s="138" t="s">
        <v>550</v>
      </c>
      <c r="B26" s="116">
        <v>1141</v>
      </c>
      <c r="C26" s="95"/>
      <c r="D26" s="96"/>
      <c r="E26" s="96"/>
      <c r="F26" s="96"/>
      <c r="G26" s="96"/>
      <c r="H26" s="96"/>
      <c r="I26" s="96"/>
      <c r="J26" s="96"/>
      <c r="K26" s="96"/>
      <c r="L26" s="96"/>
      <c r="M26" s="96"/>
      <c r="N26" s="96"/>
      <c r="O26" s="96"/>
      <c r="P26" s="96"/>
      <c r="Q26" s="96"/>
      <c r="R26" s="146"/>
      <c r="S26" s="96"/>
      <c r="T26" s="147">
        <f t="shared" si="2"/>
        <v>0</v>
      </c>
      <c r="U26" s="113"/>
      <c r="V26" s="96"/>
      <c r="W26" s="86"/>
      <c r="X26" s="150"/>
      <c r="Y26" s="92"/>
      <c r="Z26" s="93"/>
      <c r="AA26" s="92"/>
      <c r="AB26" s="92"/>
      <c r="AC26" s="92"/>
      <c r="AD26" s="92"/>
      <c r="AE26" s="92"/>
    </row>
    <row r="27" spans="1:31" ht="15" customHeight="1" x14ac:dyDescent="0.35">
      <c r="A27" s="138" t="s">
        <v>551</v>
      </c>
      <c r="B27" s="116">
        <v>1140</v>
      </c>
      <c r="C27" s="95"/>
      <c r="D27" s="96"/>
      <c r="E27" s="96"/>
      <c r="F27" s="96"/>
      <c r="G27" s="96"/>
      <c r="H27" s="96"/>
      <c r="I27" s="96"/>
      <c r="J27" s="96"/>
      <c r="K27" s="96"/>
      <c r="L27" s="96"/>
      <c r="M27" s="96"/>
      <c r="N27" s="96"/>
      <c r="O27" s="96"/>
      <c r="P27" s="96"/>
      <c r="Q27" s="96"/>
      <c r="R27" s="139"/>
      <c r="S27" s="96"/>
      <c r="T27" s="140">
        <f t="shared" si="2"/>
        <v>0</v>
      </c>
      <c r="U27" s="113"/>
      <c r="V27" s="96"/>
      <c r="W27" s="86"/>
      <c r="X27" s="744" t="s">
        <v>491</v>
      </c>
      <c r="Y27" s="92"/>
      <c r="Z27" s="93"/>
      <c r="AA27" s="92"/>
      <c r="AB27" s="92"/>
      <c r="AC27" s="92"/>
      <c r="AD27" s="92"/>
      <c r="AE27" s="92"/>
    </row>
    <row r="28" spans="1:31" ht="15" customHeight="1" x14ac:dyDescent="0.35">
      <c r="A28" s="138" t="s">
        <v>552</v>
      </c>
      <c r="B28" s="116">
        <v>1140</v>
      </c>
      <c r="C28" s="95"/>
      <c r="D28" s="96"/>
      <c r="E28" s="96"/>
      <c r="F28" s="96"/>
      <c r="G28" s="96"/>
      <c r="H28" s="96"/>
      <c r="I28" s="96"/>
      <c r="J28" s="96"/>
      <c r="K28" s="96"/>
      <c r="L28" s="96"/>
      <c r="M28" s="96"/>
      <c r="N28" s="96"/>
      <c r="O28" s="96"/>
      <c r="P28" s="96"/>
      <c r="Q28" s="96"/>
      <c r="R28" s="139"/>
      <c r="S28" s="96"/>
      <c r="T28" s="140">
        <f t="shared" si="2"/>
        <v>0</v>
      </c>
      <c r="U28" s="113"/>
      <c r="V28" s="96"/>
      <c r="W28" s="86"/>
      <c r="X28" s="738"/>
      <c r="Y28" s="92"/>
      <c r="Z28" s="93"/>
      <c r="AA28" s="92"/>
      <c r="AB28" s="92"/>
      <c r="AC28" s="92"/>
      <c r="AD28" s="92"/>
      <c r="AE28" s="92"/>
    </row>
    <row r="29" spans="1:31" ht="31" x14ac:dyDescent="0.25">
      <c r="A29" s="125" t="s">
        <v>553</v>
      </c>
      <c r="B29" s="153">
        <v>1110</v>
      </c>
      <c r="C29" s="127" t="s">
        <v>527</v>
      </c>
      <c r="D29" s="128"/>
      <c r="E29" s="128"/>
      <c r="F29" s="128"/>
      <c r="G29" s="128"/>
      <c r="H29" s="128"/>
      <c r="I29" s="128"/>
      <c r="J29" s="128"/>
      <c r="K29" s="128"/>
      <c r="L29" s="128"/>
      <c r="M29" s="128"/>
      <c r="N29" s="128"/>
      <c r="O29" s="128"/>
      <c r="P29" s="128"/>
      <c r="Q29" s="128"/>
      <c r="R29" s="129"/>
      <c r="S29" s="128"/>
      <c r="T29" s="130">
        <f t="shared" si="2"/>
        <v>0</v>
      </c>
      <c r="U29" s="131"/>
      <c r="V29" s="128"/>
      <c r="W29" s="154"/>
      <c r="X29" s="738"/>
      <c r="Y29" s="132"/>
      <c r="Z29" s="155"/>
      <c r="AA29" s="132"/>
      <c r="AB29" s="132"/>
      <c r="AC29" s="132"/>
      <c r="AD29" s="132"/>
      <c r="AE29" s="132"/>
    </row>
    <row r="30" spans="1:31" ht="15" customHeight="1" x14ac:dyDescent="0.35">
      <c r="A30" s="138" t="s">
        <v>554</v>
      </c>
      <c r="B30" s="116">
        <v>1140</v>
      </c>
      <c r="C30" s="95"/>
      <c r="D30" s="96"/>
      <c r="E30" s="96"/>
      <c r="F30" s="96"/>
      <c r="G30" s="96"/>
      <c r="H30" s="96"/>
      <c r="I30" s="96"/>
      <c r="J30" s="96"/>
      <c r="K30" s="96"/>
      <c r="L30" s="96"/>
      <c r="M30" s="96"/>
      <c r="N30" s="96"/>
      <c r="O30" s="96"/>
      <c r="P30" s="96"/>
      <c r="Q30" s="96"/>
      <c r="R30" s="139"/>
      <c r="S30" s="96"/>
      <c r="T30" s="140">
        <f t="shared" si="2"/>
        <v>0</v>
      </c>
      <c r="U30" s="113"/>
      <c r="V30" s="96"/>
      <c r="W30" s="86"/>
      <c r="X30" s="738"/>
      <c r="Y30" s="92"/>
      <c r="Z30" s="93"/>
      <c r="AA30" s="92"/>
      <c r="AB30" s="92"/>
      <c r="AC30" s="92"/>
      <c r="AD30" s="92"/>
      <c r="AE30" s="92"/>
    </row>
    <row r="31" spans="1:31" ht="15" customHeight="1" x14ac:dyDescent="0.35">
      <c r="A31" s="737" t="s">
        <v>555</v>
      </c>
      <c r="B31" s="738"/>
      <c r="C31" s="90"/>
      <c r="D31" s="96"/>
      <c r="E31" s="96"/>
      <c r="F31" s="96"/>
      <c r="G31" s="96"/>
      <c r="H31" s="96"/>
      <c r="I31" s="96"/>
      <c r="J31" s="96"/>
      <c r="K31" s="96"/>
      <c r="L31" s="96"/>
      <c r="M31" s="96"/>
      <c r="N31" s="96"/>
      <c r="O31" s="96"/>
      <c r="P31" s="96"/>
      <c r="Q31" s="96"/>
      <c r="R31" s="139"/>
      <c r="S31" s="96"/>
      <c r="T31" s="96"/>
      <c r="U31" s="113"/>
      <c r="V31" s="96"/>
      <c r="W31" s="86"/>
      <c r="X31" s="738"/>
      <c r="Y31" s="92"/>
      <c r="Z31" s="93"/>
      <c r="AA31" s="92"/>
      <c r="AB31" s="92"/>
      <c r="AC31" s="92"/>
      <c r="AD31" s="92"/>
      <c r="AE31" s="92"/>
    </row>
    <row r="32" spans="1:31" ht="30" customHeight="1" x14ac:dyDescent="0.35">
      <c r="A32" s="156" t="s">
        <v>556</v>
      </c>
      <c r="B32" s="157" t="s">
        <v>565</v>
      </c>
      <c r="C32" s="95"/>
      <c r="D32" s="127"/>
      <c r="E32" s="127"/>
      <c r="F32" s="127"/>
      <c r="G32" s="127"/>
      <c r="H32" s="127"/>
      <c r="I32" s="127"/>
      <c r="J32" s="127"/>
      <c r="K32" s="127"/>
      <c r="L32" s="127"/>
      <c r="M32" s="127"/>
      <c r="N32" s="127"/>
      <c r="O32" s="127"/>
      <c r="P32" s="127"/>
      <c r="Q32" s="127"/>
      <c r="R32" s="158"/>
      <c r="S32" s="127"/>
      <c r="T32" s="159">
        <f>SUM(C32:S32)</f>
        <v>0</v>
      </c>
      <c r="U32" s="160">
        <v>-100</v>
      </c>
      <c r="V32" s="159">
        <f>+U32-T32</f>
        <v>-100</v>
      </c>
      <c r="W32" s="157"/>
      <c r="X32" s="738"/>
      <c r="Y32" s="127"/>
      <c r="Z32" s="161"/>
      <c r="AA32" s="127"/>
      <c r="AB32" s="127"/>
      <c r="AC32" s="127"/>
      <c r="AD32" s="127"/>
      <c r="AE32" s="127"/>
    </row>
    <row r="33" spans="2:24" ht="12" customHeight="1" x14ac:dyDescent="0.35">
      <c r="B33" s="86"/>
      <c r="C33" s="96"/>
      <c r="D33" s="96"/>
      <c r="E33" s="96"/>
      <c r="F33" s="96"/>
      <c r="G33" s="96"/>
      <c r="H33" s="96"/>
      <c r="I33" s="96"/>
      <c r="J33" s="96"/>
      <c r="K33" s="96"/>
      <c r="L33" s="96"/>
      <c r="M33" s="96"/>
      <c r="N33" s="96"/>
      <c r="O33" s="96"/>
      <c r="P33" s="96"/>
      <c r="Q33" s="96"/>
      <c r="R33" s="96"/>
      <c r="S33" s="96"/>
      <c r="T33" s="96"/>
      <c r="U33" s="113"/>
      <c r="V33" s="96"/>
      <c r="W33" s="86"/>
      <c r="X33" s="738"/>
    </row>
    <row r="34" spans="2:24" ht="15.5" x14ac:dyDescent="0.35">
      <c r="B34" s="104" t="s">
        <v>558</v>
      </c>
      <c r="C34" s="142">
        <f t="shared" ref="C34:V34" si="3">SUM(C23:C33)</f>
        <v>0</v>
      </c>
      <c r="D34" s="142">
        <f t="shared" si="3"/>
        <v>0</v>
      </c>
      <c r="E34" s="142">
        <f t="shared" si="3"/>
        <v>0</v>
      </c>
      <c r="F34" s="142">
        <f t="shared" si="3"/>
        <v>0</v>
      </c>
      <c r="G34" s="142">
        <f t="shared" si="3"/>
        <v>0</v>
      </c>
      <c r="H34" s="142">
        <f t="shared" si="3"/>
        <v>0</v>
      </c>
      <c r="I34" s="142">
        <f t="shared" si="3"/>
        <v>0</v>
      </c>
      <c r="J34" s="142">
        <f t="shared" si="3"/>
        <v>0</v>
      </c>
      <c r="K34" s="142">
        <f t="shared" si="3"/>
        <v>0</v>
      </c>
      <c r="L34" s="142">
        <f t="shared" si="3"/>
        <v>0</v>
      </c>
      <c r="M34" s="142">
        <f t="shared" si="3"/>
        <v>0</v>
      </c>
      <c r="N34" s="142">
        <f t="shared" si="3"/>
        <v>0</v>
      </c>
      <c r="O34" s="142">
        <f t="shared" si="3"/>
        <v>0</v>
      </c>
      <c r="P34" s="142">
        <f t="shared" si="3"/>
        <v>0</v>
      </c>
      <c r="Q34" s="142">
        <f t="shared" si="3"/>
        <v>0</v>
      </c>
      <c r="R34" s="142">
        <f t="shared" si="3"/>
        <v>0</v>
      </c>
      <c r="S34" s="142">
        <f t="shared" si="3"/>
        <v>0</v>
      </c>
      <c r="T34" s="142">
        <f t="shared" si="3"/>
        <v>0</v>
      </c>
      <c r="U34" s="143">
        <f t="shared" si="3"/>
        <v>-100</v>
      </c>
      <c r="V34" s="142">
        <f t="shared" si="3"/>
        <v>-100</v>
      </c>
      <c r="W34" s="85"/>
      <c r="X34" s="738"/>
    </row>
    <row r="35" spans="2:24" ht="12" customHeight="1" x14ac:dyDescent="0.35">
      <c r="B35" s="86"/>
      <c r="C35" s="96"/>
      <c r="D35" s="96"/>
      <c r="E35" s="96"/>
      <c r="F35" s="96"/>
      <c r="G35" s="96"/>
      <c r="H35" s="96"/>
      <c r="I35" s="96"/>
      <c r="J35" s="96"/>
      <c r="K35" s="96"/>
      <c r="L35" s="96"/>
      <c r="M35" s="96"/>
      <c r="N35" s="96"/>
      <c r="O35" s="96"/>
      <c r="P35" s="96"/>
      <c r="Q35" s="96"/>
      <c r="R35" s="96"/>
      <c r="S35" s="96"/>
      <c r="T35" s="96"/>
      <c r="U35" s="113"/>
      <c r="V35" s="96"/>
      <c r="W35" s="86"/>
      <c r="X35" s="738"/>
    </row>
    <row r="36" spans="2:24" ht="15.5" x14ac:dyDescent="0.35">
      <c r="B36" s="162" t="s">
        <v>559</v>
      </c>
      <c r="C36" s="142">
        <f t="shared" ref="C36:U36" si="4">C21+C34</f>
        <v>0</v>
      </c>
      <c r="D36" s="142">
        <f t="shared" si="4"/>
        <v>0</v>
      </c>
      <c r="E36" s="142">
        <f t="shared" si="4"/>
        <v>0</v>
      </c>
      <c r="F36" s="142">
        <f t="shared" si="4"/>
        <v>0</v>
      </c>
      <c r="G36" s="142">
        <f t="shared" si="4"/>
        <v>0</v>
      </c>
      <c r="H36" s="142">
        <f t="shared" si="4"/>
        <v>0</v>
      </c>
      <c r="I36" s="142">
        <f t="shared" si="4"/>
        <v>0</v>
      </c>
      <c r="J36" s="142">
        <f t="shared" si="4"/>
        <v>0</v>
      </c>
      <c r="K36" s="142">
        <f t="shared" si="4"/>
        <v>0</v>
      </c>
      <c r="L36" s="142">
        <f t="shared" si="4"/>
        <v>0</v>
      </c>
      <c r="M36" s="142">
        <f t="shared" si="4"/>
        <v>0</v>
      </c>
      <c r="N36" s="142">
        <f t="shared" si="4"/>
        <v>0</v>
      </c>
      <c r="O36" s="142">
        <f t="shared" si="4"/>
        <v>0</v>
      </c>
      <c r="P36" s="142">
        <f t="shared" si="4"/>
        <v>0</v>
      </c>
      <c r="Q36" s="142">
        <f t="shared" si="4"/>
        <v>0</v>
      </c>
      <c r="R36" s="142">
        <f t="shared" si="4"/>
        <v>0</v>
      </c>
      <c r="S36" s="142">
        <f t="shared" si="4"/>
        <v>0</v>
      </c>
      <c r="T36" s="142">
        <f t="shared" si="4"/>
        <v>0</v>
      </c>
      <c r="U36" s="143">
        <f t="shared" si="4"/>
        <v>-100</v>
      </c>
      <c r="V36" s="142">
        <f>U36-T36</f>
        <v>-100</v>
      </c>
      <c r="W36" s="85"/>
      <c r="X36" s="738"/>
    </row>
    <row r="37" spans="2:24" ht="12" customHeight="1" x14ac:dyDescent="0.35">
      <c r="B37" s="86"/>
      <c r="C37" s="96"/>
      <c r="D37" s="96"/>
      <c r="E37" s="96"/>
      <c r="F37" s="96"/>
      <c r="G37" s="96"/>
      <c r="H37" s="96"/>
      <c r="I37" s="96"/>
      <c r="J37" s="96"/>
      <c r="K37" s="96"/>
      <c r="L37" s="96"/>
      <c r="M37" s="96"/>
      <c r="N37" s="96"/>
      <c r="O37" s="96"/>
      <c r="P37" s="96"/>
      <c r="Q37" s="96"/>
      <c r="R37" s="96"/>
      <c r="S37" s="96"/>
      <c r="T37" s="116"/>
      <c r="U37" s="113"/>
      <c r="V37" s="96"/>
      <c r="W37" s="86"/>
      <c r="X37" s="738"/>
    </row>
  </sheetData>
  <mergeCells count="7">
    <mergeCell ref="A31:B31"/>
    <mergeCell ref="X1:X10"/>
    <mergeCell ref="C5:H5"/>
    <mergeCell ref="I5:R5"/>
    <mergeCell ref="Y7:AE7"/>
    <mergeCell ref="X11:X23"/>
    <mergeCell ref="X27:X37"/>
  </mergeCells>
  <pageMargins left="0.24" right="0.32" top="0.75" bottom="0.75" header="0" footer="0"/>
  <pageSetup orientation="landscape"/>
  <headerFooter>
    <oddFooter>&amp;L&amp;D &amp;T&amp;R&amp;F</oddFoot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75DBE-9B92-484C-B4B3-03A720726B42}">
  <sheetPr>
    <tabColor theme="9" tint="0.59999389629810485"/>
    <pageSetUpPr fitToPage="1"/>
  </sheetPr>
  <dimension ref="A1:AE37"/>
  <sheetViews>
    <sheetView workbookViewId="0">
      <selection activeCell="Z13" sqref="Z13"/>
    </sheetView>
  </sheetViews>
  <sheetFormatPr defaultColWidth="14.4140625" defaultRowHeight="15" customHeight="1" x14ac:dyDescent="0.25"/>
  <cols>
    <col min="1" max="1" width="34.58203125" style="94" customWidth="1"/>
    <col min="2" max="2" width="25.75" style="94" customWidth="1"/>
    <col min="3" max="3" width="24.58203125" style="94" customWidth="1"/>
    <col min="4" max="4" width="17.4140625" style="94" customWidth="1"/>
    <col min="5" max="7" width="15.58203125" style="94" customWidth="1"/>
    <col min="8" max="8" width="18.33203125" style="94" customWidth="1"/>
    <col min="9" max="9" width="15.08203125" style="94" customWidth="1"/>
    <col min="10" max="10" width="16.75" style="94" customWidth="1"/>
    <col min="11" max="11" width="17.4140625" style="94" customWidth="1"/>
    <col min="12" max="12" width="15.33203125" style="94" customWidth="1"/>
    <col min="13" max="13" width="15.58203125" style="94" bestFit="1" customWidth="1"/>
    <col min="14" max="14" width="14.4140625" style="94" customWidth="1"/>
    <col min="15" max="15" width="15.58203125" style="94" customWidth="1"/>
    <col min="16" max="16" width="14.58203125" style="94" customWidth="1"/>
    <col min="17" max="17" width="16.4140625" style="94" customWidth="1"/>
    <col min="18" max="18" width="14.4140625" style="94" customWidth="1"/>
    <col min="19" max="19" width="12.4140625" style="94" customWidth="1"/>
    <col min="20" max="20" width="16.75" style="94" customWidth="1"/>
    <col min="21" max="21" width="16.4140625" style="94" customWidth="1"/>
    <col min="22" max="22" width="17.08203125" style="94" customWidth="1"/>
    <col min="23" max="23" width="12.58203125" style="94" customWidth="1"/>
    <col min="24" max="24" width="7.58203125" style="94" customWidth="1"/>
    <col min="25" max="25" width="16.58203125" style="94" customWidth="1"/>
    <col min="26" max="26" width="19.4140625" style="94" customWidth="1"/>
    <col min="27" max="28" width="15.4140625" style="94" customWidth="1"/>
    <col min="29" max="29" width="15.75" style="94" customWidth="1"/>
    <col min="30" max="31" width="13.4140625" style="94" customWidth="1"/>
    <col min="32" max="32" width="19" style="94" customWidth="1"/>
    <col min="33" max="47" width="13.4140625" style="94" customWidth="1"/>
    <col min="48" max="16384" width="14.4140625" style="94"/>
  </cols>
  <sheetData>
    <row r="1" spans="1:31" ht="46.5" x14ac:dyDescent="0.35">
      <c r="A1" s="183" t="s">
        <v>488</v>
      </c>
      <c r="B1" s="86"/>
      <c r="C1" s="87" t="s">
        <v>489</v>
      </c>
      <c r="D1" s="88"/>
      <c r="E1" s="88"/>
      <c r="F1" s="88"/>
      <c r="G1" s="88"/>
      <c r="H1" s="88"/>
      <c r="I1" s="88"/>
      <c r="J1" s="88"/>
      <c r="K1" s="88"/>
      <c r="L1" s="88"/>
      <c r="M1" s="88"/>
      <c r="N1" s="89"/>
      <c r="O1" s="88"/>
      <c r="P1" s="88"/>
      <c r="Q1" s="90"/>
      <c r="R1" s="91" t="s">
        <v>490</v>
      </c>
      <c r="S1" s="92"/>
      <c r="T1" s="86"/>
      <c r="U1" s="92"/>
      <c r="V1" s="92"/>
      <c r="W1" s="86"/>
      <c r="X1" s="739" t="s">
        <v>491</v>
      </c>
      <c r="Y1" s="86"/>
      <c r="Z1" s="93"/>
      <c r="AA1" s="86"/>
      <c r="AB1" s="86"/>
      <c r="AC1" s="86"/>
      <c r="AD1" s="86"/>
      <c r="AE1" s="86"/>
    </row>
    <row r="2" spans="1:31" ht="52.25" customHeight="1" x14ac:dyDescent="0.35">
      <c r="A2" s="85" t="s">
        <v>492</v>
      </c>
      <c r="B2" s="86"/>
      <c r="C2" s="95" t="s">
        <v>493</v>
      </c>
      <c r="D2" s="92"/>
      <c r="E2" s="92"/>
      <c r="F2" s="92"/>
      <c r="G2" s="92"/>
      <c r="H2" s="92"/>
      <c r="I2" s="92"/>
      <c r="J2" s="92"/>
      <c r="K2" s="92"/>
      <c r="L2" s="92"/>
      <c r="M2" s="92"/>
      <c r="N2" s="92"/>
      <c r="O2" s="92"/>
      <c r="P2" s="92"/>
      <c r="Q2" s="96"/>
      <c r="R2" s="95" t="s">
        <v>493</v>
      </c>
      <c r="S2" s="92"/>
      <c r="T2" s="86"/>
      <c r="U2" s="92"/>
      <c r="V2" s="92"/>
      <c r="W2" s="86"/>
      <c r="X2" s="738"/>
      <c r="Y2" s="86"/>
      <c r="Z2" s="93"/>
      <c r="AA2" s="86"/>
      <c r="AB2" s="86"/>
      <c r="AC2" s="86"/>
      <c r="AD2" s="86"/>
      <c r="AE2" s="86"/>
    </row>
    <row r="3" spans="1:31" ht="15.5" x14ac:dyDescent="0.35">
      <c r="A3" s="85" t="s">
        <v>570</v>
      </c>
      <c r="B3" s="86"/>
      <c r="C3" s="97"/>
      <c r="D3" s="98"/>
      <c r="E3" s="92"/>
      <c r="F3" s="92"/>
      <c r="G3" s="92"/>
      <c r="H3" s="92"/>
      <c r="I3" s="99"/>
      <c r="J3" s="99"/>
      <c r="K3" s="99"/>
      <c r="L3" s="99"/>
      <c r="M3" s="99"/>
      <c r="N3" s="99"/>
      <c r="O3" s="99"/>
      <c r="P3" s="99"/>
      <c r="Q3" s="100"/>
      <c r="R3" s="99"/>
      <c r="S3" s="92"/>
      <c r="T3" s="99"/>
      <c r="U3" s="101"/>
      <c r="V3" s="92"/>
      <c r="W3" s="86"/>
      <c r="X3" s="738"/>
      <c r="Y3" s="86"/>
      <c r="Z3" s="93"/>
      <c r="AA3" s="86"/>
      <c r="AB3" s="86"/>
      <c r="AC3" s="86"/>
      <c r="AD3" s="86"/>
      <c r="AE3" s="86"/>
    </row>
    <row r="4" spans="1:31" ht="15.5" x14ac:dyDescent="0.35">
      <c r="A4" s="102" t="s">
        <v>608</v>
      </c>
      <c r="B4" s="103"/>
      <c r="C4" s="97"/>
      <c r="D4" s="98"/>
      <c r="E4" s="92"/>
      <c r="F4" s="92"/>
      <c r="G4" s="92"/>
      <c r="H4" s="92"/>
      <c r="I4" s="99"/>
      <c r="J4" s="99"/>
      <c r="K4" s="99"/>
      <c r="L4" s="99"/>
      <c r="M4" s="99"/>
      <c r="N4" s="99"/>
      <c r="O4" s="99"/>
      <c r="P4" s="99"/>
      <c r="Q4" s="100"/>
      <c r="R4" s="99"/>
      <c r="S4" s="92"/>
      <c r="T4" s="104"/>
      <c r="U4" s="101"/>
      <c r="V4" s="92"/>
      <c r="W4" s="86"/>
      <c r="X4" s="738"/>
      <c r="Y4" s="86"/>
      <c r="Z4" s="93"/>
      <c r="AA4" s="86"/>
      <c r="AB4" s="86"/>
      <c r="AC4" s="86"/>
      <c r="AD4" s="86"/>
      <c r="AE4" s="86"/>
    </row>
    <row r="5" spans="1:31" ht="16" thickBot="1" x14ac:dyDescent="0.4">
      <c r="A5" s="105" t="s">
        <v>744</v>
      </c>
      <c r="B5" s="106"/>
      <c r="C5" s="740" t="s">
        <v>609</v>
      </c>
      <c r="D5" s="738"/>
      <c r="E5" s="738"/>
      <c r="F5" s="738"/>
      <c r="G5" s="738"/>
      <c r="H5" s="738"/>
      <c r="I5" s="741" t="s">
        <v>495</v>
      </c>
      <c r="J5" s="738"/>
      <c r="K5" s="738"/>
      <c r="L5" s="738"/>
      <c r="M5" s="738"/>
      <c r="N5" s="738"/>
      <c r="O5" s="738"/>
      <c r="P5" s="738"/>
      <c r="Q5" s="738"/>
      <c r="R5" s="738"/>
      <c r="S5" s="107"/>
      <c r="T5" s="104" t="s">
        <v>496</v>
      </c>
      <c r="U5" s="101"/>
      <c r="V5" s="92"/>
      <c r="W5" s="86"/>
      <c r="X5" s="738"/>
      <c r="Y5" s="86"/>
      <c r="Z5" s="93"/>
      <c r="AA5" s="86"/>
      <c r="AB5" s="86"/>
      <c r="AC5" s="86"/>
      <c r="AD5" s="86"/>
      <c r="AE5" s="86"/>
    </row>
    <row r="6" spans="1:31" ht="12" customHeight="1" x14ac:dyDescent="0.35">
      <c r="B6" s="86"/>
      <c r="C6" s="108"/>
      <c r="D6" s="109"/>
      <c r="E6" s="107"/>
      <c r="F6" s="107"/>
      <c r="G6" s="107"/>
      <c r="H6" s="110" t="s">
        <v>497</v>
      </c>
      <c r="I6" s="111" t="e">
        <f t="shared" ref="I6:R6" si="0">(+I13-I29)/$Z$12</f>
        <v>#DIV/0!</v>
      </c>
      <c r="J6" s="111" t="e">
        <f t="shared" si="0"/>
        <v>#DIV/0!</v>
      </c>
      <c r="K6" s="111" t="e">
        <f t="shared" si="0"/>
        <v>#DIV/0!</v>
      </c>
      <c r="L6" s="111" t="e">
        <f t="shared" si="0"/>
        <v>#DIV/0!</v>
      </c>
      <c r="M6" s="111" t="e">
        <f t="shared" si="0"/>
        <v>#DIV/0!</v>
      </c>
      <c r="N6" s="111" t="e">
        <f t="shared" si="0"/>
        <v>#DIV/0!</v>
      </c>
      <c r="O6" s="111" t="e">
        <f t="shared" si="0"/>
        <v>#DIV/0!</v>
      </c>
      <c r="P6" s="111" t="e">
        <f t="shared" si="0"/>
        <v>#DIV/0!</v>
      </c>
      <c r="Q6" s="111" t="e">
        <f t="shared" si="0"/>
        <v>#DIV/0!</v>
      </c>
      <c r="R6" s="111" t="e">
        <f t="shared" si="0"/>
        <v>#DIV/0!</v>
      </c>
      <c r="S6" s="107"/>
      <c r="T6" s="112" t="e">
        <f>SUM(I6:S6)</f>
        <v>#DIV/0!</v>
      </c>
      <c r="U6" s="113" t="s">
        <v>498</v>
      </c>
      <c r="V6" s="92"/>
      <c r="W6" s="86"/>
      <c r="X6" s="738"/>
      <c r="Y6" s="168"/>
      <c r="Z6" s="169"/>
      <c r="AA6" s="170"/>
      <c r="AB6" s="170"/>
      <c r="AC6" s="170"/>
      <c r="AD6" s="170"/>
      <c r="AE6" s="170"/>
    </row>
    <row r="7" spans="1:31" ht="12" customHeight="1" x14ac:dyDescent="0.35">
      <c r="B7" s="86"/>
      <c r="C7" s="96"/>
      <c r="D7" s="92"/>
      <c r="E7" s="92"/>
      <c r="F7" s="92"/>
      <c r="G7" s="92"/>
      <c r="H7" s="92"/>
      <c r="I7" s="114"/>
      <c r="J7" s="114"/>
      <c r="K7" s="114"/>
      <c r="L7" s="114"/>
      <c r="M7" s="114"/>
      <c r="N7" s="114"/>
      <c r="O7" s="114"/>
      <c r="P7" s="114"/>
      <c r="Q7" s="115"/>
      <c r="R7" s="114"/>
      <c r="S7" s="96"/>
      <c r="T7" s="86"/>
      <c r="U7" s="113" t="s">
        <v>499</v>
      </c>
      <c r="V7" s="92"/>
      <c r="W7" s="86"/>
      <c r="X7" s="738"/>
      <c r="Y7" s="742" t="s">
        <v>614</v>
      </c>
      <c r="Z7" s="738"/>
      <c r="AA7" s="738"/>
      <c r="AB7" s="738"/>
      <c r="AC7" s="738"/>
      <c r="AD7" s="738"/>
      <c r="AE7" s="738"/>
    </row>
    <row r="8" spans="1:31" ht="15.5" x14ac:dyDescent="0.35">
      <c r="A8" s="116"/>
      <c r="B8" s="104" t="s">
        <v>500</v>
      </c>
      <c r="C8" s="117">
        <v>44783</v>
      </c>
      <c r="D8" s="117">
        <v>44814</v>
      </c>
      <c r="E8" s="117">
        <v>44844</v>
      </c>
      <c r="F8" s="117">
        <v>44875</v>
      </c>
      <c r="G8" s="117">
        <v>44905</v>
      </c>
      <c r="H8" s="117">
        <v>44571</v>
      </c>
      <c r="I8" s="118">
        <v>44602</v>
      </c>
      <c r="J8" s="118">
        <v>44630</v>
      </c>
      <c r="K8" s="118">
        <v>44644</v>
      </c>
      <c r="L8" s="118">
        <v>44661</v>
      </c>
      <c r="M8" s="119">
        <v>44691</v>
      </c>
      <c r="N8" s="119">
        <v>44705</v>
      </c>
      <c r="O8" s="118">
        <v>44722</v>
      </c>
      <c r="P8" s="119">
        <v>44736</v>
      </c>
      <c r="Q8" s="118">
        <v>44752</v>
      </c>
      <c r="R8" s="118">
        <v>44783</v>
      </c>
      <c r="S8" s="96"/>
      <c r="T8" s="116"/>
      <c r="U8" s="113"/>
      <c r="V8" s="96"/>
      <c r="W8" s="116"/>
      <c r="X8" s="738"/>
      <c r="Y8" s="171" t="s">
        <v>501</v>
      </c>
      <c r="Z8" s="172"/>
      <c r="AA8" s="116"/>
      <c r="AB8" s="116"/>
      <c r="AC8" s="116"/>
      <c r="AD8" s="116"/>
      <c r="AE8" s="116"/>
    </row>
    <row r="9" spans="1:31" ht="15.5" x14ac:dyDescent="0.35">
      <c r="A9" s="116"/>
      <c r="B9" s="104"/>
      <c r="C9" s="120"/>
      <c r="D9" s="120"/>
      <c r="E9" s="120"/>
      <c r="F9" s="120"/>
      <c r="G9" s="120"/>
      <c r="H9" s="120"/>
      <c r="I9" s="115"/>
      <c r="J9" s="115"/>
      <c r="K9" s="115"/>
      <c r="L9" s="115"/>
      <c r="M9" s="115"/>
      <c r="N9" s="115"/>
      <c r="O9" s="115"/>
      <c r="P9" s="115"/>
      <c r="Q9" s="115"/>
      <c r="R9" s="115"/>
      <c r="S9" s="96"/>
      <c r="T9" s="116"/>
      <c r="U9" s="113"/>
      <c r="W9" s="116"/>
      <c r="X9" s="738"/>
      <c r="Y9" s="171" t="s">
        <v>502</v>
      </c>
      <c r="Z9" s="172"/>
      <c r="AA9" s="116"/>
      <c r="AB9" s="116"/>
      <c r="AC9" s="116"/>
      <c r="AD9" s="116"/>
      <c r="AE9" s="116"/>
    </row>
    <row r="10" spans="1:31" ht="15.5" x14ac:dyDescent="0.35">
      <c r="A10" s="116"/>
      <c r="B10" s="104" t="s">
        <v>503</v>
      </c>
      <c r="C10" s="120" t="s">
        <v>504</v>
      </c>
      <c r="D10" s="120" t="s">
        <v>505</v>
      </c>
      <c r="E10" s="120" t="s">
        <v>506</v>
      </c>
      <c r="F10" s="120" t="s">
        <v>507</v>
      </c>
      <c r="G10" s="120" t="s">
        <v>508</v>
      </c>
      <c r="H10" s="120" t="s">
        <v>509</v>
      </c>
      <c r="I10" s="115" t="s">
        <v>510</v>
      </c>
      <c r="J10" s="115" t="s">
        <v>511</v>
      </c>
      <c r="K10" s="115" t="s">
        <v>512</v>
      </c>
      <c r="L10" s="115" t="s">
        <v>513</v>
      </c>
      <c r="M10" s="115" t="s">
        <v>514</v>
      </c>
      <c r="N10" s="115" t="s">
        <v>515</v>
      </c>
      <c r="O10" s="115" t="s">
        <v>516</v>
      </c>
      <c r="P10" s="115" t="s">
        <v>517</v>
      </c>
      <c r="Q10" s="115" t="s">
        <v>518</v>
      </c>
      <c r="R10" s="115" t="s">
        <v>504</v>
      </c>
      <c r="S10" s="96" t="s">
        <v>519</v>
      </c>
      <c r="T10" s="116" t="s">
        <v>496</v>
      </c>
      <c r="U10" s="113" t="s">
        <v>520</v>
      </c>
      <c r="V10" s="96" t="s">
        <v>521</v>
      </c>
      <c r="W10" s="116"/>
      <c r="X10" s="738"/>
      <c r="Y10" s="173"/>
      <c r="Z10" s="172"/>
      <c r="AA10" s="116"/>
      <c r="AB10" s="116"/>
      <c r="AC10" s="116"/>
      <c r="AD10" s="116"/>
      <c r="AE10" s="116"/>
    </row>
    <row r="11" spans="1:31" ht="17.5" customHeight="1" x14ac:dyDescent="0.35">
      <c r="A11" s="86"/>
      <c r="B11" s="121" t="s">
        <v>522</v>
      </c>
      <c r="C11" s="122" t="s">
        <v>576</v>
      </c>
      <c r="D11" s="122" t="s">
        <v>576</v>
      </c>
      <c r="E11" s="122" t="s">
        <v>576</v>
      </c>
      <c r="F11" s="122" t="s">
        <v>576</v>
      </c>
      <c r="G11" s="122" t="s">
        <v>576</v>
      </c>
      <c r="H11" s="122" t="s">
        <v>576</v>
      </c>
      <c r="I11" s="122" t="s">
        <v>576</v>
      </c>
      <c r="J11" s="122" t="s">
        <v>576</v>
      </c>
      <c r="K11" s="122" t="s">
        <v>576</v>
      </c>
      <c r="L11" s="122" t="s">
        <v>576</v>
      </c>
      <c r="M11" s="122" t="s">
        <v>576</v>
      </c>
      <c r="N11" s="122" t="s">
        <v>576</v>
      </c>
      <c r="O11" s="122" t="s">
        <v>576</v>
      </c>
      <c r="P11" s="122" t="s">
        <v>576</v>
      </c>
      <c r="Q11" s="123" t="s">
        <v>577</v>
      </c>
      <c r="R11" s="123" t="s">
        <v>577</v>
      </c>
      <c r="S11" s="92"/>
      <c r="T11" s="86"/>
      <c r="U11" s="101"/>
      <c r="V11" s="92"/>
      <c r="W11" s="86"/>
      <c r="X11" s="743" t="s">
        <v>491</v>
      </c>
      <c r="Y11" s="174"/>
      <c r="Z11" s="93"/>
      <c r="AA11" s="85"/>
      <c r="AB11" s="86"/>
      <c r="AC11" s="86"/>
      <c r="AD11" s="86"/>
      <c r="AE11" s="86"/>
    </row>
    <row r="12" spans="1:31" ht="24" customHeight="1" x14ac:dyDescent="0.35">
      <c r="A12" s="86"/>
      <c r="B12" s="124" t="s">
        <v>525</v>
      </c>
      <c r="C12" s="96"/>
      <c r="D12" s="92"/>
      <c r="E12" s="92"/>
      <c r="F12" s="92"/>
      <c r="G12" s="92"/>
      <c r="H12" s="92"/>
      <c r="I12" s="92"/>
      <c r="J12" s="92"/>
      <c r="K12" s="92"/>
      <c r="L12" s="92"/>
      <c r="M12" s="92"/>
      <c r="N12" s="92"/>
      <c r="O12" s="92"/>
      <c r="P12" s="92"/>
      <c r="Q12" s="96"/>
      <c r="R12" s="92"/>
      <c r="S12" s="92"/>
      <c r="T12" s="86"/>
      <c r="U12" s="101"/>
      <c r="V12" s="92"/>
      <c r="W12" s="86"/>
      <c r="X12" s="738"/>
      <c r="Y12" s="174"/>
      <c r="Z12" s="184">
        <f>+'BOE Resolution'!B33</f>
        <v>0</v>
      </c>
      <c r="AA12" s="185" t="s">
        <v>735</v>
      </c>
      <c r="AB12" s="186"/>
      <c r="AC12" s="186"/>
      <c r="AD12" s="186"/>
      <c r="AE12" s="186"/>
    </row>
    <row r="13" spans="1:31" ht="48.75" customHeight="1" x14ac:dyDescent="0.25">
      <c r="A13" s="125" t="s">
        <v>526</v>
      </c>
      <c r="B13" s="126">
        <v>1110</v>
      </c>
      <c r="C13" s="127" t="s">
        <v>527</v>
      </c>
      <c r="D13" s="128"/>
      <c r="E13" s="128"/>
      <c r="F13" s="128"/>
      <c r="G13" s="128"/>
      <c r="H13" s="128"/>
      <c r="I13" s="128"/>
      <c r="J13" s="128"/>
      <c r="K13" s="128"/>
      <c r="L13" s="128"/>
      <c r="M13" s="128"/>
      <c r="N13" s="128"/>
      <c r="O13" s="128"/>
      <c r="P13" s="128"/>
      <c r="Q13" s="128"/>
      <c r="R13" s="129">
        <v>0</v>
      </c>
      <c r="S13" s="128"/>
      <c r="T13" s="130">
        <f>SUM(C13:S13)</f>
        <v>0</v>
      </c>
      <c r="U13" s="131">
        <v>0</v>
      </c>
      <c r="V13" s="130">
        <f>+T13+T18-T29-U13</f>
        <v>0</v>
      </c>
      <c r="W13" s="132"/>
      <c r="X13" s="738"/>
      <c r="Y13" s="175"/>
      <c r="Z13" s="187">
        <f>SUM(I13:R13)+SUM(I29:R29)</f>
        <v>0</v>
      </c>
      <c r="AA13" s="133" t="s">
        <v>528</v>
      </c>
      <c r="AB13" s="132"/>
      <c r="AC13" s="132"/>
      <c r="AD13" s="132"/>
      <c r="AE13" s="132"/>
    </row>
    <row r="14" spans="1:31" ht="15" customHeight="1" x14ac:dyDescent="0.25">
      <c r="A14" s="125" t="s">
        <v>529</v>
      </c>
      <c r="B14" s="126">
        <v>1140</v>
      </c>
      <c r="C14" s="129"/>
      <c r="D14" s="128"/>
      <c r="E14" s="128"/>
      <c r="F14" s="128"/>
      <c r="G14" s="128"/>
      <c r="H14" s="128"/>
      <c r="I14" s="128"/>
      <c r="J14" s="128"/>
      <c r="K14" s="128"/>
      <c r="L14" s="128"/>
      <c r="M14" s="128"/>
      <c r="N14" s="128"/>
      <c r="O14" s="128"/>
      <c r="P14" s="128"/>
      <c r="Q14" s="128"/>
      <c r="R14" s="134"/>
      <c r="S14" s="128"/>
      <c r="T14" s="135">
        <f>SUM(C14:S14)</f>
        <v>0</v>
      </c>
      <c r="U14" s="131">
        <v>0</v>
      </c>
      <c r="V14" s="135">
        <f>U14-T14-T15-T27-T28-T30</f>
        <v>0</v>
      </c>
      <c r="W14" s="136"/>
      <c r="X14" s="738"/>
      <c r="Y14" s="175"/>
      <c r="Z14" s="137">
        <f>Z12-Z13</f>
        <v>0</v>
      </c>
      <c r="AA14" s="133" t="s">
        <v>530</v>
      </c>
      <c r="AB14" s="132"/>
      <c r="AC14" s="132"/>
      <c r="AD14" s="132"/>
      <c r="AE14" s="132"/>
    </row>
    <row r="15" spans="1:31" ht="15" customHeight="1" x14ac:dyDescent="0.35">
      <c r="A15" s="138" t="s">
        <v>531</v>
      </c>
      <c r="B15" s="104">
        <v>1140</v>
      </c>
      <c r="C15" s="95"/>
      <c r="D15" s="96"/>
      <c r="E15" s="96"/>
      <c r="F15" s="96"/>
      <c r="G15" s="96"/>
      <c r="H15" s="96"/>
      <c r="I15" s="96"/>
      <c r="J15" s="96"/>
      <c r="K15" s="96"/>
      <c r="L15" s="96"/>
      <c r="M15" s="96"/>
      <c r="N15" s="96"/>
      <c r="O15" s="96"/>
      <c r="P15" s="96"/>
      <c r="Q15" s="96"/>
      <c r="R15" s="139"/>
      <c r="S15" s="96"/>
      <c r="T15" s="140">
        <f>SUM(C15:S15)</f>
        <v>0</v>
      </c>
      <c r="U15" s="113">
        <v>0</v>
      </c>
      <c r="V15" s="96"/>
      <c r="W15" s="86"/>
      <c r="X15" s="738"/>
      <c r="Y15" s="176" t="s">
        <v>532</v>
      </c>
      <c r="Z15" s="177"/>
      <c r="AA15" s="177"/>
      <c r="AB15" s="177"/>
      <c r="AC15" s="177"/>
      <c r="AD15" s="177"/>
      <c r="AE15" s="92"/>
    </row>
    <row r="16" spans="1:31" ht="15" customHeight="1" x14ac:dyDescent="0.35">
      <c r="A16" s="138" t="s">
        <v>611</v>
      </c>
      <c r="B16" s="104">
        <v>1140</v>
      </c>
      <c r="C16" s="95"/>
      <c r="D16" s="96"/>
      <c r="E16" s="96"/>
      <c r="F16" s="96"/>
      <c r="G16" s="96"/>
      <c r="H16" s="96"/>
      <c r="I16" s="96"/>
      <c r="J16" s="96"/>
      <c r="K16" s="96"/>
      <c r="L16" s="96"/>
      <c r="M16" s="96"/>
      <c r="N16" s="96"/>
      <c r="O16" s="96"/>
      <c r="P16" s="96"/>
      <c r="Q16" s="96"/>
      <c r="R16" s="139"/>
      <c r="S16" s="96"/>
      <c r="T16" s="96"/>
      <c r="U16" s="113"/>
      <c r="V16" s="96"/>
      <c r="W16" s="86"/>
      <c r="X16" s="738"/>
      <c r="Y16" s="178"/>
      <c r="AA16" s="132"/>
      <c r="AB16" s="107" t="s">
        <v>533</v>
      </c>
      <c r="AC16" s="107" t="s">
        <v>534</v>
      </c>
      <c r="AD16" s="132"/>
      <c r="AE16" s="132"/>
    </row>
    <row r="17" spans="1:31" ht="15" customHeight="1" x14ac:dyDescent="0.35">
      <c r="A17" s="138" t="s">
        <v>535</v>
      </c>
      <c r="B17" s="104">
        <v>1120</v>
      </c>
      <c r="C17" s="95"/>
      <c r="D17" s="96"/>
      <c r="E17" s="96"/>
      <c r="F17" s="96"/>
      <c r="G17" s="96"/>
      <c r="H17" s="96"/>
      <c r="I17" s="96"/>
      <c r="J17" s="96"/>
      <c r="K17" s="96"/>
      <c r="L17" s="96"/>
      <c r="M17" s="96"/>
      <c r="N17" s="96"/>
      <c r="O17" s="96"/>
      <c r="P17" s="96"/>
      <c r="Q17" s="96"/>
      <c r="R17" s="139"/>
      <c r="S17" s="96"/>
      <c r="T17" s="96">
        <f>SUM(C17:S17)</f>
        <v>0</v>
      </c>
      <c r="U17" s="113">
        <v>0</v>
      </c>
      <c r="V17" s="96">
        <f>+U17-T17</f>
        <v>0</v>
      </c>
      <c r="W17" s="86"/>
      <c r="X17" s="738"/>
      <c r="Y17" s="179" t="s">
        <v>536</v>
      </c>
      <c r="AA17" s="167" t="s">
        <v>571</v>
      </c>
      <c r="AB17" s="96">
        <f>Z14</f>
        <v>0</v>
      </c>
      <c r="AC17" s="96"/>
      <c r="AD17" s="92"/>
      <c r="AE17" s="92"/>
    </row>
    <row r="18" spans="1:31" ht="15" customHeight="1" x14ac:dyDescent="0.35">
      <c r="A18" s="138" t="s">
        <v>538</v>
      </c>
      <c r="B18" s="104">
        <v>1110</v>
      </c>
      <c r="C18" s="96"/>
      <c r="D18" s="96"/>
      <c r="E18" s="96"/>
      <c r="F18" s="96"/>
      <c r="G18" s="96"/>
      <c r="H18" s="96"/>
      <c r="I18" s="96"/>
      <c r="J18" s="96"/>
      <c r="K18" s="96"/>
      <c r="L18" s="96"/>
      <c r="M18" s="96"/>
      <c r="N18" s="96"/>
      <c r="O18" s="96"/>
      <c r="P18" s="96"/>
      <c r="Q18" s="96"/>
      <c r="R18" s="96"/>
      <c r="S18" s="96"/>
      <c r="T18" s="141">
        <f>SUM(C18:S18)</f>
        <v>0</v>
      </c>
      <c r="U18" s="113"/>
      <c r="V18" s="96"/>
      <c r="W18" s="86"/>
      <c r="X18" s="738"/>
      <c r="Y18" s="179" t="s">
        <v>613</v>
      </c>
      <c r="AA18" s="167" t="s">
        <v>572</v>
      </c>
      <c r="AB18" s="96"/>
      <c r="AC18" s="96">
        <f>Z14</f>
        <v>0</v>
      </c>
      <c r="AD18" s="92"/>
      <c r="AE18" s="92"/>
    </row>
    <row r="19" spans="1:31" ht="15" customHeight="1" thickBot="1" x14ac:dyDescent="0.4">
      <c r="A19" s="138" t="s">
        <v>540</v>
      </c>
      <c r="B19" s="104">
        <v>2030</v>
      </c>
      <c r="C19" s="96"/>
      <c r="D19" s="96"/>
      <c r="E19" s="96"/>
      <c r="F19" s="96"/>
      <c r="G19" s="96"/>
      <c r="H19" s="96"/>
      <c r="I19" s="96"/>
      <c r="J19" s="96"/>
      <c r="K19" s="96"/>
      <c r="L19" s="96"/>
      <c r="M19" s="96"/>
      <c r="N19" s="96"/>
      <c r="O19" s="96"/>
      <c r="P19" s="96"/>
      <c r="Q19" s="96"/>
      <c r="R19" s="96"/>
      <c r="S19" s="96"/>
      <c r="T19" s="96">
        <f>SUM(C19:S19)</f>
        <v>0</v>
      </c>
      <c r="U19" s="113"/>
      <c r="V19" s="96">
        <f>+U19-T19</f>
        <v>0</v>
      </c>
      <c r="W19" s="86"/>
      <c r="X19" s="738"/>
      <c r="Y19" s="180"/>
      <c r="Z19" s="181"/>
      <c r="AA19" s="182"/>
      <c r="AB19" s="182"/>
      <c r="AC19" s="182"/>
      <c r="AD19" s="182"/>
      <c r="AE19" s="182"/>
    </row>
    <row r="20" spans="1:31" ht="12" customHeight="1" x14ac:dyDescent="0.35">
      <c r="A20" s="86"/>
      <c r="B20" s="116"/>
      <c r="C20" s="96"/>
      <c r="D20" s="96"/>
      <c r="E20" s="96"/>
      <c r="F20" s="96"/>
      <c r="G20" s="96"/>
      <c r="H20" s="96"/>
      <c r="I20" s="96"/>
      <c r="J20" s="96"/>
      <c r="K20" s="96"/>
      <c r="L20" s="96"/>
      <c r="M20" s="96"/>
      <c r="N20" s="96"/>
      <c r="O20" s="96"/>
      <c r="P20" s="96"/>
      <c r="Q20" s="96"/>
      <c r="R20" s="96"/>
      <c r="S20" s="96"/>
      <c r="T20" s="116"/>
      <c r="U20" s="113"/>
      <c r="V20" s="96"/>
      <c r="W20" s="86"/>
      <c r="X20" s="738"/>
      <c r="Y20" s="86"/>
      <c r="Z20" s="93"/>
      <c r="AA20" s="86"/>
      <c r="AB20" s="86"/>
      <c r="AC20" s="86"/>
      <c r="AD20" s="86"/>
      <c r="AE20" s="86"/>
    </row>
    <row r="21" spans="1:31" ht="14.5" customHeight="1" x14ac:dyDescent="0.35">
      <c r="A21" s="86"/>
      <c r="B21" s="104" t="s">
        <v>541</v>
      </c>
      <c r="C21" s="142">
        <f t="shared" ref="C21:V21" si="1">SUM(C13:C20)</f>
        <v>0</v>
      </c>
      <c r="D21" s="142">
        <f t="shared" si="1"/>
        <v>0</v>
      </c>
      <c r="E21" s="142">
        <f t="shared" si="1"/>
        <v>0</v>
      </c>
      <c r="F21" s="142">
        <f t="shared" si="1"/>
        <v>0</v>
      </c>
      <c r="G21" s="142">
        <f t="shared" si="1"/>
        <v>0</v>
      </c>
      <c r="H21" s="142">
        <f t="shared" si="1"/>
        <v>0</v>
      </c>
      <c r="I21" s="142">
        <f t="shared" si="1"/>
        <v>0</v>
      </c>
      <c r="J21" s="142">
        <f t="shared" si="1"/>
        <v>0</v>
      </c>
      <c r="K21" s="142">
        <f t="shared" si="1"/>
        <v>0</v>
      </c>
      <c r="L21" s="142">
        <f t="shared" si="1"/>
        <v>0</v>
      </c>
      <c r="M21" s="142">
        <f t="shared" si="1"/>
        <v>0</v>
      </c>
      <c r="N21" s="142">
        <f t="shared" si="1"/>
        <v>0</v>
      </c>
      <c r="O21" s="142">
        <f t="shared" si="1"/>
        <v>0</v>
      </c>
      <c r="P21" s="142">
        <f t="shared" si="1"/>
        <v>0</v>
      </c>
      <c r="Q21" s="142">
        <f t="shared" si="1"/>
        <v>0</v>
      </c>
      <c r="R21" s="142">
        <f t="shared" si="1"/>
        <v>0</v>
      </c>
      <c r="S21" s="142">
        <f t="shared" si="1"/>
        <v>0</v>
      </c>
      <c r="T21" s="142">
        <f t="shared" si="1"/>
        <v>0</v>
      </c>
      <c r="U21" s="143">
        <f t="shared" si="1"/>
        <v>0</v>
      </c>
      <c r="V21" s="142">
        <f t="shared" si="1"/>
        <v>0</v>
      </c>
      <c r="W21" s="86"/>
      <c r="X21" s="738"/>
      <c r="Y21" s="144" t="s">
        <v>542</v>
      </c>
      <c r="Z21" s="145"/>
      <c r="AA21" s="145"/>
      <c r="AB21" s="145"/>
      <c r="AC21" s="145"/>
      <c r="AD21" s="145"/>
      <c r="AE21" s="145"/>
    </row>
    <row r="22" spans="1:31" ht="17" customHeight="1" x14ac:dyDescent="0.35">
      <c r="A22" s="86"/>
      <c r="B22" s="124" t="s">
        <v>525</v>
      </c>
      <c r="C22" s="96"/>
      <c r="D22" s="96"/>
      <c r="E22" s="96"/>
      <c r="F22" s="96"/>
      <c r="G22" s="96"/>
      <c r="H22" s="96"/>
      <c r="I22" s="96"/>
      <c r="J22" s="96"/>
      <c r="K22" s="96"/>
      <c r="L22" s="96"/>
      <c r="M22" s="96"/>
      <c r="N22" s="96"/>
      <c r="O22" s="96"/>
      <c r="P22" s="96"/>
      <c r="Q22" s="96"/>
      <c r="R22" s="96"/>
      <c r="S22" s="96"/>
      <c r="T22" s="96"/>
      <c r="U22" s="113"/>
      <c r="V22" s="96"/>
      <c r="W22" s="86"/>
      <c r="X22" s="738"/>
      <c r="Y22" s="92" t="s">
        <v>543</v>
      </c>
      <c r="Z22" s="93"/>
      <c r="AA22" s="92"/>
      <c r="AB22" s="92"/>
      <c r="AC22" s="92"/>
      <c r="AD22" s="92"/>
      <c r="AE22" s="92"/>
    </row>
    <row r="23" spans="1:31" ht="15" customHeight="1" x14ac:dyDescent="0.35">
      <c r="A23" s="138" t="s">
        <v>544</v>
      </c>
      <c r="B23" s="116">
        <v>1141</v>
      </c>
      <c r="C23" s="95"/>
      <c r="D23" s="96"/>
      <c r="E23" s="96"/>
      <c r="F23" s="96"/>
      <c r="G23" s="96"/>
      <c r="H23" s="96"/>
      <c r="I23" s="96"/>
      <c r="J23" s="96"/>
      <c r="K23" s="96"/>
      <c r="L23" s="96"/>
      <c r="M23" s="96"/>
      <c r="N23" s="96"/>
      <c r="O23" s="96"/>
      <c r="P23" s="96"/>
      <c r="Q23" s="96"/>
      <c r="R23" s="146"/>
      <c r="S23" s="96"/>
      <c r="T23" s="147">
        <f t="shared" ref="T23:T30" si="2">SUM(C23:S23)</f>
        <v>0</v>
      </c>
      <c r="U23" s="113">
        <v>0</v>
      </c>
      <c r="V23" s="147">
        <f>U23-T23-T24-T25-T26</f>
        <v>0</v>
      </c>
      <c r="W23" s="148"/>
      <c r="X23" s="738"/>
      <c r="Y23" s="92"/>
      <c r="Z23" s="149">
        <f>Z14</f>
        <v>0</v>
      </c>
      <c r="AA23" s="133" t="s">
        <v>545</v>
      </c>
      <c r="AB23" s="92"/>
      <c r="AC23" s="92"/>
      <c r="AD23" s="92"/>
      <c r="AE23" s="92"/>
    </row>
    <row r="24" spans="1:31" ht="15" customHeight="1" x14ac:dyDescent="0.35">
      <c r="A24" s="138" t="s">
        <v>546</v>
      </c>
      <c r="B24" s="116">
        <v>1141</v>
      </c>
      <c r="C24" s="95"/>
      <c r="D24" s="96"/>
      <c r="E24" s="96"/>
      <c r="F24" s="96"/>
      <c r="G24" s="96"/>
      <c r="H24" s="96"/>
      <c r="I24" s="96"/>
      <c r="J24" s="96"/>
      <c r="K24" s="96"/>
      <c r="L24" s="96"/>
      <c r="M24" s="96"/>
      <c r="N24" s="96"/>
      <c r="O24" s="96"/>
      <c r="P24" s="96"/>
      <c r="Q24" s="96"/>
      <c r="R24" s="146"/>
      <c r="S24" s="96"/>
      <c r="T24" s="147">
        <f t="shared" si="2"/>
        <v>0</v>
      </c>
      <c r="U24" s="113"/>
      <c r="V24" s="96"/>
      <c r="W24" s="86"/>
      <c r="X24" s="150"/>
      <c r="Y24" s="92"/>
      <c r="Z24" s="93"/>
      <c r="AA24" s="92" t="s">
        <v>547</v>
      </c>
      <c r="AB24" s="92"/>
      <c r="AC24" s="92"/>
      <c r="AD24" s="92"/>
      <c r="AE24" s="92"/>
    </row>
    <row r="25" spans="1:31" ht="15" customHeight="1" x14ac:dyDescent="0.35">
      <c r="A25" s="138" t="s">
        <v>548</v>
      </c>
      <c r="B25" s="116">
        <v>1141</v>
      </c>
      <c r="C25" s="95"/>
      <c r="D25" s="96"/>
      <c r="E25" s="96"/>
      <c r="F25" s="96"/>
      <c r="G25" s="96"/>
      <c r="H25" s="96"/>
      <c r="I25" s="96"/>
      <c r="J25" s="96"/>
      <c r="K25" s="96"/>
      <c r="L25" s="96"/>
      <c r="M25" s="96"/>
      <c r="N25" s="96"/>
      <c r="O25" s="96"/>
      <c r="P25" s="96"/>
      <c r="Q25" s="96"/>
      <c r="R25" s="146"/>
      <c r="S25" s="96"/>
      <c r="T25" s="147">
        <f t="shared" si="2"/>
        <v>0</v>
      </c>
      <c r="U25" s="113"/>
      <c r="V25" s="96"/>
      <c r="W25" s="86"/>
      <c r="X25" s="150"/>
      <c r="Y25" s="92"/>
      <c r="Z25" s="151" t="e">
        <f>Z23/Z24-1</f>
        <v>#DIV/0!</v>
      </c>
      <c r="AA25" s="152" t="s">
        <v>549</v>
      </c>
      <c r="AB25" s="92"/>
      <c r="AC25" s="92"/>
      <c r="AD25" s="92"/>
      <c r="AE25" s="92"/>
    </row>
    <row r="26" spans="1:31" ht="15" customHeight="1" x14ac:dyDescent="0.35">
      <c r="A26" s="138" t="s">
        <v>550</v>
      </c>
      <c r="B26" s="116">
        <v>1141</v>
      </c>
      <c r="C26" s="95"/>
      <c r="D26" s="96"/>
      <c r="E26" s="96"/>
      <c r="F26" s="96"/>
      <c r="G26" s="96"/>
      <c r="H26" s="96"/>
      <c r="I26" s="96"/>
      <c r="J26" s="96"/>
      <c r="K26" s="96"/>
      <c r="L26" s="96"/>
      <c r="M26" s="96"/>
      <c r="N26" s="96"/>
      <c r="O26" s="96"/>
      <c r="P26" s="96"/>
      <c r="Q26" s="96"/>
      <c r="R26" s="146"/>
      <c r="S26" s="96"/>
      <c r="T26" s="147">
        <f t="shared" si="2"/>
        <v>0</v>
      </c>
      <c r="U26" s="113"/>
      <c r="V26" s="96"/>
      <c r="W26" s="86"/>
      <c r="X26" s="150"/>
      <c r="Y26" s="92"/>
      <c r="Z26" s="93"/>
      <c r="AA26" s="92"/>
      <c r="AB26" s="92"/>
      <c r="AC26" s="92"/>
      <c r="AD26" s="92"/>
      <c r="AE26" s="92"/>
    </row>
    <row r="27" spans="1:31" ht="15" customHeight="1" x14ac:dyDescent="0.35">
      <c r="A27" s="138" t="s">
        <v>551</v>
      </c>
      <c r="B27" s="116">
        <v>1140</v>
      </c>
      <c r="C27" s="95"/>
      <c r="D27" s="96"/>
      <c r="E27" s="96"/>
      <c r="F27" s="96"/>
      <c r="G27" s="96"/>
      <c r="H27" s="96"/>
      <c r="I27" s="96"/>
      <c r="J27" s="96"/>
      <c r="K27" s="96"/>
      <c r="L27" s="96"/>
      <c r="M27" s="96"/>
      <c r="N27" s="96"/>
      <c r="O27" s="96"/>
      <c r="P27" s="96"/>
      <c r="Q27" s="96"/>
      <c r="R27" s="139"/>
      <c r="S27" s="96"/>
      <c r="T27" s="140">
        <f t="shared" si="2"/>
        <v>0</v>
      </c>
      <c r="U27" s="113"/>
      <c r="V27" s="96"/>
      <c r="W27" s="86"/>
      <c r="X27" s="744" t="s">
        <v>491</v>
      </c>
      <c r="Y27" s="92"/>
      <c r="Z27" s="93"/>
      <c r="AA27" s="92"/>
      <c r="AB27" s="92"/>
      <c r="AC27" s="92"/>
      <c r="AD27" s="92"/>
      <c r="AE27" s="92"/>
    </row>
    <row r="28" spans="1:31" ht="15" customHeight="1" x14ac:dyDescent="0.35">
      <c r="A28" s="138" t="s">
        <v>552</v>
      </c>
      <c r="B28" s="116">
        <v>1140</v>
      </c>
      <c r="C28" s="95"/>
      <c r="D28" s="96"/>
      <c r="E28" s="96"/>
      <c r="F28" s="96"/>
      <c r="G28" s="96"/>
      <c r="H28" s="96"/>
      <c r="I28" s="96"/>
      <c r="J28" s="96"/>
      <c r="K28" s="96"/>
      <c r="L28" s="96"/>
      <c r="M28" s="96"/>
      <c r="N28" s="96"/>
      <c r="O28" s="96"/>
      <c r="P28" s="96"/>
      <c r="Q28" s="96"/>
      <c r="R28" s="139"/>
      <c r="S28" s="96"/>
      <c r="T28" s="140">
        <f t="shared" si="2"/>
        <v>0</v>
      </c>
      <c r="U28" s="113"/>
      <c r="V28" s="96"/>
      <c r="W28" s="86"/>
      <c r="X28" s="738"/>
      <c r="Y28" s="92"/>
      <c r="Z28" s="93"/>
      <c r="AA28" s="92"/>
      <c r="AB28" s="92"/>
      <c r="AC28" s="92"/>
      <c r="AD28" s="92"/>
      <c r="AE28" s="92"/>
    </row>
    <row r="29" spans="1:31" ht="31" x14ac:dyDescent="0.25">
      <c r="A29" s="125" t="s">
        <v>553</v>
      </c>
      <c r="B29" s="153">
        <v>1110</v>
      </c>
      <c r="C29" s="127" t="s">
        <v>527</v>
      </c>
      <c r="D29" s="128"/>
      <c r="E29" s="128"/>
      <c r="F29" s="128"/>
      <c r="G29" s="128"/>
      <c r="H29" s="128"/>
      <c r="I29" s="128"/>
      <c r="J29" s="128"/>
      <c r="K29" s="128"/>
      <c r="L29" s="128"/>
      <c r="M29" s="128"/>
      <c r="N29" s="128"/>
      <c r="O29" s="128"/>
      <c r="P29" s="128"/>
      <c r="Q29" s="128"/>
      <c r="R29" s="129"/>
      <c r="S29" s="128"/>
      <c r="T29" s="130">
        <f t="shared" si="2"/>
        <v>0</v>
      </c>
      <c r="U29" s="131"/>
      <c r="V29" s="128"/>
      <c r="W29" s="154"/>
      <c r="X29" s="738"/>
      <c r="Y29" s="132"/>
      <c r="Z29" s="155"/>
      <c r="AA29" s="132"/>
      <c r="AB29" s="132"/>
      <c r="AC29" s="132"/>
      <c r="AD29" s="132"/>
      <c r="AE29" s="132"/>
    </row>
    <row r="30" spans="1:31" ht="15" customHeight="1" x14ac:dyDescent="0.35">
      <c r="A30" s="138" t="s">
        <v>554</v>
      </c>
      <c r="B30" s="116">
        <v>1140</v>
      </c>
      <c r="C30" s="95"/>
      <c r="D30" s="96"/>
      <c r="E30" s="96"/>
      <c r="F30" s="96"/>
      <c r="G30" s="96"/>
      <c r="H30" s="96"/>
      <c r="I30" s="96"/>
      <c r="J30" s="96"/>
      <c r="K30" s="96"/>
      <c r="L30" s="96"/>
      <c r="M30" s="96"/>
      <c r="N30" s="96"/>
      <c r="O30" s="96"/>
      <c r="P30" s="96"/>
      <c r="Q30" s="96"/>
      <c r="R30" s="139"/>
      <c r="S30" s="96"/>
      <c r="T30" s="140">
        <f t="shared" si="2"/>
        <v>0</v>
      </c>
      <c r="U30" s="113"/>
      <c r="V30" s="96"/>
      <c r="W30" s="86"/>
      <c r="X30" s="738"/>
      <c r="Y30" s="92"/>
      <c r="Z30" s="93"/>
      <c r="AA30" s="92"/>
      <c r="AB30" s="92"/>
      <c r="AC30" s="92"/>
      <c r="AD30" s="92"/>
      <c r="AE30" s="92"/>
    </row>
    <row r="31" spans="1:31" ht="15" customHeight="1" x14ac:dyDescent="0.35">
      <c r="A31" s="737" t="s">
        <v>555</v>
      </c>
      <c r="B31" s="738"/>
      <c r="C31" s="90"/>
      <c r="D31" s="96"/>
      <c r="E31" s="96"/>
      <c r="F31" s="96"/>
      <c r="G31" s="96"/>
      <c r="H31" s="96"/>
      <c r="I31" s="96"/>
      <c r="J31" s="96"/>
      <c r="K31" s="96"/>
      <c r="L31" s="96"/>
      <c r="M31" s="96"/>
      <c r="N31" s="96"/>
      <c r="O31" s="96"/>
      <c r="P31" s="96"/>
      <c r="Q31" s="96"/>
      <c r="R31" s="139"/>
      <c r="S31" s="96"/>
      <c r="T31" s="96"/>
      <c r="U31" s="113"/>
      <c r="V31" s="96"/>
      <c r="W31" s="86"/>
      <c r="X31" s="738"/>
      <c r="Y31" s="92"/>
      <c r="Z31" s="93"/>
      <c r="AA31" s="92"/>
      <c r="AB31" s="92"/>
      <c r="AC31" s="92"/>
      <c r="AD31" s="92"/>
      <c r="AE31" s="92"/>
    </row>
    <row r="32" spans="1:31" ht="30" customHeight="1" x14ac:dyDescent="0.35">
      <c r="A32" s="156" t="s">
        <v>556</v>
      </c>
      <c r="B32" s="157" t="s">
        <v>573</v>
      </c>
      <c r="C32" s="95"/>
      <c r="D32" s="127"/>
      <c r="E32" s="127"/>
      <c r="F32" s="127"/>
      <c r="G32" s="127"/>
      <c r="H32" s="127"/>
      <c r="I32" s="127"/>
      <c r="J32" s="127"/>
      <c r="K32" s="127"/>
      <c r="L32" s="127"/>
      <c r="M32" s="127"/>
      <c r="N32" s="127"/>
      <c r="O32" s="127"/>
      <c r="P32" s="127"/>
      <c r="Q32" s="127"/>
      <c r="R32" s="158"/>
      <c r="S32" s="127"/>
      <c r="T32" s="159">
        <f>SUM(C32:S32)</f>
        <v>0</v>
      </c>
      <c r="U32" s="160">
        <v>-100</v>
      </c>
      <c r="V32" s="159">
        <f>+U32-T32</f>
        <v>-100</v>
      </c>
      <c r="W32" s="157"/>
      <c r="X32" s="738"/>
      <c r="Y32" s="127"/>
      <c r="Z32" s="161"/>
      <c r="AA32" s="127"/>
      <c r="AB32" s="127"/>
      <c r="AC32" s="127"/>
      <c r="AD32" s="127"/>
      <c r="AE32" s="127"/>
    </row>
    <row r="33" spans="2:24" ht="12" customHeight="1" x14ac:dyDescent="0.35">
      <c r="B33" s="86"/>
      <c r="C33" s="96"/>
      <c r="D33" s="96"/>
      <c r="E33" s="96"/>
      <c r="F33" s="96"/>
      <c r="G33" s="96"/>
      <c r="H33" s="96"/>
      <c r="I33" s="96"/>
      <c r="J33" s="96"/>
      <c r="K33" s="96"/>
      <c r="L33" s="96"/>
      <c r="M33" s="96"/>
      <c r="N33" s="96"/>
      <c r="O33" s="96"/>
      <c r="P33" s="96"/>
      <c r="Q33" s="96"/>
      <c r="R33" s="96"/>
      <c r="S33" s="96"/>
      <c r="T33" s="96"/>
      <c r="U33" s="113"/>
      <c r="V33" s="96"/>
      <c r="W33" s="86"/>
      <c r="X33" s="738"/>
    </row>
    <row r="34" spans="2:24" ht="15.5" x14ac:dyDescent="0.35">
      <c r="B34" s="104" t="s">
        <v>558</v>
      </c>
      <c r="C34" s="142">
        <f t="shared" ref="C34:V34" si="3">SUM(C23:C33)</f>
        <v>0</v>
      </c>
      <c r="D34" s="142">
        <f t="shared" si="3"/>
        <v>0</v>
      </c>
      <c r="E34" s="142">
        <f t="shared" si="3"/>
        <v>0</v>
      </c>
      <c r="F34" s="142">
        <f t="shared" si="3"/>
        <v>0</v>
      </c>
      <c r="G34" s="142">
        <f t="shared" si="3"/>
        <v>0</v>
      </c>
      <c r="H34" s="142">
        <f t="shared" si="3"/>
        <v>0</v>
      </c>
      <c r="I34" s="142">
        <f t="shared" si="3"/>
        <v>0</v>
      </c>
      <c r="J34" s="142">
        <f t="shared" si="3"/>
        <v>0</v>
      </c>
      <c r="K34" s="142">
        <f t="shared" si="3"/>
        <v>0</v>
      </c>
      <c r="L34" s="142">
        <f t="shared" si="3"/>
        <v>0</v>
      </c>
      <c r="M34" s="142">
        <f t="shared" si="3"/>
        <v>0</v>
      </c>
      <c r="N34" s="142">
        <f t="shared" si="3"/>
        <v>0</v>
      </c>
      <c r="O34" s="142">
        <f t="shared" si="3"/>
        <v>0</v>
      </c>
      <c r="P34" s="142">
        <f t="shared" si="3"/>
        <v>0</v>
      </c>
      <c r="Q34" s="142">
        <f t="shared" si="3"/>
        <v>0</v>
      </c>
      <c r="R34" s="142">
        <f t="shared" si="3"/>
        <v>0</v>
      </c>
      <c r="S34" s="142">
        <f t="shared" si="3"/>
        <v>0</v>
      </c>
      <c r="T34" s="142">
        <f t="shared" si="3"/>
        <v>0</v>
      </c>
      <c r="U34" s="143">
        <f t="shared" si="3"/>
        <v>-100</v>
      </c>
      <c r="V34" s="142">
        <f t="shared" si="3"/>
        <v>-100</v>
      </c>
      <c r="W34" s="85"/>
      <c r="X34" s="738"/>
    </row>
    <row r="35" spans="2:24" ht="12" customHeight="1" x14ac:dyDescent="0.35">
      <c r="B35" s="86"/>
      <c r="C35" s="96"/>
      <c r="D35" s="96"/>
      <c r="E35" s="96"/>
      <c r="F35" s="96"/>
      <c r="G35" s="96"/>
      <c r="H35" s="96"/>
      <c r="I35" s="96"/>
      <c r="J35" s="96"/>
      <c r="K35" s="96"/>
      <c r="L35" s="96"/>
      <c r="M35" s="96"/>
      <c r="N35" s="96"/>
      <c r="O35" s="96"/>
      <c r="P35" s="96"/>
      <c r="Q35" s="96"/>
      <c r="R35" s="96"/>
      <c r="S35" s="96"/>
      <c r="T35" s="96"/>
      <c r="U35" s="113"/>
      <c r="V35" s="96"/>
      <c r="W35" s="86"/>
      <c r="X35" s="738"/>
    </row>
    <row r="36" spans="2:24" ht="15.5" x14ac:dyDescent="0.35">
      <c r="B36" s="162" t="s">
        <v>559</v>
      </c>
      <c r="C36" s="142">
        <f t="shared" ref="C36:U36" si="4">C21+C34</f>
        <v>0</v>
      </c>
      <c r="D36" s="142">
        <f t="shared" si="4"/>
        <v>0</v>
      </c>
      <c r="E36" s="142">
        <f t="shared" si="4"/>
        <v>0</v>
      </c>
      <c r="F36" s="142">
        <f t="shared" si="4"/>
        <v>0</v>
      </c>
      <c r="G36" s="142">
        <f t="shared" si="4"/>
        <v>0</v>
      </c>
      <c r="H36" s="142">
        <f t="shared" si="4"/>
        <v>0</v>
      </c>
      <c r="I36" s="142">
        <f t="shared" si="4"/>
        <v>0</v>
      </c>
      <c r="J36" s="142">
        <f t="shared" si="4"/>
        <v>0</v>
      </c>
      <c r="K36" s="142">
        <f t="shared" si="4"/>
        <v>0</v>
      </c>
      <c r="L36" s="142">
        <f t="shared" si="4"/>
        <v>0</v>
      </c>
      <c r="M36" s="142">
        <f t="shared" si="4"/>
        <v>0</v>
      </c>
      <c r="N36" s="142">
        <f t="shared" si="4"/>
        <v>0</v>
      </c>
      <c r="O36" s="142">
        <f t="shared" si="4"/>
        <v>0</v>
      </c>
      <c r="P36" s="142">
        <f t="shared" si="4"/>
        <v>0</v>
      </c>
      <c r="Q36" s="142">
        <f t="shared" si="4"/>
        <v>0</v>
      </c>
      <c r="R36" s="142">
        <f t="shared" si="4"/>
        <v>0</v>
      </c>
      <c r="S36" s="142">
        <f t="shared" si="4"/>
        <v>0</v>
      </c>
      <c r="T36" s="142">
        <f t="shared" si="4"/>
        <v>0</v>
      </c>
      <c r="U36" s="143">
        <f t="shared" si="4"/>
        <v>-100</v>
      </c>
      <c r="V36" s="142">
        <f>U36-T36</f>
        <v>-100</v>
      </c>
      <c r="W36" s="85"/>
      <c r="X36" s="738"/>
    </row>
    <row r="37" spans="2:24" ht="12" customHeight="1" x14ac:dyDescent="0.35">
      <c r="B37" s="86"/>
      <c r="C37" s="96"/>
      <c r="D37" s="96"/>
      <c r="E37" s="96"/>
      <c r="F37" s="96"/>
      <c r="G37" s="96"/>
      <c r="H37" s="96"/>
      <c r="I37" s="96"/>
      <c r="J37" s="96"/>
      <c r="K37" s="96"/>
      <c r="L37" s="96"/>
      <c r="M37" s="96"/>
      <c r="N37" s="96"/>
      <c r="O37" s="96"/>
      <c r="P37" s="96"/>
      <c r="Q37" s="96"/>
      <c r="R37" s="96"/>
      <c r="S37" s="96"/>
      <c r="T37" s="116"/>
      <c r="U37" s="113"/>
      <c r="V37" s="96"/>
      <c r="W37" s="86"/>
      <c r="X37" s="738"/>
    </row>
  </sheetData>
  <mergeCells count="7">
    <mergeCell ref="A31:B31"/>
    <mergeCell ref="X1:X10"/>
    <mergeCell ref="C5:H5"/>
    <mergeCell ref="I5:R5"/>
    <mergeCell ref="Y7:AE7"/>
    <mergeCell ref="X11:X23"/>
    <mergeCell ref="X27:X37"/>
  </mergeCells>
  <pageMargins left="0.24" right="0.32" top="0.75" bottom="0.75" header="0" footer="0"/>
  <pageSetup orientation="landscape"/>
  <headerFooter>
    <oddFooter>&amp;L&amp;D &amp;T&amp;R&amp;F</oddFooter>
  </headerFooter>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5EC76-4298-453B-83DA-2A3D140D8C15}">
  <sheetPr>
    <tabColor theme="9" tint="0.59999389629810485"/>
    <pageSetUpPr fitToPage="1"/>
  </sheetPr>
  <dimension ref="A1:AE37"/>
  <sheetViews>
    <sheetView topLeftCell="O1" workbookViewId="0">
      <selection activeCell="Z13" sqref="Z13"/>
    </sheetView>
  </sheetViews>
  <sheetFormatPr defaultColWidth="14.4140625" defaultRowHeight="15" customHeight="1" x14ac:dyDescent="0.25"/>
  <cols>
    <col min="1" max="1" width="34.58203125" style="94" customWidth="1"/>
    <col min="2" max="2" width="25.75" style="94" customWidth="1"/>
    <col min="3" max="3" width="24.58203125" style="94" customWidth="1"/>
    <col min="4" max="4" width="17.4140625" style="94" customWidth="1"/>
    <col min="5" max="7" width="15.58203125" style="94" customWidth="1"/>
    <col min="8" max="8" width="18.33203125" style="94" customWidth="1"/>
    <col min="9" max="9" width="15.08203125" style="94" customWidth="1"/>
    <col min="10" max="10" width="16.75" style="94" customWidth="1"/>
    <col min="11" max="11" width="17.4140625" style="94" customWidth="1"/>
    <col min="12" max="12" width="15.33203125" style="94" customWidth="1"/>
    <col min="13" max="13" width="15.58203125" style="94" bestFit="1" customWidth="1"/>
    <col min="14" max="14" width="14.4140625" style="94" customWidth="1"/>
    <col min="15" max="15" width="15.58203125" style="94" customWidth="1"/>
    <col min="16" max="16" width="14.58203125" style="94" customWidth="1"/>
    <col min="17" max="17" width="16.4140625" style="94" customWidth="1"/>
    <col min="18" max="18" width="14.4140625" style="94" customWidth="1"/>
    <col min="19" max="19" width="12.4140625" style="94" customWidth="1"/>
    <col min="20" max="20" width="16.75" style="94" customWidth="1"/>
    <col min="21" max="21" width="16.4140625" style="94" customWidth="1"/>
    <col min="22" max="22" width="17.08203125" style="94" customWidth="1"/>
    <col min="23" max="23" width="12.58203125" style="94" customWidth="1"/>
    <col min="24" max="24" width="7.58203125" style="94" customWidth="1"/>
    <col min="25" max="25" width="16.58203125" style="94" customWidth="1"/>
    <col min="26" max="26" width="19.4140625" style="94" customWidth="1"/>
    <col min="27" max="28" width="15.4140625" style="94" customWidth="1"/>
    <col min="29" max="29" width="15.75" style="94" customWidth="1"/>
    <col min="30" max="31" width="13.4140625" style="94" customWidth="1"/>
    <col min="32" max="32" width="19" style="94" customWidth="1"/>
    <col min="33" max="47" width="13.4140625" style="94" customWidth="1"/>
    <col min="48" max="16384" width="14.4140625" style="94"/>
  </cols>
  <sheetData>
    <row r="1" spans="1:31" ht="46.5" x14ac:dyDescent="0.35">
      <c r="A1" s="183" t="s">
        <v>488</v>
      </c>
      <c r="B1" s="86"/>
      <c r="C1" s="87" t="s">
        <v>489</v>
      </c>
      <c r="D1" s="88"/>
      <c r="E1" s="88"/>
      <c r="F1" s="88"/>
      <c r="G1" s="88"/>
      <c r="H1" s="88"/>
      <c r="I1" s="88"/>
      <c r="J1" s="88"/>
      <c r="K1" s="88"/>
      <c r="L1" s="88"/>
      <c r="M1" s="88"/>
      <c r="N1" s="89"/>
      <c r="O1" s="88"/>
      <c r="P1" s="88"/>
      <c r="Q1" s="90"/>
      <c r="R1" s="91" t="s">
        <v>490</v>
      </c>
      <c r="S1" s="92"/>
      <c r="T1" s="86"/>
      <c r="U1" s="92"/>
      <c r="V1" s="92"/>
      <c r="W1" s="86"/>
      <c r="X1" s="739" t="s">
        <v>491</v>
      </c>
      <c r="Y1" s="86"/>
      <c r="Z1" s="93"/>
      <c r="AA1" s="86"/>
      <c r="AB1" s="86"/>
      <c r="AC1" s="86"/>
      <c r="AD1" s="86"/>
      <c r="AE1" s="86"/>
    </row>
    <row r="2" spans="1:31" ht="52.25" customHeight="1" x14ac:dyDescent="0.35">
      <c r="A2" s="85" t="s">
        <v>492</v>
      </c>
      <c r="B2" s="86"/>
      <c r="C2" s="95" t="s">
        <v>493</v>
      </c>
      <c r="D2" s="92"/>
      <c r="E2" s="92"/>
      <c r="F2" s="92"/>
      <c r="G2" s="92"/>
      <c r="H2" s="92"/>
      <c r="I2" s="92"/>
      <c r="J2" s="92"/>
      <c r="K2" s="92"/>
      <c r="L2" s="92"/>
      <c r="M2" s="92"/>
      <c r="N2" s="92"/>
      <c r="O2" s="92"/>
      <c r="P2" s="92"/>
      <c r="Q2" s="96"/>
      <c r="R2" s="95" t="s">
        <v>493</v>
      </c>
      <c r="S2" s="92"/>
      <c r="T2" s="86"/>
      <c r="U2" s="92"/>
      <c r="V2" s="92"/>
      <c r="W2" s="86"/>
      <c r="X2" s="738"/>
      <c r="Y2" s="86"/>
      <c r="Z2" s="93"/>
      <c r="AA2" s="86"/>
      <c r="AB2" s="86"/>
      <c r="AC2" s="86"/>
      <c r="AD2" s="86"/>
      <c r="AE2" s="86"/>
    </row>
    <row r="3" spans="1:31" ht="15.5" x14ac:dyDescent="0.35">
      <c r="A3" s="85" t="s">
        <v>615</v>
      </c>
      <c r="B3" s="86"/>
      <c r="C3" s="97"/>
      <c r="D3" s="98"/>
      <c r="E3" s="92"/>
      <c r="F3" s="92"/>
      <c r="G3" s="92"/>
      <c r="H3" s="92"/>
      <c r="I3" s="99"/>
      <c r="J3" s="99"/>
      <c r="K3" s="99"/>
      <c r="L3" s="99"/>
      <c r="M3" s="99"/>
      <c r="N3" s="99"/>
      <c r="O3" s="99"/>
      <c r="P3" s="99"/>
      <c r="Q3" s="100"/>
      <c r="R3" s="99"/>
      <c r="S3" s="92"/>
      <c r="T3" s="99"/>
      <c r="U3" s="101"/>
      <c r="V3" s="92"/>
      <c r="W3" s="86"/>
      <c r="X3" s="738"/>
      <c r="Y3" s="86"/>
      <c r="Z3" s="93"/>
      <c r="AA3" s="86"/>
      <c r="AB3" s="86"/>
      <c r="AC3" s="86"/>
      <c r="AD3" s="86"/>
      <c r="AE3" s="86"/>
    </row>
    <row r="4" spans="1:31" ht="15.5" x14ac:dyDescent="0.35">
      <c r="A4" s="102" t="s">
        <v>608</v>
      </c>
      <c r="B4" s="103"/>
      <c r="C4" s="97"/>
      <c r="D4" s="98"/>
      <c r="E4" s="92"/>
      <c r="F4" s="92"/>
      <c r="G4" s="92"/>
      <c r="H4" s="92"/>
      <c r="I4" s="99"/>
      <c r="J4" s="99"/>
      <c r="K4" s="99"/>
      <c r="L4" s="99"/>
      <c r="M4" s="99"/>
      <c r="N4" s="99"/>
      <c r="O4" s="99"/>
      <c r="P4" s="99"/>
      <c r="Q4" s="100"/>
      <c r="R4" s="99"/>
      <c r="S4" s="92"/>
      <c r="T4" s="104"/>
      <c r="U4" s="101"/>
      <c r="V4" s="92"/>
      <c r="W4" s="86"/>
      <c r="X4" s="738"/>
      <c r="Y4" s="86"/>
      <c r="Z4" s="93"/>
      <c r="AA4" s="86"/>
      <c r="AB4" s="86"/>
      <c r="AC4" s="86"/>
      <c r="AD4" s="86"/>
      <c r="AE4" s="86"/>
    </row>
    <row r="5" spans="1:31" ht="16" thickBot="1" x14ac:dyDescent="0.4">
      <c r="A5" s="105" t="s">
        <v>744</v>
      </c>
      <c r="B5" s="106"/>
      <c r="C5" s="740" t="s">
        <v>609</v>
      </c>
      <c r="D5" s="738"/>
      <c r="E5" s="738"/>
      <c r="F5" s="738"/>
      <c r="G5" s="738"/>
      <c r="H5" s="738"/>
      <c r="I5" s="741" t="s">
        <v>495</v>
      </c>
      <c r="J5" s="738"/>
      <c r="K5" s="738"/>
      <c r="L5" s="738"/>
      <c r="M5" s="738"/>
      <c r="N5" s="738"/>
      <c r="O5" s="738"/>
      <c r="P5" s="738"/>
      <c r="Q5" s="738"/>
      <c r="R5" s="738"/>
      <c r="S5" s="107"/>
      <c r="T5" s="104" t="s">
        <v>496</v>
      </c>
      <c r="U5" s="101"/>
      <c r="V5" s="92"/>
      <c r="W5" s="86"/>
      <c r="X5" s="738"/>
      <c r="Y5" s="86"/>
      <c r="Z5" s="93"/>
      <c r="AA5" s="86"/>
      <c r="AB5" s="86"/>
      <c r="AC5" s="86"/>
      <c r="AD5" s="86"/>
      <c r="AE5" s="86"/>
    </row>
    <row r="6" spans="1:31" ht="12" customHeight="1" x14ac:dyDescent="0.35">
      <c r="B6" s="86"/>
      <c r="C6" s="108"/>
      <c r="D6" s="109"/>
      <c r="E6" s="107"/>
      <c r="F6" s="107"/>
      <c r="G6" s="107"/>
      <c r="H6" s="110" t="s">
        <v>497</v>
      </c>
      <c r="I6" s="111" t="e">
        <f t="shared" ref="I6:R6" si="0">(+I13-I29)/$Z$12</f>
        <v>#DIV/0!</v>
      </c>
      <c r="J6" s="111" t="e">
        <f t="shared" si="0"/>
        <v>#DIV/0!</v>
      </c>
      <c r="K6" s="111" t="e">
        <f t="shared" si="0"/>
        <v>#DIV/0!</v>
      </c>
      <c r="L6" s="111" t="e">
        <f t="shared" si="0"/>
        <v>#DIV/0!</v>
      </c>
      <c r="M6" s="111" t="e">
        <f t="shared" si="0"/>
        <v>#DIV/0!</v>
      </c>
      <c r="N6" s="111" t="e">
        <f t="shared" si="0"/>
        <v>#DIV/0!</v>
      </c>
      <c r="O6" s="111" t="e">
        <f t="shared" si="0"/>
        <v>#DIV/0!</v>
      </c>
      <c r="P6" s="111" t="e">
        <f t="shared" si="0"/>
        <v>#DIV/0!</v>
      </c>
      <c r="Q6" s="111" t="e">
        <f t="shared" si="0"/>
        <v>#DIV/0!</v>
      </c>
      <c r="R6" s="111" t="e">
        <f t="shared" si="0"/>
        <v>#DIV/0!</v>
      </c>
      <c r="S6" s="107"/>
      <c r="T6" s="112" t="e">
        <f>SUM(I6:S6)</f>
        <v>#DIV/0!</v>
      </c>
      <c r="U6" s="113" t="s">
        <v>498</v>
      </c>
      <c r="V6" s="92"/>
      <c r="W6" s="86"/>
      <c r="X6" s="738"/>
      <c r="Y6" s="168"/>
      <c r="Z6" s="169"/>
      <c r="AA6" s="170"/>
      <c r="AB6" s="170"/>
      <c r="AC6" s="170"/>
      <c r="AD6" s="170"/>
      <c r="AE6" s="170"/>
    </row>
    <row r="7" spans="1:31" ht="15.5" x14ac:dyDescent="0.35">
      <c r="B7" s="86"/>
      <c r="C7" s="96"/>
      <c r="D7" s="92"/>
      <c r="E7" s="92"/>
      <c r="F7" s="92"/>
      <c r="G7" s="92"/>
      <c r="H7" s="92"/>
      <c r="I7" s="114"/>
      <c r="J7" s="114"/>
      <c r="K7" s="114"/>
      <c r="L7" s="114"/>
      <c r="M7" s="114"/>
      <c r="N7" s="114"/>
      <c r="O7" s="114"/>
      <c r="P7" s="114"/>
      <c r="Q7" s="115"/>
      <c r="R7" s="114"/>
      <c r="S7" s="96"/>
      <c r="T7" s="86"/>
      <c r="U7" s="113" t="s">
        <v>499</v>
      </c>
      <c r="V7" s="92"/>
      <c r="W7" s="86"/>
      <c r="X7" s="738"/>
      <c r="Y7" s="742" t="s">
        <v>610</v>
      </c>
      <c r="Z7" s="738"/>
      <c r="AA7" s="738"/>
      <c r="AB7" s="738"/>
      <c r="AC7" s="738"/>
      <c r="AD7" s="738"/>
      <c r="AE7" s="738"/>
    </row>
    <row r="8" spans="1:31" ht="15.5" x14ac:dyDescent="0.35">
      <c r="A8" s="116"/>
      <c r="B8" s="104" t="s">
        <v>500</v>
      </c>
      <c r="C8" s="117">
        <v>44783</v>
      </c>
      <c r="D8" s="117">
        <v>44814</v>
      </c>
      <c r="E8" s="117">
        <v>44844</v>
      </c>
      <c r="F8" s="117">
        <v>44875</v>
      </c>
      <c r="G8" s="117">
        <v>44905</v>
      </c>
      <c r="H8" s="117">
        <v>44571</v>
      </c>
      <c r="I8" s="118">
        <v>44602</v>
      </c>
      <c r="J8" s="118">
        <v>44630</v>
      </c>
      <c r="K8" s="118">
        <v>44644</v>
      </c>
      <c r="L8" s="118">
        <v>44661</v>
      </c>
      <c r="M8" s="119">
        <v>44691</v>
      </c>
      <c r="N8" s="119">
        <v>44705</v>
      </c>
      <c r="O8" s="118">
        <v>44722</v>
      </c>
      <c r="P8" s="119">
        <v>44736</v>
      </c>
      <c r="Q8" s="118">
        <v>44752</v>
      </c>
      <c r="R8" s="118">
        <v>44783</v>
      </c>
      <c r="S8" s="96"/>
      <c r="T8" s="116"/>
      <c r="U8" s="113"/>
      <c r="V8" s="96"/>
      <c r="W8" s="116"/>
      <c r="X8" s="738"/>
      <c r="Y8" s="171" t="s">
        <v>501</v>
      </c>
      <c r="Z8" s="172"/>
      <c r="AA8" s="116"/>
      <c r="AB8" s="116"/>
      <c r="AC8" s="116"/>
      <c r="AD8" s="116"/>
      <c r="AE8" s="116"/>
    </row>
    <row r="9" spans="1:31" ht="15.5" x14ac:dyDescent="0.35">
      <c r="A9" s="116"/>
      <c r="B9" s="104"/>
      <c r="C9" s="120"/>
      <c r="D9" s="120"/>
      <c r="E9" s="120"/>
      <c r="F9" s="120"/>
      <c r="G9" s="120"/>
      <c r="H9" s="120"/>
      <c r="I9" s="115"/>
      <c r="J9" s="115"/>
      <c r="K9" s="115"/>
      <c r="L9" s="115"/>
      <c r="M9" s="115"/>
      <c r="N9" s="115"/>
      <c r="O9" s="115"/>
      <c r="P9" s="115"/>
      <c r="Q9" s="115"/>
      <c r="R9" s="115"/>
      <c r="S9" s="96"/>
      <c r="T9" s="116"/>
      <c r="U9" s="113"/>
      <c r="W9" s="116"/>
      <c r="X9" s="738"/>
      <c r="Y9" s="171" t="s">
        <v>502</v>
      </c>
      <c r="Z9" s="172"/>
      <c r="AA9" s="116"/>
      <c r="AB9" s="116"/>
      <c r="AC9" s="116"/>
      <c r="AD9" s="116"/>
      <c r="AE9" s="116"/>
    </row>
    <row r="10" spans="1:31" ht="15.5" x14ac:dyDescent="0.35">
      <c r="A10" s="116"/>
      <c r="B10" s="104" t="s">
        <v>503</v>
      </c>
      <c r="C10" s="120" t="s">
        <v>504</v>
      </c>
      <c r="D10" s="120" t="s">
        <v>505</v>
      </c>
      <c r="E10" s="120" t="s">
        <v>506</v>
      </c>
      <c r="F10" s="120" t="s">
        <v>507</v>
      </c>
      <c r="G10" s="120" t="s">
        <v>508</v>
      </c>
      <c r="H10" s="120" t="s">
        <v>509</v>
      </c>
      <c r="I10" s="115" t="s">
        <v>510</v>
      </c>
      <c r="J10" s="115" t="s">
        <v>511</v>
      </c>
      <c r="K10" s="115" t="s">
        <v>512</v>
      </c>
      <c r="L10" s="115" t="s">
        <v>513</v>
      </c>
      <c r="M10" s="115" t="s">
        <v>514</v>
      </c>
      <c r="N10" s="115" t="s">
        <v>515</v>
      </c>
      <c r="O10" s="115" t="s">
        <v>516</v>
      </c>
      <c r="P10" s="115" t="s">
        <v>517</v>
      </c>
      <c r="Q10" s="115" t="s">
        <v>518</v>
      </c>
      <c r="R10" s="115" t="s">
        <v>504</v>
      </c>
      <c r="S10" s="96" t="s">
        <v>519</v>
      </c>
      <c r="T10" s="116" t="s">
        <v>496</v>
      </c>
      <c r="U10" s="113" t="s">
        <v>520</v>
      </c>
      <c r="V10" s="96" t="s">
        <v>521</v>
      </c>
      <c r="W10" s="116"/>
      <c r="X10" s="738"/>
      <c r="Y10" s="173"/>
      <c r="Z10" s="172"/>
      <c r="AA10" s="116"/>
      <c r="AB10" s="116"/>
      <c r="AC10" s="116"/>
      <c r="AD10" s="116"/>
      <c r="AE10" s="116"/>
    </row>
    <row r="11" spans="1:31" ht="17.5" customHeight="1" x14ac:dyDescent="0.35">
      <c r="A11" s="86"/>
      <c r="B11" s="121" t="s">
        <v>522</v>
      </c>
      <c r="C11" s="122" t="s">
        <v>578</v>
      </c>
      <c r="D11" s="122" t="s">
        <v>578</v>
      </c>
      <c r="E11" s="122" t="s">
        <v>578</v>
      </c>
      <c r="F11" s="122" t="s">
        <v>578</v>
      </c>
      <c r="G11" s="122" t="s">
        <v>578</v>
      </c>
      <c r="H11" s="122" t="s">
        <v>578</v>
      </c>
      <c r="I11" s="122" t="s">
        <v>578</v>
      </c>
      <c r="J11" s="122" t="s">
        <v>578</v>
      </c>
      <c r="K11" s="122" t="s">
        <v>578</v>
      </c>
      <c r="L11" s="122" t="s">
        <v>578</v>
      </c>
      <c r="M11" s="122" t="s">
        <v>578</v>
      </c>
      <c r="N11" s="122" t="s">
        <v>578</v>
      </c>
      <c r="O11" s="122" t="s">
        <v>578</v>
      </c>
      <c r="P11" s="122" t="s">
        <v>578</v>
      </c>
      <c r="Q11" s="123" t="s">
        <v>579</v>
      </c>
      <c r="R11" s="123" t="s">
        <v>579</v>
      </c>
      <c r="S11" s="92"/>
      <c r="T11" s="86"/>
      <c r="U11" s="101"/>
      <c r="V11" s="92"/>
      <c r="W11" s="86"/>
      <c r="X11" s="743" t="s">
        <v>491</v>
      </c>
      <c r="Y11" s="174"/>
      <c r="Z11" s="93"/>
      <c r="AA11" s="85"/>
      <c r="AB11" s="86"/>
      <c r="AC11" s="86"/>
      <c r="AD11" s="86"/>
      <c r="AE11" s="86"/>
    </row>
    <row r="12" spans="1:31" ht="24" customHeight="1" x14ac:dyDescent="0.35">
      <c r="A12" s="86"/>
      <c r="B12" s="124" t="s">
        <v>525</v>
      </c>
      <c r="C12" s="96"/>
      <c r="D12" s="92"/>
      <c r="E12" s="92"/>
      <c r="F12" s="92"/>
      <c r="G12" s="92"/>
      <c r="H12" s="92"/>
      <c r="I12" s="92"/>
      <c r="J12" s="92"/>
      <c r="K12" s="92"/>
      <c r="L12" s="92"/>
      <c r="M12" s="92"/>
      <c r="N12" s="92"/>
      <c r="O12" s="92"/>
      <c r="P12" s="92"/>
      <c r="Q12" s="96"/>
      <c r="R12" s="92"/>
      <c r="S12" s="92"/>
      <c r="T12" s="86"/>
      <c r="U12" s="101"/>
      <c r="V12" s="92"/>
      <c r="W12" s="86"/>
      <c r="X12" s="738"/>
      <c r="Y12" s="174"/>
      <c r="Z12" s="184">
        <f>+'BOE Resolution'!B34</f>
        <v>0</v>
      </c>
      <c r="AA12" s="185" t="s">
        <v>738</v>
      </c>
      <c r="AB12" s="186"/>
      <c r="AC12" s="186"/>
      <c r="AD12" s="186"/>
      <c r="AE12" s="186"/>
    </row>
    <row r="13" spans="1:31" ht="48.75" customHeight="1" x14ac:dyDescent="0.25">
      <c r="A13" s="125" t="s">
        <v>526</v>
      </c>
      <c r="B13" s="126">
        <v>1110</v>
      </c>
      <c r="C13" s="127" t="s">
        <v>527</v>
      </c>
      <c r="D13" s="128"/>
      <c r="E13" s="128"/>
      <c r="F13" s="128"/>
      <c r="G13" s="128"/>
      <c r="H13" s="128"/>
      <c r="I13" s="128"/>
      <c r="J13" s="128"/>
      <c r="K13" s="128"/>
      <c r="L13" s="128"/>
      <c r="M13" s="128"/>
      <c r="N13" s="128"/>
      <c r="O13" s="128"/>
      <c r="P13" s="128"/>
      <c r="Q13" s="128"/>
      <c r="R13" s="129">
        <v>0</v>
      </c>
      <c r="S13" s="128"/>
      <c r="T13" s="130">
        <f>SUM(C13:S13)</f>
        <v>0</v>
      </c>
      <c r="U13" s="131">
        <v>0</v>
      </c>
      <c r="V13" s="130">
        <f>+T13+T18-T29-U13</f>
        <v>0</v>
      </c>
      <c r="W13" s="132"/>
      <c r="X13" s="738"/>
      <c r="Y13" s="175"/>
      <c r="Z13" s="187">
        <f>SUM(I13:R13)+SUM(I29:R29)</f>
        <v>0</v>
      </c>
      <c r="AA13" s="133" t="s">
        <v>528</v>
      </c>
      <c r="AB13" s="132"/>
      <c r="AC13" s="132"/>
      <c r="AD13" s="132"/>
      <c r="AE13" s="132"/>
    </row>
    <row r="14" spans="1:31" ht="15" customHeight="1" x14ac:dyDescent="0.25">
      <c r="A14" s="125" t="s">
        <v>529</v>
      </c>
      <c r="B14" s="126">
        <v>1140</v>
      </c>
      <c r="C14" s="129"/>
      <c r="D14" s="128"/>
      <c r="E14" s="128"/>
      <c r="F14" s="128"/>
      <c r="G14" s="128"/>
      <c r="H14" s="128"/>
      <c r="I14" s="128"/>
      <c r="J14" s="128"/>
      <c r="K14" s="128"/>
      <c r="L14" s="128"/>
      <c r="M14" s="128"/>
      <c r="N14" s="128"/>
      <c r="O14" s="128"/>
      <c r="P14" s="128"/>
      <c r="Q14" s="128"/>
      <c r="R14" s="134"/>
      <c r="S14" s="128"/>
      <c r="T14" s="135">
        <f>SUM(C14:S14)</f>
        <v>0</v>
      </c>
      <c r="U14" s="131">
        <v>0</v>
      </c>
      <c r="V14" s="135">
        <f>U14-T14-T15-T27-T28-T30</f>
        <v>0</v>
      </c>
      <c r="W14" s="136"/>
      <c r="X14" s="738"/>
      <c r="Y14" s="175"/>
      <c r="Z14" s="137">
        <f>Z12-Z13</f>
        <v>0</v>
      </c>
      <c r="AA14" s="133" t="s">
        <v>530</v>
      </c>
      <c r="AB14" s="132"/>
      <c r="AC14" s="132"/>
      <c r="AD14" s="132"/>
      <c r="AE14" s="132"/>
    </row>
    <row r="15" spans="1:31" ht="15" customHeight="1" x14ac:dyDescent="0.35">
      <c r="A15" s="138" t="s">
        <v>531</v>
      </c>
      <c r="B15" s="104">
        <v>1140</v>
      </c>
      <c r="C15" s="95"/>
      <c r="D15" s="96"/>
      <c r="E15" s="96"/>
      <c r="F15" s="96"/>
      <c r="G15" s="96"/>
      <c r="H15" s="96"/>
      <c r="I15" s="96"/>
      <c r="J15" s="96"/>
      <c r="K15" s="96"/>
      <c r="L15" s="96"/>
      <c r="M15" s="96"/>
      <c r="N15" s="96"/>
      <c r="O15" s="96"/>
      <c r="P15" s="96"/>
      <c r="Q15" s="96"/>
      <c r="R15" s="139"/>
      <c r="S15" s="96"/>
      <c r="T15" s="140">
        <f>SUM(C15:S15)</f>
        <v>0</v>
      </c>
      <c r="U15" s="113">
        <v>0</v>
      </c>
      <c r="V15" s="96"/>
      <c r="W15" s="86"/>
      <c r="X15" s="738"/>
      <c r="Y15" s="176" t="s">
        <v>532</v>
      </c>
      <c r="Z15" s="177"/>
      <c r="AA15" s="177"/>
      <c r="AB15" s="177"/>
      <c r="AC15" s="177"/>
      <c r="AD15" s="177"/>
      <c r="AE15" s="92"/>
    </row>
    <row r="16" spans="1:31" ht="15" customHeight="1" x14ac:dyDescent="0.35">
      <c r="A16" s="138" t="s">
        <v>611</v>
      </c>
      <c r="B16" s="104">
        <v>1140</v>
      </c>
      <c r="C16" s="95"/>
      <c r="D16" s="96"/>
      <c r="E16" s="96"/>
      <c r="F16" s="96"/>
      <c r="G16" s="96"/>
      <c r="H16" s="96"/>
      <c r="I16" s="96"/>
      <c r="J16" s="96"/>
      <c r="K16" s="96"/>
      <c r="L16" s="96"/>
      <c r="M16" s="96"/>
      <c r="N16" s="96"/>
      <c r="O16" s="96"/>
      <c r="P16" s="96"/>
      <c r="Q16" s="96"/>
      <c r="R16" s="139"/>
      <c r="S16" s="96"/>
      <c r="T16" s="96"/>
      <c r="U16" s="113"/>
      <c r="V16" s="96"/>
      <c r="W16" s="86"/>
      <c r="X16" s="738"/>
      <c r="Y16" s="178"/>
      <c r="AA16" s="132"/>
      <c r="AB16" s="107" t="s">
        <v>533</v>
      </c>
      <c r="AC16" s="107" t="s">
        <v>534</v>
      </c>
      <c r="AD16" s="132"/>
      <c r="AE16" s="132"/>
    </row>
    <row r="17" spans="1:31" ht="15" customHeight="1" x14ac:dyDescent="0.35">
      <c r="A17" s="138" t="s">
        <v>535</v>
      </c>
      <c r="B17" s="104">
        <v>1120</v>
      </c>
      <c r="C17" s="95"/>
      <c r="D17" s="96"/>
      <c r="E17" s="96"/>
      <c r="F17" s="96"/>
      <c r="G17" s="96"/>
      <c r="H17" s="96"/>
      <c r="I17" s="96"/>
      <c r="J17" s="96"/>
      <c r="K17" s="96"/>
      <c r="L17" s="96"/>
      <c r="M17" s="96"/>
      <c r="N17" s="96"/>
      <c r="O17" s="96"/>
      <c r="P17" s="96"/>
      <c r="Q17" s="96"/>
      <c r="R17" s="139"/>
      <c r="S17" s="96"/>
      <c r="T17" s="96">
        <f>SUM(C17:S17)</f>
        <v>0</v>
      </c>
      <c r="U17" s="113">
        <v>0</v>
      </c>
      <c r="V17" s="96">
        <f>+U17-T17</f>
        <v>0</v>
      </c>
      <c r="W17" s="86"/>
      <c r="X17" s="738"/>
      <c r="Y17" s="179" t="s">
        <v>536</v>
      </c>
      <c r="AA17" s="167" t="s">
        <v>574</v>
      </c>
      <c r="AB17" s="96">
        <f>Z14</f>
        <v>0</v>
      </c>
      <c r="AC17" s="96"/>
      <c r="AD17" s="92"/>
      <c r="AE17" s="92"/>
    </row>
    <row r="18" spans="1:31" ht="15" customHeight="1" x14ac:dyDescent="0.35">
      <c r="A18" s="138" t="s">
        <v>538</v>
      </c>
      <c r="B18" s="104">
        <v>1110</v>
      </c>
      <c r="C18" s="96"/>
      <c r="D18" s="96"/>
      <c r="E18" s="96"/>
      <c r="F18" s="96"/>
      <c r="G18" s="96"/>
      <c r="H18" s="96"/>
      <c r="I18" s="96"/>
      <c r="J18" s="96"/>
      <c r="K18" s="96"/>
      <c r="L18" s="96"/>
      <c r="M18" s="96"/>
      <c r="N18" s="96"/>
      <c r="O18" s="96"/>
      <c r="P18" s="96"/>
      <c r="Q18" s="96"/>
      <c r="R18" s="96"/>
      <c r="S18" s="96"/>
      <c r="T18" s="141">
        <f>SUM(C18:S18)</f>
        <v>0</v>
      </c>
      <c r="U18" s="113"/>
      <c r="V18" s="96"/>
      <c r="W18" s="86"/>
      <c r="X18" s="738"/>
      <c r="Y18" s="179" t="s">
        <v>613</v>
      </c>
      <c r="AA18" s="167" t="s">
        <v>575</v>
      </c>
      <c r="AB18" s="96"/>
      <c r="AC18" s="96">
        <f>Z14</f>
        <v>0</v>
      </c>
      <c r="AD18" s="92"/>
      <c r="AE18" s="92"/>
    </row>
    <row r="19" spans="1:31" ht="15" customHeight="1" thickBot="1" x14ac:dyDescent="0.4">
      <c r="A19" s="138" t="s">
        <v>540</v>
      </c>
      <c r="B19" s="104">
        <v>2030</v>
      </c>
      <c r="C19" s="96"/>
      <c r="D19" s="96"/>
      <c r="E19" s="96"/>
      <c r="F19" s="96"/>
      <c r="G19" s="96"/>
      <c r="H19" s="96"/>
      <c r="I19" s="96"/>
      <c r="J19" s="96"/>
      <c r="K19" s="96"/>
      <c r="L19" s="96"/>
      <c r="M19" s="96"/>
      <c r="N19" s="96"/>
      <c r="O19" s="96"/>
      <c r="P19" s="96"/>
      <c r="Q19" s="96"/>
      <c r="R19" s="96"/>
      <c r="S19" s="96"/>
      <c r="T19" s="96">
        <f>SUM(C19:S19)</f>
        <v>0</v>
      </c>
      <c r="U19" s="113"/>
      <c r="V19" s="96">
        <f>+U19-T19</f>
        <v>0</v>
      </c>
      <c r="W19" s="86"/>
      <c r="X19" s="738"/>
      <c r="Y19" s="180"/>
      <c r="Z19" s="181"/>
      <c r="AA19" s="182"/>
      <c r="AB19" s="182"/>
      <c r="AC19" s="182"/>
      <c r="AD19" s="182"/>
      <c r="AE19" s="182"/>
    </row>
    <row r="20" spans="1:31" ht="12" customHeight="1" x14ac:dyDescent="0.35">
      <c r="A20" s="86"/>
      <c r="B20" s="116"/>
      <c r="C20" s="96"/>
      <c r="D20" s="96"/>
      <c r="E20" s="96"/>
      <c r="F20" s="96"/>
      <c r="G20" s="96"/>
      <c r="H20" s="96"/>
      <c r="I20" s="96"/>
      <c r="J20" s="96"/>
      <c r="K20" s="96"/>
      <c r="L20" s="96"/>
      <c r="M20" s="96"/>
      <c r="N20" s="96"/>
      <c r="O20" s="96"/>
      <c r="P20" s="96"/>
      <c r="Q20" s="96"/>
      <c r="R20" s="96"/>
      <c r="S20" s="96"/>
      <c r="T20" s="116"/>
      <c r="U20" s="113"/>
      <c r="V20" s="96"/>
      <c r="W20" s="86"/>
      <c r="X20" s="738"/>
      <c r="Y20" s="86"/>
      <c r="Z20" s="93"/>
      <c r="AA20" s="86"/>
      <c r="AB20" s="86"/>
      <c r="AC20" s="86"/>
      <c r="AD20" s="86"/>
      <c r="AE20" s="86"/>
    </row>
    <row r="21" spans="1:31" ht="14.5" customHeight="1" x14ac:dyDescent="0.35">
      <c r="A21" s="86"/>
      <c r="B21" s="104" t="s">
        <v>541</v>
      </c>
      <c r="C21" s="142">
        <f t="shared" ref="C21:V21" si="1">SUM(C13:C20)</f>
        <v>0</v>
      </c>
      <c r="D21" s="142">
        <f t="shared" si="1"/>
        <v>0</v>
      </c>
      <c r="E21" s="142">
        <f t="shared" si="1"/>
        <v>0</v>
      </c>
      <c r="F21" s="142">
        <f t="shared" si="1"/>
        <v>0</v>
      </c>
      <c r="G21" s="142">
        <f t="shared" si="1"/>
        <v>0</v>
      </c>
      <c r="H21" s="142">
        <f t="shared" si="1"/>
        <v>0</v>
      </c>
      <c r="I21" s="142">
        <f t="shared" si="1"/>
        <v>0</v>
      </c>
      <c r="J21" s="142">
        <f t="shared" si="1"/>
        <v>0</v>
      </c>
      <c r="K21" s="142">
        <f t="shared" si="1"/>
        <v>0</v>
      </c>
      <c r="L21" s="142">
        <f t="shared" si="1"/>
        <v>0</v>
      </c>
      <c r="M21" s="142">
        <f t="shared" si="1"/>
        <v>0</v>
      </c>
      <c r="N21" s="142">
        <f t="shared" si="1"/>
        <v>0</v>
      </c>
      <c r="O21" s="142">
        <f t="shared" si="1"/>
        <v>0</v>
      </c>
      <c r="P21" s="142">
        <f t="shared" si="1"/>
        <v>0</v>
      </c>
      <c r="Q21" s="142">
        <f t="shared" si="1"/>
        <v>0</v>
      </c>
      <c r="R21" s="142">
        <f t="shared" si="1"/>
        <v>0</v>
      </c>
      <c r="S21" s="142">
        <f t="shared" si="1"/>
        <v>0</v>
      </c>
      <c r="T21" s="142">
        <f t="shared" si="1"/>
        <v>0</v>
      </c>
      <c r="U21" s="143">
        <f t="shared" si="1"/>
        <v>0</v>
      </c>
      <c r="V21" s="142">
        <f t="shared" si="1"/>
        <v>0</v>
      </c>
      <c r="W21" s="86"/>
      <c r="X21" s="738"/>
      <c r="Y21" s="144" t="s">
        <v>542</v>
      </c>
      <c r="Z21" s="145"/>
      <c r="AA21" s="145"/>
      <c r="AB21" s="145"/>
      <c r="AC21" s="145"/>
      <c r="AD21" s="145"/>
      <c r="AE21" s="145"/>
    </row>
    <row r="22" spans="1:31" ht="17" customHeight="1" x14ac:dyDescent="0.35">
      <c r="A22" s="86"/>
      <c r="B22" s="124" t="s">
        <v>525</v>
      </c>
      <c r="C22" s="96"/>
      <c r="D22" s="96"/>
      <c r="E22" s="96"/>
      <c r="F22" s="96"/>
      <c r="G22" s="96"/>
      <c r="H22" s="96"/>
      <c r="I22" s="96"/>
      <c r="J22" s="96"/>
      <c r="K22" s="96"/>
      <c r="L22" s="96"/>
      <c r="M22" s="96"/>
      <c r="N22" s="96"/>
      <c r="O22" s="96"/>
      <c r="P22" s="96"/>
      <c r="Q22" s="96"/>
      <c r="R22" s="96"/>
      <c r="S22" s="96"/>
      <c r="T22" s="96"/>
      <c r="U22" s="113"/>
      <c r="V22" s="96"/>
      <c r="W22" s="86"/>
      <c r="X22" s="738"/>
      <c r="Y22" s="92" t="s">
        <v>543</v>
      </c>
      <c r="Z22" s="93"/>
      <c r="AA22" s="92"/>
      <c r="AB22" s="92"/>
      <c r="AC22" s="92"/>
      <c r="AD22" s="92"/>
      <c r="AE22" s="92"/>
    </row>
    <row r="23" spans="1:31" ht="15" customHeight="1" x14ac:dyDescent="0.35">
      <c r="A23" s="138" t="s">
        <v>544</v>
      </c>
      <c r="B23" s="116">
        <v>1141</v>
      </c>
      <c r="C23" s="95"/>
      <c r="D23" s="96"/>
      <c r="E23" s="96"/>
      <c r="F23" s="96"/>
      <c r="G23" s="96"/>
      <c r="H23" s="96"/>
      <c r="I23" s="96"/>
      <c r="J23" s="96"/>
      <c r="K23" s="96"/>
      <c r="L23" s="96"/>
      <c r="M23" s="96"/>
      <c r="N23" s="96"/>
      <c r="O23" s="96"/>
      <c r="P23" s="96"/>
      <c r="Q23" s="96"/>
      <c r="R23" s="146"/>
      <c r="S23" s="96"/>
      <c r="T23" s="147">
        <f t="shared" ref="T23:T30" si="2">SUM(C23:S23)</f>
        <v>0</v>
      </c>
      <c r="U23" s="113">
        <v>0</v>
      </c>
      <c r="V23" s="147">
        <f>U23-T23-T24-T25-T26</f>
        <v>0</v>
      </c>
      <c r="W23" s="148"/>
      <c r="X23" s="738"/>
      <c r="Y23" s="92"/>
      <c r="Z23" s="149">
        <f>Z14</f>
        <v>0</v>
      </c>
      <c r="AA23" s="133" t="s">
        <v>545</v>
      </c>
      <c r="AB23" s="92"/>
      <c r="AC23" s="92"/>
      <c r="AD23" s="92"/>
      <c r="AE23" s="92"/>
    </row>
    <row r="24" spans="1:31" ht="15" customHeight="1" x14ac:dyDescent="0.35">
      <c r="A24" s="138" t="s">
        <v>546</v>
      </c>
      <c r="B24" s="116">
        <v>1141</v>
      </c>
      <c r="C24" s="95"/>
      <c r="D24" s="96"/>
      <c r="E24" s="96"/>
      <c r="F24" s="96"/>
      <c r="G24" s="96"/>
      <c r="H24" s="96"/>
      <c r="I24" s="96"/>
      <c r="J24" s="96"/>
      <c r="K24" s="96"/>
      <c r="L24" s="96"/>
      <c r="M24" s="96"/>
      <c r="N24" s="96"/>
      <c r="O24" s="96"/>
      <c r="P24" s="96"/>
      <c r="Q24" s="96"/>
      <c r="R24" s="146"/>
      <c r="S24" s="96"/>
      <c r="T24" s="147">
        <f t="shared" si="2"/>
        <v>0</v>
      </c>
      <c r="U24" s="113"/>
      <c r="V24" s="96"/>
      <c r="W24" s="86"/>
      <c r="X24" s="150"/>
      <c r="Y24" s="92"/>
      <c r="Z24" s="93"/>
      <c r="AA24" s="92" t="s">
        <v>547</v>
      </c>
      <c r="AB24" s="92"/>
      <c r="AC24" s="92"/>
      <c r="AD24" s="92"/>
      <c r="AE24" s="92"/>
    </row>
    <row r="25" spans="1:31" ht="15" customHeight="1" x14ac:dyDescent="0.35">
      <c r="A25" s="138" t="s">
        <v>548</v>
      </c>
      <c r="B25" s="116">
        <v>1141</v>
      </c>
      <c r="C25" s="95"/>
      <c r="D25" s="96"/>
      <c r="E25" s="96"/>
      <c r="F25" s="96"/>
      <c r="G25" s="96"/>
      <c r="H25" s="96"/>
      <c r="I25" s="96"/>
      <c r="J25" s="96"/>
      <c r="K25" s="96"/>
      <c r="L25" s="96"/>
      <c r="M25" s="96"/>
      <c r="N25" s="96"/>
      <c r="O25" s="96"/>
      <c r="P25" s="96"/>
      <c r="Q25" s="96"/>
      <c r="R25" s="146"/>
      <c r="S25" s="96"/>
      <c r="T25" s="147">
        <f t="shared" si="2"/>
        <v>0</v>
      </c>
      <c r="U25" s="113"/>
      <c r="V25" s="96"/>
      <c r="W25" s="86"/>
      <c r="X25" s="150"/>
      <c r="Y25" s="92"/>
      <c r="Z25" s="151" t="e">
        <f>Z23/Z24-1</f>
        <v>#DIV/0!</v>
      </c>
      <c r="AA25" s="152" t="s">
        <v>549</v>
      </c>
      <c r="AB25" s="92"/>
      <c r="AC25" s="92"/>
      <c r="AD25" s="92"/>
      <c r="AE25" s="92"/>
    </row>
    <row r="26" spans="1:31" ht="15" customHeight="1" x14ac:dyDescent="0.35">
      <c r="A26" s="138" t="s">
        <v>550</v>
      </c>
      <c r="B26" s="116">
        <v>1141</v>
      </c>
      <c r="C26" s="95"/>
      <c r="D26" s="96"/>
      <c r="E26" s="96"/>
      <c r="F26" s="96"/>
      <c r="G26" s="96"/>
      <c r="H26" s="96"/>
      <c r="I26" s="96"/>
      <c r="J26" s="96"/>
      <c r="K26" s="96"/>
      <c r="L26" s="96"/>
      <c r="M26" s="96"/>
      <c r="N26" s="96"/>
      <c r="O26" s="96"/>
      <c r="P26" s="96"/>
      <c r="Q26" s="96"/>
      <c r="R26" s="146"/>
      <c r="S26" s="96"/>
      <c r="T26" s="147">
        <f t="shared" si="2"/>
        <v>0</v>
      </c>
      <c r="U26" s="113"/>
      <c r="V26" s="96"/>
      <c r="W26" s="86"/>
      <c r="X26" s="150"/>
      <c r="Y26" s="92"/>
      <c r="Z26" s="93"/>
      <c r="AA26" s="92"/>
      <c r="AB26" s="92"/>
      <c r="AC26" s="92"/>
      <c r="AD26" s="92"/>
      <c r="AE26" s="92"/>
    </row>
    <row r="27" spans="1:31" ht="15" customHeight="1" x14ac:dyDescent="0.35">
      <c r="A27" s="138" t="s">
        <v>551</v>
      </c>
      <c r="B27" s="116">
        <v>1140</v>
      </c>
      <c r="C27" s="95"/>
      <c r="D27" s="96"/>
      <c r="E27" s="96"/>
      <c r="F27" s="96"/>
      <c r="G27" s="96"/>
      <c r="H27" s="96"/>
      <c r="I27" s="96"/>
      <c r="J27" s="96"/>
      <c r="K27" s="96"/>
      <c r="L27" s="96"/>
      <c r="M27" s="96"/>
      <c r="N27" s="96"/>
      <c r="O27" s="96"/>
      <c r="P27" s="96"/>
      <c r="Q27" s="96"/>
      <c r="R27" s="139"/>
      <c r="S27" s="96"/>
      <c r="T27" s="140">
        <f t="shared" si="2"/>
        <v>0</v>
      </c>
      <c r="U27" s="113"/>
      <c r="V27" s="96"/>
      <c r="W27" s="86"/>
      <c r="X27" s="744" t="s">
        <v>491</v>
      </c>
      <c r="Y27" s="92"/>
      <c r="Z27" s="93"/>
      <c r="AA27" s="92"/>
      <c r="AB27" s="92"/>
      <c r="AC27" s="92"/>
      <c r="AD27" s="92"/>
      <c r="AE27" s="92"/>
    </row>
    <row r="28" spans="1:31" ht="15" customHeight="1" x14ac:dyDescent="0.35">
      <c r="A28" s="138" t="s">
        <v>552</v>
      </c>
      <c r="B28" s="116">
        <v>1140</v>
      </c>
      <c r="C28" s="95"/>
      <c r="D28" s="96"/>
      <c r="E28" s="96"/>
      <c r="F28" s="96"/>
      <c r="G28" s="96"/>
      <c r="H28" s="96"/>
      <c r="I28" s="96"/>
      <c r="J28" s="96"/>
      <c r="K28" s="96"/>
      <c r="L28" s="96"/>
      <c r="M28" s="96"/>
      <c r="N28" s="96"/>
      <c r="O28" s="96"/>
      <c r="P28" s="96"/>
      <c r="Q28" s="96"/>
      <c r="R28" s="139"/>
      <c r="S28" s="96"/>
      <c r="T28" s="140">
        <f t="shared" si="2"/>
        <v>0</v>
      </c>
      <c r="U28" s="113"/>
      <c r="V28" s="96"/>
      <c r="W28" s="86"/>
      <c r="X28" s="738"/>
      <c r="Y28" s="92"/>
      <c r="Z28" s="93"/>
      <c r="AA28" s="92"/>
      <c r="AB28" s="92"/>
      <c r="AC28" s="92"/>
      <c r="AD28" s="92"/>
      <c r="AE28" s="92"/>
    </row>
    <row r="29" spans="1:31" ht="31" x14ac:dyDescent="0.25">
      <c r="A29" s="125" t="s">
        <v>553</v>
      </c>
      <c r="B29" s="153">
        <v>1110</v>
      </c>
      <c r="C29" s="127" t="s">
        <v>527</v>
      </c>
      <c r="D29" s="128"/>
      <c r="E29" s="128"/>
      <c r="F29" s="128"/>
      <c r="G29" s="128"/>
      <c r="H29" s="128"/>
      <c r="I29" s="128"/>
      <c r="J29" s="128"/>
      <c r="K29" s="128"/>
      <c r="L29" s="128"/>
      <c r="M29" s="128"/>
      <c r="N29" s="128"/>
      <c r="O29" s="128"/>
      <c r="P29" s="128"/>
      <c r="Q29" s="128"/>
      <c r="R29" s="129"/>
      <c r="S29" s="128"/>
      <c r="T29" s="130">
        <f t="shared" si="2"/>
        <v>0</v>
      </c>
      <c r="U29" s="131"/>
      <c r="V29" s="128"/>
      <c r="W29" s="154"/>
      <c r="X29" s="738"/>
      <c r="Y29" s="132"/>
      <c r="Z29" s="155"/>
      <c r="AA29" s="132"/>
      <c r="AB29" s="132"/>
      <c r="AC29" s="132"/>
      <c r="AD29" s="132"/>
      <c r="AE29" s="132"/>
    </row>
    <row r="30" spans="1:31" ht="15" customHeight="1" x14ac:dyDescent="0.35">
      <c r="A30" s="138" t="s">
        <v>554</v>
      </c>
      <c r="B30" s="116">
        <v>1140</v>
      </c>
      <c r="C30" s="95"/>
      <c r="D30" s="96"/>
      <c r="E30" s="96"/>
      <c r="F30" s="96"/>
      <c r="G30" s="96"/>
      <c r="H30" s="96"/>
      <c r="I30" s="96"/>
      <c r="J30" s="96"/>
      <c r="K30" s="96"/>
      <c r="L30" s="96"/>
      <c r="M30" s="96"/>
      <c r="N30" s="96"/>
      <c r="O30" s="96"/>
      <c r="P30" s="96"/>
      <c r="Q30" s="96"/>
      <c r="R30" s="139"/>
      <c r="S30" s="96"/>
      <c r="T30" s="140">
        <f t="shared" si="2"/>
        <v>0</v>
      </c>
      <c r="U30" s="113"/>
      <c r="V30" s="96"/>
      <c r="W30" s="86"/>
      <c r="X30" s="738"/>
      <c r="Y30" s="92"/>
      <c r="Z30" s="93"/>
      <c r="AA30" s="92"/>
      <c r="AB30" s="92"/>
      <c r="AC30" s="92"/>
      <c r="AD30" s="92"/>
      <c r="AE30" s="92"/>
    </row>
    <row r="31" spans="1:31" ht="15" customHeight="1" x14ac:dyDescent="0.35">
      <c r="A31" s="737" t="s">
        <v>555</v>
      </c>
      <c r="B31" s="738"/>
      <c r="C31" s="90"/>
      <c r="D31" s="96"/>
      <c r="E31" s="96"/>
      <c r="F31" s="96"/>
      <c r="G31" s="96"/>
      <c r="H31" s="96"/>
      <c r="I31" s="96"/>
      <c r="J31" s="96"/>
      <c r="K31" s="96"/>
      <c r="L31" s="96"/>
      <c r="M31" s="96"/>
      <c r="N31" s="96"/>
      <c r="O31" s="96"/>
      <c r="P31" s="96"/>
      <c r="Q31" s="96"/>
      <c r="R31" s="139"/>
      <c r="S31" s="96"/>
      <c r="T31" s="96"/>
      <c r="U31" s="113"/>
      <c r="V31" s="96"/>
      <c r="W31" s="86"/>
      <c r="X31" s="738"/>
      <c r="Y31" s="92"/>
      <c r="Z31" s="93"/>
      <c r="AA31" s="92"/>
      <c r="AB31" s="92"/>
      <c r="AC31" s="92"/>
      <c r="AD31" s="92"/>
      <c r="AE31" s="92"/>
    </row>
    <row r="32" spans="1:31" ht="30" customHeight="1" x14ac:dyDescent="0.35">
      <c r="A32" s="156" t="s">
        <v>556</v>
      </c>
      <c r="B32" s="157" t="s">
        <v>580</v>
      </c>
      <c r="C32" s="95"/>
      <c r="D32" s="127"/>
      <c r="E32" s="127"/>
      <c r="F32" s="127"/>
      <c r="G32" s="127"/>
      <c r="H32" s="127"/>
      <c r="I32" s="127"/>
      <c r="J32" s="127"/>
      <c r="K32" s="127"/>
      <c r="L32" s="127"/>
      <c r="M32" s="127"/>
      <c r="N32" s="127"/>
      <c r="O32" s="127"/>
      <c r="P32" s="127"/>
      <c r="Q32" s="127"/>
      <c r="R32" s="158"/>
      <c r="S32" s="127"/>
      <c r="T32" s="159">
        <f>SUM(C32:S32)</f>
        <v>0</v>
      </c>
      <c r="U32" s="160">
        <v>-100</v>
      </c>
      <c r="V32" s="159">
        <f>+U32-T32</f>
        <v>-100</v>
      </c>
      <c r="W32" s="157"/>
      <c r="X32" s="738"/>
      <c r="Y32" s="127"/>
      <c r="Z32" s="161"/>
      <c r="AA32" s="127"/>
      <c r="AB32" s="127"/>
      <c r="AC32" s="127"/>
      <c r="AD32" s="127"/>
      <c r="AE32" s="127"/>
    </row>
    <row r="33" spans="2:24" ht="12" customHeight="1" x14ac:dyDescent="0.35">
      <c r="B33" s="86"/>
      <c r="C33" s="96"/>
      <c r="D33" s="96"/>
      <c r="E33" s="96"/>
      <c r="F33" s="96"/>
      <c r="G33" s="96"/>
      <c r="H33" s="96"/>
      <c r="I33" s="96"/>
      <c r="J33" s="96"/>
      <c r="K33" s="96"/>
      <c r="L33" s="96"/>
      <c r="M33" s="96"/>
      <c r="N33" s="96"/>
      <c r="O33" s="96"/>
      <c r="P33" s="96"/>
      <c r="Q33" s="96"/>
      <c r="R33" s="96"/>
      <c r="S33" s="96"/>
      <c r="T33" s="96"/>
      <c r="U33" s="113"/>
      <c r="V33" s="96"/>
      <c r="W33" s="86"/>
      <c r="X33" s="738"/>
    </row>
    <row r="34" spans="2:24" ht="15.5" x14ac:dyDescent="0.35">
      <c r="B34" s="104" t="s">
        <v>558</v>
      </c>
      <c r="C34" s="142">
        <f t="shared" ref="C34:V34" si="3">SUM(C23:C33)</f>
        <v>0</v>
      </c>
      <c r="D34" s="142">
        <f t="shared" si="3"/>
        <v>0</v>
      </c>
      <c r="E34" s="142">
        <f t="shared" si="3"/>
        <v>0</v>
      </c>
      <c r="F34" s="142">
        <f t="shared" si="3"/>
        <v>0</v>
      </c>
      <c r="G34" s="142">
        <f t="shared" si="3"/>
        <v>0</v>
      </c>
      <c r="H34" s="142">
        <f t="shared" si="3"/>
        <v>0</v>
      </c>
      <c r="I34" s="142">
        <f t="shared" si="3"/>
        <v>0</v>
      </c>
      <c r="J34" s="142">
        <f t="shared" si="3"/>
        <v>0</v>
      </c>
      <c r="K34" s="142">
        <f t="shared" si="3"/>
        <v>0</v>
      </c>
      <c r="L34" s="142">
        <f t="shared" si="3"/>
        <v>0</v>
      </c>
      <c r="M34" s="142">
        <f t="shared" si="3"/>
        <v>0</v>
      </c>
      <c r="N34" s="142">
        <f t="shared" si="3"/>
        <v>0</v>
      </c>
      <c r="O34" s="142">
        <f t="shared" si="3"/>
        <v>0</v>
      </c>
      <c r="P34" s="142">
        <f t="shared" si="3"/>
        <v>0</v>
      </c>
      <c r="Q34" s="142">
        <f t="shared" si="3"/>
        <v>0</v>
      </c>
      <c r="R34" s="142">
        <f t="shared" si="3"/>
        <v>0</v>
      </c>
      <c r="S34" s="142">
        <f t="shared" si="3"/>
        <v>0</v>
      </c>
      <c r="T34" s="142">
        <f t="shared" si="3"/>
        <v>0</v>
      </c>
      <c r="U34" s="143">
        <f t="shared" si="3"/>
        <v>-100</v>
      </c>
      <c r="V34" s="142">
        <f t="shared" si="3"/>
        <v>-100</v>
      </c>
      <c r="W34" s="85"/>
      <c r="X34" s="738"/>
    </row>
    <row r="35" spans="2:24" ht="12" customHeight="1" x14ac:dyDescent="0.35">
      <c r="B35" s="86"/>
      <c r="C35" s="96"/>
      <c r="D35" s="96"/>
      <c r="E35" s="96"/>
      <c r="F35" s="96"/>
      <c r="G35" s="96"/>
      <c r="H35" s="96"/>
      <c r="I35" s="96"/>
      <c r="J35" s="96"/>
      <c r="K35" s="96"/>
      <c r="L35" s="96"/>
      <c r="M35" s="96"/>
      <c r="N35" s="96"/>
      <c r="O35" s="96"/>
      <c r="P35" s="96"/>
      <c r="Q35" s="96"/>
      <c r="R35" s="96"/>
      <c r="S35" s="96"/>
      <c r="T35" s="96"/>
      <c r="U35" s="113"/>
      <c r="V35" s="96"/>
      <c r="W35" s="86"/>
      <c r="X35" s="738"/>
    </row>
    <row r="36" spans="2:24" ht="15.5" x14ac:dyDescent="0.35">
      <c r="B36" s="162" t="s">
        <v>559</v>
      </c>
      <c r="C36" s="142">
        <f t="shared" ref="C36:U36" si="4">C21+C34</f>
        <v>0</v>
      </c>
      <c r="D36" s="142">
        <f t="shared" si="4"/>
        <v>0</v>
      </c>
      <c r="E36" s="142">
        <f t="shared" si="4"/>
        <v>0</v>
      </c>
      <c r="F36" s="142">
        <f t="shared" si="4"/>
        <v>0</v>
      </c>
      <c r="G36" s="142">
        <f t="shared" si="4"/>
        <v>0</v>
      </c>
      <c r="H36" s="142">
        <f t="shared" si="4"/>
        <v>0</v>
      </c>
      <c r="I36" s="142">
        <f t="shared" si="4"/>
        <v>0</v>
      </c>
      <c r="J36" s="142">
        <f t="shared" si="4"/>
        <v>0</v>
      </c>
      <c r="K36" s="142">
        <f t="shared" si="4"/>
        <v>0</v>
      </c>
      <c r="L36" s="142">
        <f t="shared" si="4"/>
        <v>0</v>
      </c>
      <c r="M36" s="142">
        <f t="shared" si="4"/>
        <v>0</v>
      </c>
      <c r="N36" s="142">
        <f t="shared" si="4"/>
        <v>0</v>
      </c>
      <c r="O36" s="142">
        <f t="shared" si="4"/>
        <v>0</v>
      </c>
      <c r="P36" s="142">
        <f t="shared" si="4"/>
        <v>0</v>
      </c>
      <c r="Q36" s="142">
        <f t="shared" si="4"/>
        <v>0</v>
      </c>
      <c r="R36" s="142">
        <f t="shared" si="4"/>
        <v>0</v>
      </c>
      <c r="S36" s="142">
        <f t="shared" si="4"/>
        <v>0</v>
      </c>
      <c r="T36" s="142">
        <f t="shared" si="4"/>
        <v>0</v>
      </c>
      <c r="U36" s="143">
        <f t="shared" si="4"/>
        <v>-100</v>
      </c>
      <c r="V36" s="142">
        <f>U36-T36</f>
        <v>-100</v>
      </c>
      <c r="W36" s="85"/>
      <c r="X36" s="738"/>
    </row>
    <row r="37" spans="2:24" ht="12" customHeight="1" x14ac:dyDescent="0.35">
      <c r="B37" s="86"/>
      <c r="C37" s="96"/>
      <c r="D37" s="96"/>
      <c r="E37" s="96"/>
      <c r="F37" s="96"/>
      <c r="G37" s="96"/>
      <c r="H37" s="96"/>
      <c r="I37" s="96"/>
      <c r="J37" s="96"/>
      <c r="K37" s="96"/>
      <c r="L37" s="96"/>
      <c r="M37" s="96"/>
      <c r="N37" s="96"/>
      <c r="O37" s="96"/>
      <c r="P37" s="96"/>
      <c r="Q37" s="96"/>
      <c r="R37" s="96"/>
      <c r="S37" s="96"/>
      <c r="T37" s="116"/>
      <c r="U37" s="113"/>
      <c r="V37" s="96"/>
      <c r="W37" s="86"/>
      <c r="X37" s="738"/>
    </row>
  </sheetData>
  <mergeCells count="7">
    <mergeCell ref="A31:B31"/>
    <mergeCell ref="X1:X10"/>
    <mergeCell ref="C5:H5"/>
    <mergeCell ref="I5:R5"/>
    <mergeCell ref="Y7:AE7"/>
    <mergeCell ref="X11:X23"/>
    <mergeCell ref="X27:X37"/>
  </mergeCells>
  <pageMargins left="0.24" right="0.32" top="0.75" bottom="0.75" header="0" footer="0"/>
  <pageSetup orientation="landscape"/>
  <headerFooter>
    <oddFooter>&amp;L&amp;D &amp;T&amp;R&amp;F</oddFooter>
  </headerFooter>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179F-152F-4FFE-93CE-EE8B292BC7FF}">
  <sheetPr>
    <tabColor theme="9" tint="0.59999389629810485"/>
    <pageSetUpPr fitToPage="1"/>
  </sheetPr>
  <dimension ref="A1:AE37"/>
  <sheetViews>
    <sheetView topLeftCell="M1" workbookViewId="0">
      <selection activeCell="Z13" sqref="Z13"/>
    </sheetView>
  </sheetViews>
  <sheetFormatPr defaultColWidth="14.4140625" defaultRowHeight="15" customHeight="1" x14ac:dyDescent="0.25"/>
  <cols>
    <col min="1" max="1" width="34.58203125" style="94" customWidth="1"/>
    <col min="2" max="2" width="25.75" style="94" customWidth="1"/>
    <col min="3" max="3" width="24.58203125" style="94" customWidth="1"/>
    <col min="4" max="4" width="17.4140625" style="94" customWidth="1"/>
    <col min="5" max="7" width="15.58203125" style="94" customWidth="1"/>
    <col min="8" max="8" width="18.33203125" style="94" customWidth="1"/>
    <col min="9" max="9" width="15.08203125" style="94" customWidth="1"/>
    <col min="10" max="10" width="16.75" style="94" customWidth="1"/>
    <col min="11" max="11" width="17.4140625" style="94" customWidth="1"/>
    <col min="12" max="12" width="15.33203125" style="94" customWidth="1"/>
    <col min="13" max="13" width="15.58203125" style="94" bestFit="1" customWidth="1"/>
    <col min="14" max="14" width="14.4140625" style="94" customWidth="1"/>
    <col min="15" max="15" width="15.58203125" style="94" customWidth="1"/>
    <col min="16" max="16" width="14.58203125" style="94" customWidth="1"/>
    <col min="17" max="17" width="16.4140625" style="94" customWidth="1"/>
    <col min="18" max="18" width="14.4140625" style="94" customWidth="1"/>
    <col min="19" max="19" width="12.4140625" style="94" customWidth="1"/>
    <col min="20" max="20" width="16.75" style="94" customWidth="1"/>
    <col min="21" max="21" width="16.4140625" style="94" customWidth="1"/>
    <col min="22" max="22" width="17.08203125" style="94" customWidth="1"/>
    <col min="23" max="23" width="12.58203125" style="94" customWidth="1"/>
    <col min="24" max="24" width="7.58203125" style="94" customWidth="1"/>
    <col min="25" max="25" width="16.58203125" style="94" customWidth="1"/>
    <col min="26" max="26" width="21.25" style="94" customWidth="1"/>
    <col min="27" max="27" width="17.4140625" style="94" customWidth="1"/>
    <col min="28" max="28" width="15.4140625" style="94" customWidth="1"/>
    <col min="29" max="29" width="15.75" style="94" customWidth="1"/>
    <col min="30" max="31" width="13.4140625" style="94" customWidth="1"/>
    <col min="32" max="32" width="19" style="94" customWidth="1"/>
    <col min="33" max="47" width="13.4140625" style="94" customWidth="1"/>
    <col min="48" max="16384" width="14.4140625" style="94"/>
  </cols>
  <sheetData>
    <row r="1" spans="1:31" ht="46.5" x14ac:dyDescent="0.35">
      <c r="A1" s="183" t="s">
        <v>488</v>
      </c>
      <c r="B1" s="86"/>
      <c r="C1" s="87" t="s">
        <v>489</v>
      </c>
      <c r="D1" s="88"/>
      <c r="E1" s="88"/>
      <c r="F1" s="88"/>
      <c r="G1" s="88"/>
      <c r="H1" s="88"/>
      <c r="I1" s="88"/>
      <c r="J1" s="88"/>
      <c r="K1" s="88"/>
      <c r="L1" s="88"/>
      <c r="M1" s="88"/>
      <c r="N1" s="89"/>
      <c r="O1" s="88"/>
      <c r="P1" s="88"/>
      <c r="Q1" s="90"/>
      <c r="R1" s="91" t="s">
        <v>490</v>
      </c>
      <c r="S1" s="92"/>
      <c r="T1" s="86"/>
      <c r="U1" s="92"/>
      <c r="V1" s="92"/>
      <c r="W1" s="86"/>
      <c r="X1" s="739" t="s">
        <v>491</v>
      </c>
      <c r="Y1" s="86"/>
      <c r="Z1" s="93"/>
      <c r="AA1" s="86"/>
      <c r="AB1" s="86"/>
      <c r="AC1" s="86"/>
      <c r="AD1" s="86"/>
      <c r="AE1" s="86"/>
    </row>
    <row r="2" spans="1:31" ht="52.25" customHeight="1" x14ac:dyDescent="0.35">
      <c r="A2" s="85" t="s">
        <v>492</v>
      </c>
      <c r="B2" s="86"/>
      <c r="C2" s="95" t="s">
        <v>493</v>
      </c>
      <c r="D2" s="92"/>
      <c r="E2" s="92"/>
      <c r="F2" s="92"/>
      <c r="G2" s="92"/>
      <c r="H2" s="92"/>
      <c r="I2" s="92"/>
      <c r="J2" s="92"/>
      <c r="K2" s="92"/>
      <c r="L2" s="92"/>
      <c r="M2" s="92"/>
      <c r="N2" s="92"/>
      <c r="O2" s="92"/>
      <c r="P2" s="92"/>
      <c r="Q2" s="96"/>
      <c r="R2" s="95" t="s">
        <v>493</v>
      </c>
      <c r="S2" s="92"/>
      <c r="T2" s="86"/>
      <c r="U2" s="92"/>
      <c r="V2" s="92"/>
      <c r="W2" s="86"/>
      <c r="X2" s="738"/>
      <c r="Y2" s="86"/>
      <c r="Z2" s="93"/>
      <c r="AA2" s="86"/>
      <c r="AB2" s="86"/>
      <c r="AC2" s="86"/>
      <c r="AD2" s="86"/>
      <c r="AE2" s="86"/>
    </row>
    <row r="3" spans="1:31" ht="15.5" x14ac:dyDescent="0.35">
      <c r="A3" s="85" t="s">
        <v>616</v>
      </c>
      <c r="B3" s="86"/>
      <c r="C3" s="97"/>
      <c r="D3" s="98"/>
      <c r="E3" s="92"/>
      <c r="F3" s="92"/>
      <c r="G3" s="92"/>
      <c r="H3" s="92"/>
      <c r="I3" s="99"/>
      <c r="J3" s="99"/>
      <c r="K3" s="99"/>
      <c r="L3" s="99"/>
      <c r="M3" s="99"/>
      <c r="N3" s="99"/>
      <c r="O3" s="99"/>
      <c r="P3" s="99"/>
      <c r="Q3" s="100"/>
      <c r="R3" s="99"/>
      <c r="S3" s="92"/>
      <c r="T3" s="99"/>
      <c r="U3" s="101"/>
      <c r="V3" s="92"/>
      <c r="W3" s="86"/>
      <c r="X3" s="738"/>
      <c r="Y3" s="86"/>
      <c r="Z3" s="93"/>
      <c r="AA3" s="86"/>
      <c r="AB3" s="86"/>
      <c r="AC3" s="86"/>
      <c r="AD3" s="86"/>
      <c r="AE3" s="86"/>
    </row>
    <row r="4" spans="1:31" ht="15.5" x14ac:dyDescent="0.35">
      <c r="A4" s="102" t="s">
        <v>608</v>
      </c>
      <c r="B4" s="103"/>
      <c r="C4" s="97"/>
      <c r="D4" s="98"/>
      <c r="E4" s="92"/>
      <c r="F4" s="92"/>
      <c r="G4" s="92"/>
      <c r="H4" s="92"/>
      <c r="I4" s="99"/>
      <c r="J4" s="99"/>
      <c r="K4" s="99"/>
      <c r="L4" s="99"/>
      <c r="M4" s="99"/>
      <c r="N4" s="99"/>
      <c r="O4" s="99"/>
      <c r="P4" s="99"/>
      <c r="Q4" s="100"/>
      <c r="R4" s="99"/>
      <c r="S4" s="92"/>
      <c r="T4" s="104"/>
      <c r="U4" s="101"/>
      <c r="V4" s="92"/>
      <c r="W4" s="86"/>
      <c r="X4" s="738"/>
      <c r="Y4" s="86"/>
      <c r="Z4" s="93"/>
      <c r="AA4" s="86"/>
      <c r="AB4" s="86"/>
      <c r="AC4" s="86"/>
      <c r="AD4" s="86"/>
      <c r="AE4" s="86"/>
    </row>
    <row r="5" spans="1:31" ht="16" thickBot="1" x14ac:dyDescent="0.4">
      <c r="A5" s="105" t="s">
        <v>744</v>
      </c>
      <c r="B5" s="106"/>
      <c r="C5" s="740" t="s">
        <v>609</v>
      </c>
      <c r="D5" s="738"/>
      <c r="E5" s="738"/>
      <c r="F5" s="738"/>
      <c r="G5" s="738"/>
      <c r="H5" s="738"/>
      <c r="I5" s="741" t="s">
        <v>495</v>
      </c>
      <c r="J5" s="738"/>
      <c r="K5" s="738"/>
      <c r="L5" s="738"/>
      <c r="M5" s="738"/>
      <c r="N5" s="738"/>
      <c r="O5" s="738"/>
      <c r="P5" s="738"/>
      <c r="Q5" s="738"/>
      <c r="R5" s="738"/>
      <c r="S5" s="107"/>
      <c r="T5" s="104" t="s">
        <v>496</v>
      </c>
      <c r="U5" s="101"/>
      <c r="V5" s="92"/>
      <c r="W5" s="86"/>
      <c r="X5" s="738"/>
      <c r="Y5" s="86"/>
      <c r="Z5" s="93"/>
      <c r="AA5" s="86"/>
      <c r="AB5" s="86"/>
      <c r="AC5" s="86"/>
      <c r="AD5" s="86"/>
      <c r="AE5" s="86"/>
    </row>
    <row r="6" spans="1:31" ht="12" customHeight="1" x14ac:dyDescent="0.35">
      <c r="B6" s="86"/>
      <c r="C6" s="108"/>
      <c r="D6" s="109"/>
      <c r="E6" s="107"/>
      <c r="F6" s="107"/>
      <c r="G6" s="107"/>
      <c r="H6" s="110" t="s">
        <v>497</v>
      </c>
      <c r="I6" s="111" t="e">
        <f t="shared" ref="I6:R6" si="0">(+I13-I29)/$Z$12</f>
        <v>#DIV/0!</v>
      </c>
      <c r="J6" s="111" t="e">
        <f t="shared" si="0"/>
        <v>#DIV/0!</v>
      </c>
      <c r="K6" s="111" t="e">
        <f t="shared" si="0"/>
        <v>#DIV/0!</v>
      </c>
      <c r="L6" s="111" t="e">
        <f t="shared" si="0"/>
        <v>#DIV/0!</v>
      </c>
      <c r="M6" s="111" t="e">
        <f t="shared" si="0"/>
        <v>#DIV/0!</v>
      </c>
      <c r="N6" s="111" t="e">
        <f t="shared" si="0"/>
        <v>#DIV/0!</v>
      </c>
      <c r="O6" s="111" t="e">
        <f t="shared" si="0"/>
        <v>#DIV/0!</v>
      </c>
      <c r="P6" s="111" t="e">
        <f t="shared" si="0"/>
        <v>#DIV/0!</v>
      </c>
      <c r="Q6" s="111" t="e">
        <f t="shared" si="0"/>
        <v>#DIV/0!</v>
      </c>
      <c r="R6" s="111" t="e">
        <f t="shared" si="0"/>
        <v>#DIV/0!</v>
      </c>
      <c r="S6" s="107"/>
      <c r="T6" s="112" t="e">
        <f>SUM(I6:S6)</f>
        <v>#DIV/0!</v>
      </c>
      <c r="U6" s="113" t="s">
        <v>498</v>
      </c>
      <c r="V6" s="92"/>
      <c r="W6" s="86"/>
      <c r="X6" s="738"/>
      <c r="Y6" s="168"/>
      <c r="Z6" s="169"/>
      <c r="AA6" s="170"/>
      <c r="AB6" s="170"/>
      <c r="AC6" s="170"/>
      <c r="AD6" s="170"/>
      <c r="AE6" s="170"/>
    </row>
    <row r="7" spans="1:31" ht="12" customHeight="1" x14ac:dyDescent="0.35">
      <c r="B7" s="86"/>
      <c r="C7" s="96"/>
      <c r="D7" s="92"/>
      <c r="E7" s="92"/>
      <c r="F7" s="92"/>
      <c r="G7" s="92"/>
      <c r="H7" s="92"/>
      <c r="I7" s="114"/>
      <c r="J7" s="114"/>
      <c r="K7" s="114"/>
      <c r="L7" s="114"/>
      <c r="M7" s="114"/>
      <c r="N7" s="114"/>
      <c r="O7" s="114"/>
      <c r="P7" s="114"/>
      <c r="Q7" s="115"/>
      <c r="R7" s="114"/>
      <c r="S7" s="96"/>
      <c r="T7" s="86"/>
      <c r="U7" s="113" t="s">
        <v>499</v>
      </c>
      <c r="V7" s="92"/>
      <c r="W7" s="86"/>
      <c r="X7" s="738"/>
      <c r="Y7" s="742" t="s">
        <v>614</v>
      </c>
      <c r="Z7" s="738"/>
      <c r="AA7" s="738"/>
      <c r="AB7" s="738"/>
      <c r="AC7" s="738"/>
      <c r="AD7" s="738"/>
      <c r="AE7" s="738"/>
    </row>
    <row r="8" spans="1:31" ht="15.5" x14ac:dyDescent="0.35">
      <c r="A8" s="116"/>
      <c r="B8" s="104" t="s">
        <v>500</v>
      </c>
      <c r="C8" s="117">
        <v>44783</v>
      </c>
      <c r="D8" s="117">
        <v>44814</v>
      </c>
      <c r="E8" s="117">
        <v>44844</v>
      </c>
      <c r="F8" s="117">
        <v>44875</v>
      </c>
      <c r="G8" s="117">
        <v>44905</v>
      </c>
      <c r="H8" s="117">
        <v>44571</v>
      </c>
      <c r="I8" s="118">
        <v>44602</v>
      </c>
      <c r="J8" s="118">
        <v>44630</v>
      </c>
      <c r="K8" s="118">
        <v>44644</v>
      </c>
      <c r="L8" s="118">
        <v>44661</v>
      </c>
      <c r="M8" s="119">
        <v>44691</v>
      </c>
      <c r="N8" s="119">
        <v>44705</v>
      </c>
      <c r="O8" s="118">
        <v>44722</v>
      </c>
      <c r="P8" s="119">
        <v>44736</v>
      </c>
      <c r="Q8" s="118">
        <v>44752</v>
      </c>
      <c r="R8" s="118">
        <v>44783</v>
      </c>
      <c r="S8" s="96"/>
      <c r="T8" s="116"/>
      <c r="U8" s="113"/>
      <c r="V8" s="96"/>
      <c r="W8" s="116"/>
      <c r="X8" s="738"/>
      <c r="Y8" s="171" t="s">
        <v>501</v>
      </c>
      <c r="Z8" s="172"/>
      <c r="AA8" s="116"/>
      <c r="AB8" s="116"/>
      <c r="AC8" s="116"/>
      <c r="AD8" s="116"/>
      <c r="AE8" s="116"/>
    </row>
    <row r="9" spans="1:31" ht="15.5" x14ac:dyDescent="0.35">
      <c r="A9" s="116"/>
      <c r="B9" s="104"/>
      <c r="C9" s="120"/>
      <c r="D9" s="120"/>
      <c r="E9" s="120"/>
      <c r="F9" s="120"/>
      <c r="G9" s="120"/>
      <c r="H9" s="120"/>
      <c r="I9" s="115"/>
      <c r="J9" s="115"/>
      <c r="K9" s="115"/>
      <c r="L9" s="115"/>
      <c r="M9" s="115"/>
      <c r="N9" s="115"/>
      <c r="O9" s="115"/>
      <c r="P9" s="115"/>
      <c r="Q9" s="115"/>
      <c r="R9" s="115"/>
      <c r="S9" s="96"/>
      <c r="T9" s="116"/>
      <c r="U9" s="113"/>
      <c r="W9" s="116"/>
      <c r="X9" s="738"/>
      <c r="Y9" s="171" t="s">
        <v>502</v>
      </c>
      <c r="Z9" s="172"/>
      <c r="AA9" s="116"/>
      <c r="AB9" s="116"/>
      <c r="AC9" s="116"/>
      <c r="AD9" s="116"/>
      <c r="AE9" s="116"/>
    </row>
    <row r="10" spans="1:31" ht="15.5" x14ac:dyDescent="0.35">
      <c r="A10" s="116"/>
      <c r="B10" s="104" t="s">
        <v>503</v>
      </c>
      <c r="C10" s="120" t="s">
        <v>504</v>
      </c>
      <c r="D10" s="120" t="s">
        <v>505</v>
      </c>
      <c r="E10" s="120" t="s">
        <v>506</v>
      </c>
      <c r="F10" s="120" t="s">
        <v>507</v>
      </c>
      <c r="G10" s="120" t="s">
        <v>508</v>
      </c>
      <c r="H10" s="120" t="s">
        <v>509</v>
      </c>
      <c r="I10" s="115" t="s">
        <v>510</v>
      </c>
      <c r="J10" s="115" t="s">
        <v>511</v>
      </c>
      <c r="K10" s="115" t="s">
        <v>512</v>
      </c>
      <c r="L10" s="115" t="s">
        <v>513</v>
      </c>
      <c r="M10" s="115" t="s">
        <v>514</v>
      </c>
      <c r="N10" s="115" t="s">
        <v>515</v>
      </c>
      <c r="O10" s="115" t="s">
        <v>516</v>
      </c>
      <c r="P10" s="115" t="s">
        <v>517</v>
      </c>
      <c r="Q10" s="115" t="s">
        <v>518</v>
      </c>
      <c r="R10" s="115" t="s">
        <v>504</v>
      </c>
      <c r="S10" s="96" t="s">
        <v>519</v>
      </c>
      <c r="T10" s="116" t="s">
        <v>496</v>
      </c>
      <c r="U10" s="113" t="s">
        <v>520</v>
      </c>
      <c r="V10" s="96" t="s">
        <v>521</v>
      </c>
      <c r="W10" s="116"/>
      <c r="X10" s="738"/>
      <c r="Y10" s="173"/>
      <c r="Z10" s="172"/>
      <c r="AA10" s="116"/>
      <c r="AB10" s="116"/>
      <c r="AC10" s="116"/>
      <c r="AD10" s="116"/>
      <c r="AE10" s="116"/>
    </row>
    <row r="11" spans="1:31" ht="17.5" customHeight="1" x14ac:dyDescent="0.35">
      <c r="A11" s="86"/>
      <c r="B11" s="121" t="s">
        <v>522</v>
      </c>
      <c r="C11" s="122" t="s">
        <v>578</v>
      </c>
      <c r="D11" s="122" t="s">
        <v>578</v>
      </c>
      <c r="E11" s="122" t="s">
        <v>578</v>
      </c>
      <c r="F11" s="122" t="s">
        <v>578</v>
      </c>
      <c r="G11" s="122" t="s">
        <v>578</v>
      </c>
      <c r="H11" s="122" t="s">
        <v>578</v>
      </c>
      <c r="I11" s="122" t="s">
        <v>578</v>
      </c>
      <c r="J11" s="122" t="s">
        <v>578</v>
      </c>
      <c r="K11" s="122" t="s">
        <v>578</v>
      </c>
      <c r="L11" s="122" t="s">
        <v>578</v>
      </c>
      <c r="M11" s="122" t="s">
        <v>578</v>
      </c>
      <c r="N11" s="122" t="s">
        <v>578</v>
      </c>
      <c r="O11" s="122" t="s">
        <v>578</v>
      </c>
      <c r="P11" s="122" t="s">
        <v>578</v>
      </c>
      <c r="Q11" s="123" t="s">
        <v>579</v>
      </c>
      <c r="R11" s="123" t="s">
        <v>579</v>
      </c>
      <c r="S11" s="92"/>
      <c r="T11" s="86"/>
      <c r="U11" s="101"/>
      <c r="V11" s="92"/>
      <c r="W11" s="86"/>
      <c r="X11" s="743" t="s">
        <v>491</v>
      </c>
      <c r="Y11" s="174"/>
      <c r="Z11" s="93"/>
      <c r="AA11" s="85"/>
      <c r="AB11" s="86"/>
      <c r="AC11" s="86"/>
      <c r="AD11" s="86"/>
      <c r="AE11" s="86"/>
    </row>
    <row r="12" spans="1:31" ht="24" customHeight="1" x14ac:dyDescent="0.35">
      <c r="A12" s="86"/>
      <c r="B12" s="124" t="s">
        <v>525</v>
      </c>
      <c r="C12" s="96"/>
      <c r="D12" s="92"/>
      <c r="E12" s="92"/>
      <c r="F12" s="92"/>
      <c r="G12" s="92"/>
      <c r="H12" s="92"/>
      <c r="I12" s="92"/>
      <c r="J12" s="92"/>
      <c r="K12" s="92"/>
      <c r="L12" s="92"/>
      <c r="M12" s="92"/>
      <c r="N12" s="92"/>
      <c r="O12" s="92"/>
      <c r="P12" s="92"/>
      <c r="Q12" s="96"/>
      <c r="R12" s="92"/>
      <c r="S12" s="92"/>
      <c r="T12" s="86"/>
      <c r="U12" s="101"/>
      <c r="V12" s="92"/>
      <c r="W12" s="86"/>
      <c r="X12" s="738"/>
      <c r="Y12" s="174"/>
      <c r="Z12" s="184">
        <f>+'BOE Resolution'!B35</f>
        <v>0</v>
      </c>
      <c r="AA12" s="185" t="s">
        <v>739</v>
      </c>
      <c r="AB12" s="186"/>
      <c r="AC12" s="186"/>
      <c r="AD12" s="186"/>
      <c r="AE12" s="186"/>
    </row>
    <row r="13" spans="1:31" ht="48.75" customHeight="1" x14ac:dyDescent="0.25">
      <c r="A13" s="125" t="s">
        <v>526</v>
      </c>
      <c r="B13" s="126">
        <v>1110</v>
      </c>
      <c r="C13" s="127" t="s">
        <v>527</v>
      </c>
      <c r="D13" s="128"/>
      <c r="E13" s="128"/>
      <c r="F13" s="128"/>
      <c r="G13" s="128"/>
      <c r="H13" s="128"/>
      <c r="I13" s="128"/>
      <c r="J13" s="128"/>
      <c r="K13" s="128"/>
      <c r="L13" s="128"/>
      <c r="M13" s="128"/>
      <c r="N13" s="128"/>
      <c r="O13" s="128"/>
      <c r="P13" s="128"/>
      <c r="Q13" s="128"/>
      <c r="R13" s="129">
        <v>0</v>
      </c>
      <c r="S13" s="128"/>
      <c r="T13" s="130">
        <f>SUM(C13:S13)</f>
        <v>0</v>
      </c>
      <c r="U13" s="131">
        <v>0</v>
      </c>
      <c r="V13" s="130">
        <f>+T13+T18-T29-U13</f>
        <v>0</v>
      </c>
      <c r="W13" s="132"/>
      <c r="X13" s="738"/>
      <c r="Y13" s="175"/>
      <c r="Z13" s="187">
        <f>SUM(I13:R13)+SUM(I29:R29)</f>
        <v>0</v>
      </c>
      <c r="AA13" s="133" t="s">
        <v>528</v>
      </c>
      <c r="AB13" s="132"/>
      <c r="AC13" s="132"/>
      <c r="AD13" s="132"/>
      <c r="AE13" s="132"/>
    </row>
    <row r="14" spans="1:31" ht="15" customHeight="1" x14ac:dyDescent="0.25">
      <c r="A14" s="125" t="s">
        <v>529</v>
      </c>
      <c r="B14" s="126">
        <v>1140</v>
      </c>
      <c r="C14" s="129"/>
      <c r="D14" s="128"/>
      <c r="E14" s="128"/>
      <c r="F14" s="128"/>
      <c r="G14" s="128"/>
      <c r="H14" s="128"/>
      <c r="I14" s="128"/>
      <c r="J14" s="128"/>
      <c r="K14" s="128"/>
      <c r="L14" s="128"/>
      <c r="M14" s="128"/>
      <c r="N14" s="128"/>
      <c r="O14" s="128"/>
      <c r="P14" s="128"/>
      <c r="Q14" s="128"/>
      <c r="R14" s="134"/>
      <c r="S14" s="128"/>
      <c r="T14" s="135">
        <f>SUM(C14:S14)</f>
        <v>0</v>
      </c>
      <c r="U14" s="131">
        <v>0</v>
      </c>
      <c r="V14" s="135">
        <f>U14-T14-T15-T27-T28-T30</f>
        <v>0</v>
      </c>
      <c r="W14" s="136"/>
      <c r="X14" s="738"/>
      <c r="Y14" s="175"/>
      <c r="Z14" s="137">
        <f>Z12-Z13</f>
        <v>0</v>
      </c>
      <c r="AA14" s="133" t="s">
        <v>530</v>
      </c>
      <c r="AB14" s="132"/>
      <c r="AC14" s="132"/>
      <c r="AD14" s="132"/>
      <c r="AE14" s="132"/>
    </row>
    <row r="15" spans="1:31" ht="15" customHeight="1" x14ac:dyDescent="0.35">
      <c r="A15" s="138" t="s">
        <v>531</v>
      </c>
      <c r="B15" s="104">
        <v>1140</v>
      </c>
      <c r="C15" s="95"/>
      <c r="D15" s="96"/>
      <c r="E15" s="96"/>
      <c r="F15" s="96"/>
      <c r="G15" s="96"/>
      <c r="H15" s="96"/>
      <c r="I15" s="96"/>
      <c r="J15" s="96"/>
      <c r="K15" s="96"/>
      <c r="L15" s="96"/>
      <c r="M15" s="96"/>
      <c r="N15" s="96"/>
      <c r="O15" s="96"/>
      <c r="P15" s="96"/>
      <c r="Q15" s="96"/>
      <c r="R15" s="139"/>
      <c r="S15" s="96"/>
      <c r="T15" s="140">
        <f>SUM(C15:S15)</f>
        <v>0</v>
      </c>
      <c r="U15" s="113">
        <v>0</v>
      </c>
      <c r="V15" s="96"/>
      <c r="W15" s="86"/>
      <c r="X15" s="738"/>
      <c r="Y15" s="176" t="s">
        <v>532</v>
      </c>
      <c r="Z15" s="177"/>
      <c r="AA15" s="177"/>
      <c r="AB15" s="177"/>
      <c r="AC15" s="177"/>
      <c r="AD15" s="177"/>
      <c r="AE15" s="92"/>
    </row>
    <row r="16" spans="1:31" ht="15" customHeight="1" x14ac:dyDescent="0.35">
      <c r="A16" s="138" t="s">
        <v>611</v>
      </c>
      <c r="B16" s="104">
        <v>1140</v>
      </c>
      <c r="C16" s="95"/>
      <c r="D16" s="96"/>
      <c r="E16" s="96"/>
      <c r="F16" s="96"/>
      <c r="G16" s="96"/>
      <c r="H16" s="96"/>
      <c r="I16" s="96"/>
      <c r="J16" s="96"/>
      <c r="K16" s="96"/>
      <c r="L16" s="96"/>
      <c r="M16" s="96"/>
      <c r="N16" s="96"/>
      <c r="O16" s="96"/>
      <c r="P16" s="96"/>
      <c r="Q16" s="96"/>
      <c r="R16" s="139"/>
      <c r="S16" s="96"/>
      <c r="T16" s="96"/>
      <c r="U16" s="113"/>
      <c r="V16" s="96"/>
      <c r="W16" s="86"/>
      <c r="X16" s="738"/>
      <c r="Y16" s="178"/>
      <c r="AA16" s="132"/>
      <c r="AB16" s="107" t="s">
        <v>533</v>
      </c>
      <c r="AC16" s="107" t="s">
        <v>534</v>
      </c>
      <c r="AD16" s="132"/>
      <c r="AE16" s="132"/>
    </row>
    <row r="17" spans="1:31" ht="15" customHeight="1" x14ac:dyDescent="0.35">
      <c r="A17" s="138" t="s">
        <v>535</v>
      </c>
      <c r="B17" s="104">
        <v>1120</v>
      </c>
      <c r="C17" s="95"/>
      <c r="D17" s="96"/>
      <c r="E17" s="96"/>
      <c r="F17" s="96"/>
      <c r="G17" s="96"/>
      <c r="H17" s="96"/>
      <c r="I17" s="96"/>
      <c r="J17" s="96"/>
      <c r="K17" s="96"/>
      <c r="L17" s="96"/>
      <c r="M17" s="96"/>
      <c r="N17" s="96"/>
      <c r="O17" s="96"/>
      <c r="P17" s="96"/>
      <c r="Q17" s="96"/>
      <c r="R17" s="139"/>
      <c r="S17" s="96"/>
      <c r="T17" s="96">
        <f>SUM(C17:S17)</f>
        <v>0</v>
      </c>
      <c r="U17" s="113">
        <v>0</v>
      </c>
      <c r="V17" s="96">
        <f>+U17-T17</f>
        <v>0</v>
      </c>
      <c r="W17" s="86"/>
      <c r="X17" s="738"/>
      <c r="Y17" s="179" t="s">
        <v>536</v>
      </c>
      <c r="AA17" s="167" t="s">
        <v>581</v>
      </c>
      <c r="AB17" s="96">
        <f>Z14</f>
        <v>0</v>
      </c>
      <c r="AC17" s="96"/>
      <c r="AD17" s="92"/>
      <c r="AE17" s="92"/>
    </row>
    <row r="18" spans="1:31" ht="15" customHeight="1" x14ac:dyDescent="0.35">
      <c r="A18" s="138" t="s">
        <v>538</v>
      </c>
      <c r="B18" s="104">
        <v>1110</v>
      </c>
      <c r="C18" s="96"/>
      <c r="D18" s="96"/>
      <c r="E18" s="96"/>
      <c r="F18" s="96"/>
      <c r="G18" s="96"/>
      <c r="H18" s="96"/>
      <c r="I18" s="96"/>
      <c r="J18" s="96"/>
      <c r="K18" s="96"/>
      <c r="L18" s="96"/>
      <c r="M18" s="96"/>
      <c r="N18" s="96"/>
      <c r="O18" s="96"/>
      <c r="P18" s="96"/>
      <c r="Q18" s="96"/>
      <c r="R18" s="96"/>
      <c r="S18" s="96"/>
      <c r="T18" s="141">
        <f>SUM(C18:S18)</f>
        <v>0</v>
      </c>
      <c r="U18" s="113"/>
      <c r="V18" s="96"/>
      <c r="W18" s="86"/>
      <c r="X18" s="738"/>
      <c r="Y18" s="179" t="s">
        <v>613</v>
      </c>
      <c r="AA18" s="167" t="s">
        <v>582</v>
      </c>
      <c r="AB18" s="96"/>
      <c r="AC18" s="96">
        <f>Z14</f>
        <v>0</v>
      </c>
      <c r="AD18" s="92"/>
      <c r="AE18" s="92"/>
    </row>
    <row r="19" spans="1:31" ht="15" customHeight="1" thickBot="1" x14ac:dyDescent="0.4">
      <c r="A19" s="138" t="s">
        <v>540</v>
      </c>
      <c r="B19" s="104">
        <v>2030</v>
      </c>
      <c r="C19" s="96"/>
      <c r="D19" s="96"/>
      <c r="E19" s="96"/>
      <c r="F19" s="96"/>
      <c r="G19" s="96"/>
      <c r="H19" s="96"/>
      <c r="I19" s="96"/>
      <c r="J19" s="96"/>
      <c r="K19" s="96"/>
      <c r="L19" s="96"/>
      <c r="M19" s="96"/>
      <c r="N19" s="96"/>
      <c r="O19" s="96"/>
      <c r="P19" s="96"/>
      <c r="Q19" s="96"/>
      <c r="R19" s="96"/>
      <c r="S19" s="96"/>
      <c r="T19" s="96">
        <f>SUM(C19:S19)</f>
        <v>0</v>
      </c>
      <c r="U19" s="113"/>
      <c r="V19" s="96">
        <f>+U19-T19</f>
        <v>0</v>
      </c>
      <c r="W19" s="86"/>
      <c r="X19" s="738"/>
      <c r="Y19" s="180"/>
      <c r="Z19" s="181"/>
      <c r="AA19" s="182"/>
      <c r="AB19" s="182"/>
      <c r="AC19" s="182"/>
      <c r="AD19" s="182"/>
      <c r="AE19" s="182"/>
    </row>
    <row r="20" spans="1:31" ht="12" customHeight="1" x14ac:dyDescent="0.35">
      <c r="A20" s="86"/>
      <c r="B20" s="116"/>
      <c r="C20" s="96"/>
      <c r="D20" s="96"/>
      <c r="E20" s="96"/>
      <c r="F20" s="96"/>
      <c r="G20" s="96"/>
      <c r="H20" s="96"/>
      <c r="I20" s="96"/>
      <c r="J20" s="96"/>
      <c r="K20" s="96"/>
      <c r="L20" s="96"/>
      <c r="M20" s="96"/>
      <c r="N20" s="96"/>
      <c r="O20" s="96"/>
      <c r="P20" s="96"/>
      <c r="Q20" s="96"/>
      <c r="R20" s="96"/>
      <c r="S20" s="96"/>
      <c r="T20" s="116"/>
      <c r="U20" s="113"/>
      <c r="V20" s="96"/>
      <c r="W20" s="86"/>
      <c r="X20" s="738"/>
      <c r="Y20" s="86"/>
      <c r="Z20" s="93"/>
      <c r="AA20" s="86"/>
      <c r="AB20" s="86"/>
      <c r="AC20" s="86"/>
      <c r="AD20" s="86"/>
      <c r="AE20" s="86"/>
    </row>
    <row r="21" spans="1:31" ht="14.5" customHeight="1" x14ac:dyDescent="0.35">
      <c r="A21" s="86"/>
      <c r="B21" s="104" t="s">
        <v>541</v>
      </c>
      <c r="C21" s="142">
        <f t="shared" ref="C21:V21" si="1">SUM(C13:C20)</f>
        <v>0</v>
      </c>
      <c r="D21" s="142">
        <f t="shared" si="1"/>
        <v>0</v>
      </c>
      <c r="E21" s="142">
        <f t="shared" si="1"/>
        <v>0</v>
      </c>
      <c r="F21" s="142">
        <f t="shared" si="1"/>
        <v>0</v>
      </c>
      <c r="G21" s="142">
        <f t="shared" si="1"/>
        <v>0</v>
      </c>
      <c r="H21" s="142">
        <f t="shared" si="1"/>
        <v>0</v>
      </c>
      <c r="I21" s="142">
        <f t="shared" si="1"/>
        <v>0</v>
      </c>
      <c r="J21" s="142">
        <f t="shared" si="1"/>
        <v>0</v>
      </c>
      <c r="K21" s="142">
        <f t="shared" si="1"/>
        <v>0</v>
      </c>
      <c r="L21" s="142">
        <f t="shared" si="1"/>
        <v>0</v>
      </c>
      <c r="M21" s="142">
        <f t="shared" si="1"/>
        <v>0</v>
      </c>
      <c r="N21" s="142">
        <f t="shared" si="1"/>
        <v>0</v>
      </c>
      <c r="O21" s="142">
        <f t="shared" si="1"/>
        <v>0</v>
      </c>
      <c r="P21" s="142">
        <f t="shared" si="1"/>
        <v>0</v>
      </c>
      <c r="Q21" s="142">
        <f t="shared" si="1"/>
        <v>0</v>
      </c>
      <c r="R21" s="142">
        <f t="shared" si="1"/>
        <v>0</v>
      </c>
      <c r="S21" s="142">
        <f t="shared" si="1"/>
        <v>0</v>
      </c>
      <c r="T21" s="142">
        <f t="shared" si="1"/>
        <v>0</v>
      </c>
      <c r="U21" s="143">
        <f t="shared" si="1"/>
        <v>0</v>
      </c>
      <c r="V21" s="142">
        <f t="shared" si="1"/>
        <v>0</v>
      </c>
      <c r="W21" s="86"/>
      <c r="X21" s="738"/>
      <c r="Y21" s="144" t="s">
        <v>542</v>
      </c>
      <c r="Z21" s="145"/>
      <c r="AA21" s="145"/>
      <c r="AB21" s="145"/>
      <c r="AC21" s="145"/>
      <c r="AD21" s="145"/>
      <c r="AE21" s="145"/>
    </row>
    <row r="22" spans="1:31" ht="17" customHeight="1" x14ac:dyDescent="0.35">
      <c r="A22" s="86"/>
      <c r="B22" s="124" t="s">
        <v>525</v>
      </c>
      <c r="C22" s="96"/>
      <c r="D22" s="96"/>
      <c r="E22" s="96"/>
      <c r="F22" s="96"/>
      <c r="G22" s="96"/>
      <c r="H22" s="96"/>
      <c r="I22" s="96"/>
      <c r="J22" s="96"/>
      <c r="K22" s="96"/>
      <c r="L22" s="96"/>
      <c r="M22" s="96"/>
      <c r="N22" s="96"/>
      <c r="O22" s="96"/>
      <c r="P22" s="96"/>
      <c r="Q22" s="96"/>
      <c r="R22" s="96"/>
      <c r="S22" s="96"/>
      <c r="T22" s="96"/>
      <c r="U22" s="113"/>
      <c r="V22" s="96"/>
      <c r="W22" s="86"/>
      <c r="X22" s="738"/>
      <c r="Y22" s="92" t="s">
        <v>543</v>
      </c>
      <c r="Z22" s="93"/>
      <c r="AA22" s="92"/>
      <c r="AB22" s="92"/>
      <c r="AC22" s="92"/>
      <c r="AD22" s="92"/>
      <c r="AE22" s="92"/>
    </row>
    <row r="23" spans="1:31" ht="15" customHeight="1" x14ac:dyDescent="0.35">
      <c r="A23" s="138" t="s">
        <v>544</v>
      </c>
      <c r="B23" s="116">
        <v>1141</v>
      </c>
      <c r="C23" s="95"/>
      <c r="D23" s="96"/>
      <c r="E23" s="96"/>
      <c r="F23" s="96"/>
      <c r="G23" s="96"/>
      <c r="H23" s="96"/>
      <c r="I23" s="96"/>
      <c r="J23" s="96"/>
      <c r="K23" s="96"/>
      <c r="L23" s="96"/>
      <c r="M23" s="96"/>
      <c r="N23" s="96"/>
      <c r="O23" s="96"/>
      <c r="P23" s="96"/>
      <c r="Q23" s="96"/>
      <c r="R23" s="146"/>
      <c r="S23" s="96"/>
      <c r="T23" s="147">
        <f t="shared" ref="T23:T30" si="2">SUM(C23:S23)</f>
        <v>0</v>
      </c>
      <c r="U23" s="113">
        <v>0</v>
      </c>
      <c r="V23" s="147">
        <f>U23-T23-T24-T25-T26</f>
        <v>0</v>
      </c>
      <c r="W23" s="148"/>
      <c r="X23" s="738"/>
      <c r="Y23" s="92"/>
      <c r="Z23" s="149">
        <f>Z14</f>
        <v>0</v>
      </c>
      <c r="AA23" s="133" t="s">
        <v>545</v>
      </c>
      <c r="AB23" s="92"/>
      <c r="AC23" s="92"/>
      <c r="AD23" s="92"/>
      <c r="AE23" s="92"/>
    </row>
    <row r="24" spans="1:31" ht="15" customHeight="1" x14ac:dyDescent="0.35">
      <c r="A24" s="138" t="s">
        <v>546</v>
      </c>
      <c r="B24" s="116">
        <v>1141</v>
      </c>
      <c r="C24" s="95"/>
      <c r="D24" s="96"/>
      <c r="E24" s="96"/>
      <c r="F24" s="96"/>
      <c r="G24" s="96"/>
      <c r="H24" s="96"/>
      <c r="I24" s="96"/>
      <c r="J24" s="96"/>
      <c r="K24" s="96"/>
      <c r="L24" s="96"/>
      <c r="M24" s="96"/>
      <c r="N24" s="96"/>
      <c r="O24" s="96"/>
      <c r="P24" s="96"/>
      <c r="Q24" s="96"/>
      <c r="R24" s="146"/>
      <c r="S24" s="96"/>
      <c r="T24" s="147">
        <f t="shared" si="2"/>
        <v>0</v>
      </c>
      <c r="U24" s="113"/>
      <c r="V24" s="96"/>
      <c r="W24" s="86"/>
      <c r="X24" s="150"/>
      <c r="Y24" s="92"/>
      <c r="Z24" s="93"/>
      <c r="AA24" s="92" t="s">
        <v>547</v>
      </c>
      <c r="AB24" s="92"/>
      <c r="AC24" s="92"/>
      <c r="AD24" s="92"/>
      <c r="AE24" s="92"/>
    </row>
    <row r="25" spans="1:31" ht="15" customHeight="1" x14ac:dyDescent="0.35">
      <c r="A25" s="138" t="s">
        <v>548</v>
      </c>
      <c r="B25" s="116">
        <v>1141</v>
      </c>
      <c r="C25" s="95"/>
      <c r="D25" s="96"/>
      <c r="E25" s="96"/>
      <c r="F25" s="96"/>
      <c r="G25" s="96"/>
      <c r="H25" s="96"/>
      <c r="I25" s="96"/>
      <c r="J25" s="96"/>
      <c r="K25" s="96"/>
      <c r="L25" s="96"/>
      <c r="M25" s="96"/>
      <c r="N25" s="96"/>
      <c r="O25" s="96"/>
      <c r="P25" s="96"/>
      <c r="Q25" s="96"/>
      <c r="R25" s="146"/>
      <c r="S25" s="96"/>
      <c r="T25" s="147">
        <f t="shared" si="2"/>
        <v>0</v>
      </c>
      <c r="U25" s="113"/>
      <c r="V25" s="96"/>
      <c r="W25" s="86"/>
      <c r="X25" s="150"/>
      <c r="Y25" s="92"/>
      <c r="Z25" s="151" t="e">
        <f>Z23/Z24-1</f>
        <v>#DIV/0!</v>
      </c>
      <c r="AA25" s="152" t="s">
        <v>549</v>
      </c>
      <c r="AB25" s="92"/>
      <c r="AC25" s="92"/>
      <c r="AD25" s="92"/>
      <c r="AE25" s="92"/>
    </row>
    <row r="26" spans="1:31" ht="15" customHeight="1" x14ac:dyDescent="0.35">
      <c r="A26" s="138" t="s">
        <v>550</v>
      </c>
      <c r="B26" s="116">
        <v>1141</v>
      </c>
      <c r="C26" s="95"/>
      <c r="D26" s="96"/>
      <c r="E26" s="96"/>
      <c r="F26" s="96"/>
      <c r="G26" s="96"/>
      <c r="H26" s="96"/>
      <c r="I26" s="96"/>
      <c r="J26" s="96"/>
      <c r="K26" s="96"/>
      <c r="L26" s="96"/>
      <c r="M26" s="96"/>
      <c r="N26" s="96"/>
      <c r="O26" s="96"/>
      <c r="P26" s="96"/>
      <c r="Q26" s="96"/>
      <c r="R26" s="146"/>
      <c r="S26" s="96"/>
      <c r="T26" s="147">
        <f t="shared" si="2"/>
        <v>0</v>
      </c>
      <c r="U26" s="113"/>
      <c r="V26" s="96"/>
      <c r="W26" s="86"/>
      <c r="X26" s="150"/>
      <c r="Y26" s="92"/>
      <c r="Z26" s="93"/>
      <c r="AA26" s="92"/>
      <c r="AB26" s="92"/>
      <c r="AC26" s="92"/>
      <c r="AD26" s="92"/>
      <c r="AE26" s="92"/>
    </row>
    <row r="27" spans="1:31" ht="15" customHeight="1" x14ac:dyDescent="0.35">
      <c r="A27" s="138" t="s">
        <v>551</v>
      </c>
      <c r="B27" s="116">
        <v>1140</v>
      </c>
      <c r="C27" s="95"/>
      <c r="D27" s="96"/>
      <c r="E27" s="96"/>
      <c r="F27" s="96"/>
      <c r="G27" s="96"/>
      <c r="H27" s="96"/>
      <c r="I27" s="96"/>
      <c r="J27" s="96"/>
      <c r="K27" s="96"/>
      <c r="L27" s="96"/>
      <c r="M27" s="96"/>
      <c r="N27" s="96"/>
      <c r="O27" s="96"/>
      <c r="P27" s="96"/>
      <c r="Q27" s="96"/>
      <c r="R27" s="139"/>
      <c r="S27" s="96"/>
      <c r="T27" s="140">
        <f t="shared" si="2"/>
        <v>0</v>
      </c>
      <c r="U27" s="113"/>
      <c r="V27" s="96"/>
      <c r="W27" s="86"/>
      <c r="X27" s="744" t="s">
        <v>491</v>
      </c>
      <c r="Y27" s="92"/>
      <c r="Z27" s="93"/>
      <c r="AA27" s="92"/>
      <c r="AB27" s="92"/>
      <c r="AC27" s="92"/>
      <c r="AD27" s="92"/>
      <c r="AE27" s="92"/>
    </row>
    <row r="28" spans="1:31" ht="15" customHeight="1" x14ac:dyDescent="0.35">
      <c r="A28" s="138" t="s">
        <v>552</v>
      </c>
      <c r="B28" s="116">
        <v>1140</v>
      </c>
      <c r="C28" s="95"/>
      <c r="D28" s="96"/>
      <c r="E28" s="96"/>
      <c r="F28" s="96"/>
      <c r="G28" s="96"/>
      <c r="H28" s="96"/>
      <c r="I28" s="96"/>
      <c r="J28" s="96"/>
      <c r="K28" s="96"/>
      <c r="L28" s="96"/>
      <c r="M28" s="96"/>
      <c r="N28" s="96"/>
      <c r="O28" s="96"/>
      <c r="P28" s="96"/>
      <c r="Q28" s="96"/>
      <c r="R28" s="139"/>
      <c r="S28" s="96"/>
      <c r="T28" s="140">
        <f t="shared" si="2"/>
        <v>0</v>
      </c>
      <c r="U28" s="113"/>
      <c r="V28" s="96"/>
      <c r="W28" s="86"/>
      <c r="X28" s="738"/>
      <c r="Y28" s="92"/>
      <c r="Z28" s="93"/>
      <c r="AA28" s="92"/>
      <c r="AB28" s="92"/>
      <c r="AC28" s="92"/>
      <c r="AD28" s="92"/>
      <c r="AE28" s="92"/>
    </row>
    <row r="29" spans="1:31" ht="31" x14ac:dyDescent="0.25">
      <c r="A29" s="125" t="s">
        <v>553</v>
      </c>
      <c r="B29" s="153">
        <v>1110</v>
      </c>
      <c r="C29" s="127" t="s">
        <v>527</v>
      </c>
      <c r="D29" s="128"/>
      <c r="E29" s="128"/>
      <c r="F29" s="128"/>
      <c r="G29" s="128"/>
      <c r="H29" s="128"/>
      <c r="I29" s="128"/>
      <c r="J29" s="128"/>
      <c r="K29" s="128"/>
      <c r="L29" s="128"/>
      <c r="M29" s="128"/>
      <c r="N29" s="128"/>
      <c r="O29" s="128"/>
      <c r="P29" s="128"/>
      <c r="Q29" s="128"/>
      <c r="R29" s="129"/>
      <c r="S29" s="128"/>
      <c r="T29" s="130">
        <f t="shared" si="2"/>
        <v>0</v>
      </c>
      <c r="U29" s="131"/>
      <c r="V29" s="128"/>
      <c r="W29" s="154"/>
      <c r="X29" s="738"/>
      <c r="Y29" s="132"/>
      <c r="Z29" s="155"/>
      <c r="AA29" s="132"/>
      <c r="AB29" s="132"/>
      <c r="AC29" s="132"/>
      <c r="AD29" s="132"/>
      <c r="AE29" s="132"/>
    </row>
    <row r="30" spans="1:31" ht="15" customHeight="1" x14ac:dyDescent="0.35">
      <c r="A30" s="138" t="s">
        <v>554</v>
      </c>
      <c r="B30" s="116">
        <v>1140</v>
      </c>
      <c r="C30" s="95"/>
      <c r="D30" s="96"/>
      <c r="E30" s="96"/>
      <c r="F30" s="96"/>
      <c r="G30" s="96"/>
      <c r="H30" s="96"/>
      <c r="I30" s="96"/>
      <c r="J30" s="96"/>
      <c r="K30" s="96"/>
      <c r="L30" s="96"/>
      <c r="M30" s="96"/>
      <c r="N30" s="96"/>
      <c r="O30" s="96"/>
      <c r="P30" s="96"/>
      <c r="Q30" s="96"/>
      <c r="R30" s="139"/>
      <c r="S30" s="96"/>
      <c r="T30" s="140">
        <f t="shared" si="2"/>
        <v>0</v>
      </c>
      <c r="U30" s="113"/>
      <c r="V30" s="96"/>
      <c r="W30" s="86"/>
      <c r="X30" s="738"/>
      <c r="Y30" s="92"/>
      <c r="Z30" s="93"/>
      <c r="AA30" s="92"/>
      <c r="AB30" s="92"/>
      <c r="AC30" s="92"/>
      <c r="AD30" s="92"/>
      <c r="AE30" s="92"/>
    </row>
    <row r="31" spans="1:31" ht="15" customHeight="1" x14ac:dyDescent="0.35">
      <c r="A31" s="737" t="s">
        <v>555</v>
      </c>
      <c r="B31" s="738"/>
      <c r="C31" s="90"/>
      <c r="D31" s="96"/>
      <c r="E31" s="96"/>
      <c r="F31" s="96"/>
      <c r="G31" s="96"/>
      <c r="H31" s="96"/>
      <c r="I31" s="96"/>
      <c r="J31" s="96"/>
      <c r="K31" s="96"/>
      <c r="L31" s="96"/>
      <c r="M31" s="96"/>
      <c r="N31" s="96"/>
      <c r="O31" s="96"/>
      <c r="P31" s="96"/>
      <c r="Q31" s="96"/>
      <c r="R31" s="139"/>
      <c r="S31" s="96"/>
      <c r="T31" s="96"/>
      <c r="U31" s="113"/>
      <c r="V31" s="96"/>
      <c r="W31" s="86"/>
      <c r="X31" s="738"/>
      <c r="Y31" s="92"/>
      <c r="Z31" s="93"/>
      <c r="AA31" s="92"/>
      <c r="AB31" s="92"/>
      <c r="AC31" s="92"/>
      <c r="AD31" s="92"/>
      <c r="AE31" s="92"/>
    </row>
    <row r="32" spans="1:31" ht="30" customHeight="1" x14ac:dyDescent="0.35">
      <c r="A32" s="156" t="s">
        <v>556</v>
      </c>
      <c r="B32" s="157" t="s">
        <v>583</v>
      </c>
      <c r="C32" s="95"/>
      <c r="D32" s="127"/>
      <c r="E32" s="127"/>
      <c r="F32" s="127"/>
      <c r="G32" s="127"/>
      <c r="H32" s="127"/>
      <c r="I32" s="127"/>
      <c r="J32" s="127"/>
      <c r="K32" s="127"/>
      <c r="L32" s="127"/>
      <c r="M32" s="127"/>
      <c r="N32" s="127"/>
      <c r="O32" s="127"/>
      <c r="P32" s="127"/>
      <c r="Q32" s="127"/>
      <c r="R32" s="158"/>
      <c r="S32" s="127"/>
      <c r="T32" s="159">
        <f>SUM(C32:S32)</f>
        <v>0</v>
      </c>
      <c r="U32" s="160">
        <v>-100</v>
      </c>
      <c r="V32" s="159">
        <f>+U32-T32</f>
        <v>-100</v>
      </c>
      <c r="W32" s="157"/>
      <c r="X32" s="738"/>
      <c r="Y32" s="127"/>
      <c r="Z32" s="161"/>
      <c r="AA32" s="127"/>
      <c r="AB32" s="127"/>
      <c r="AC32" s="127"/>
      <c r="AD32" s="127"/>
      <c r="AE32" s="127"/>
    </row>
    <row r="33" spans="2:24" ht="12" customHeight="1" x14ac:dyDescent="0.35">
      <c r="B33" s="86"/>
      <c r="C33" s="96"/>
      <c r="D33" s="96"/>
      <c r="E33" s="96"/>
      <c r="F33" s="96"/>
      <c r="G33" s="96"/>
      <c r="H33" s="96"/>
      <c r="I33" s="96"/>
      <c r="J33" s="96"/>
      <c r="K33" s="96"/>
      <c r="L33" s="96"/>
      <c r="M33" s="96"/>
      <c r="N33" s="96"/>
      <c r="O33" s="96"/>
      <c r="P33" s="96"/>
      <c r="Q33" s="96"/>
      <c r="R33" s="96"/>
      <c r="S33" s="96"/>
      <c r="T33" s="96"/>
      <c r="U33" s="113"/>
      <c r="V33" s="96"/>
      <c r="W33" s="86"/>
      <c r="X33" s="738"/>
    </row>
    <row r="34" spans="2:24" ht="15.5" x14ac:dyDescent="0.35">
      <c r="B34" s="104" t="s">
        <v>558</v>
      </c>
      <c r="C34" s="142">
        <f t="shared" ref="C34:V34" si="3">SUM(C23:C33)</f>
        <v>0</v>
      </c>
      <c r="D34" s="142">
        <f t="shared" si="3"/>
        <v>0</v>
      </c>
      <c r="E34" s="142">
        <f t="shared" si="3"/>
        <v>0</v>
      </c>
      <c r="F34" s="142">
        <f t="shared" si="3"/>
        <v>0</v>
      </c>
      <c r="G34" s="142">
        <f t="shared" si="3"/>
        <v>0</v>
      </c>
      <c r="H34" s="142">
        <f t="shared" si="3"/>
        <v>0</v>
      </c>
      <c r="I34" s="142">
        <f t="shared" si="3"/>
        <v>0</v>
      </c>
      <c r="J34" s="142">
        <f t="shared" si="3"/>
        <v>0</v>
      </c>
      <c r="K34" s="142">
        <f t="shared" si="3"/>
        <v>0</v>
      </c>
      <c r="L34" s="142">
        <f t="shared" si="3"/>
        <v>0</v>
      </c>
      <c r="M34" s="142">
        <f t="shared" si="3"/>
        <v>0</v>
      </c>
      <c r="N34" s="142">
        <f t="shared" si="3"/>
        <v>0</v>
      </c>
      <c r="O34" s="142">
        <f t="shared" si="3"/>
        <v>0</v>
      </c>
      <c r="P34" s="142">
        <f t="shared" si="3"/>
        <v>0</v>
      </c>
      <c r="Q34" s="142">
        <f t="shared" si="3"/>
        <v>0</v>
      </c>
      <c r="R34" s="142">
        <f t="shared" si="3"/>
        <v>0</v>
      </c>
      <c r="S34" s="142">
        <f t="shared" si="3"/>
        <v>0</v>
      </c>
      <c r="T34" s="142">
        <f t="shared" si="3"/>
        <v>0</v>
      </c>
      <c r="U34" s="143">
        <f t="shared" si="3"/>
        <v>-100</v>
      </c>
      <c r="V34" s="142">
        <f t="shared" si="3"/>
        <v>-100</v>
      </c>
      <c r="W34" s="85"/>
      <c r="X34" s="738"/>
    </row>
    <row r="35" spans="2:24" ht="12" customHeight="1" x14ac:dyDescent="0.35">
      <c r="B35" s="86"/>
      <c r="C35" s="96"/>
      <c r="D35" s="96"/>
      <c r="E35" s="96"/>
      <c r="F35" s="96"/>
      <c r="G35" s="96"/>
      <c r="H35" s="96"/>
      <c r="I35" s="96"/>
      <c r="J35" s="96"/>
      <c r="K35" s="96"/>
      <c r="L35" s="96"/>
      <c r="M35" s="96"/>
      <c r="N35" s="96"/>
      <c r="O35" s="96"/>
      <c r="P35" s="96"/>
      <c r="Q35" s="96"/>
      <c r="R35" s="96"/>
      <c r="S35" s="96"/>
      <c r="T35" s="96"/>
      <c r="U35" s="113"/>
      <c r="V35" s="96"/>
      <c r="W35" s="86"/>
      <c r="X35" s="738"/>
    </row>
    <row r="36" spans="2:24" ht="15.5" x14ac:dyDescent="0.35">
      <c r="B36" s="162" t="s">
        <v>559</v>
      </c>
      <c r="C36" s="142">
        <f t="shared" ref="C36:U36" si="4">C21+C34</f>
        <v>0</v>
      </c>
      <c r="D36" s="142">
        <f t="shared" si="4"/>
        <v>0</v>
      </c>
      <c r="E36" s="142">
        <f t="shared" si="4"/>
        <v>0</v>
      </c>
      <c r="F36" s="142">
        <f t="shared" si="4"/>
        <v>0</v>
      </c>
      <c r="G36" s="142">
        <f t="shared" si="4"/>
        <v>0</v>
      </c>
      <c r="H36" s="142">
        <f t="shared" si="4"/>
        <v>0</v>
      </c>
      <c r="I36" s="142">
        <f t="shared" si="4"/>
        <v>0</v>
      </c>
      <c r="J36" s="142">
        <f t="shared" si="4"/>
        <v>0</v>
      </c>
      <c r="K36" s="142">
        <f t="shared" si="4"/>
        <v>0</v>
      </c>
      <c r="L36" s="142">
        <f t="shared" si="4"/>
        <v>0</v>
      </c>
      <c r="M36" s="142">
        <f t="shared" si="4"/>
        <v>0</v>
      </c>
      <c r="N36" s="142">
        <f t="shared" si="4"/>
        <v>0</v>
      </c>
      <c r="O36" s="142">
        <f t="shared" si="4"/>
        <v>0</v>
      </c>
      <c r="P36" s="142">
        <f t="shared" si="4"/>
        <v>0</v>
      </c>
      <c r="Q36" s="142">
        <f t="shared" si="4"/>
        <v>0</v>
      </c>
      <c r="R36" s="142">
        <f t="shared" si="4"/>
        <v>0</v>
      </c>
      <c r="S36" s="142">
        <f t="shared" si="4"/>
        <v>0</v>
      </c>
      <c r="T36" s="142">
        <f t="shared" si="4"/>
        <v>0</v>
      </c>
      <c r="U36" s="143">
        <f t="shared" si="4"/>
        <v>-100</v>
      </c>
      <c r="V36" s="142">
        <f>U36-T36</f>
        <v>-100</v>
      </c>
      <c r="W36" s="85"/>
      <c r="X36" s="738"/>
    </row>
    <row r="37" spans="2:24" ht="12" customHeight="1" x14ac:dyDescent="0.35">
      <c r="B37" s="86"/>
      <c r="C37" s="96"/>
      <c r="D37" s="96"/>
      <c r="E37" s="96"/>
      <c r="F37" s="96"/>
      <c r="G37" s="96"/>
      <c r="H37" s="96"/>
      <c r="I37" s="96"/>
      <c r="J37" s="96"/>
      <c r="K37" s="96"/>
      <c r="L37" s="96"/>
      <c r="M37" s="96"/>
      <c r="N37" s="96"/>
      <c r="O37" s="96"/>
      <c r="P37" s="96"/>
      <c r="Q37" s="96"/>
      <c r="R37" s="96"/>
      <c r="S37" s="96"/>
      <c r="T37" s="116"/>
      <c r="U37" s="113"/>
      <c r="V37" s="96"/>
      <c r="W37" s="86"/>
      <c r="X37" s="738"/>
    </row>
  </sheetData>
  <mergeCells count="7">
    <mergeCell ref="A31:B31"/>
    <mergeCell ref="X1:X10"/>
    <mergeCell ref="C5:H5"/>
    <mergeCell ref="I5:R5"/>
    <mergeCell ref="Y7:AE7"/>
    <mergeCell ref="X11:X23"/>
    <mergeCell ref="X27:X37"/>
  </mergeCells>
  <pageMargins left="0.24" right="0.32" top="0.75" bottom="0.75" header="0" footer="0"/>
  <pageSetup orientation="landscape"/>
  <headerFooter>
    <oddFooter>&amp;L&amp;D &amp;T&amp;R&amp;F</oddFooter>
  </headerFooter>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D88CE-1159-463E-8259-4790ACC8A2FE}">
  <dimension ref="A1:AB182"/>
  <sheetViews>
    <sheetView workbookViewId="0">
      <pane xSplit="1" ySplit="2" topLeftCell="B36" activePane="bottomRight" state="frozen"/>
      <selection pane="topRight" activeCell="B1" sqref="B1"/>
      <selection pane="bottomLeft" activeCell="A3" sqref="A3"/>
      <selection pane="bottomRight" activeCell="T42" sqref="T42"/>
    </sheetView>
  </sheetViews>
  <sheetFormatPr defaultRowHeight="12.5" x14ac:dyDescent="0.25"/>
  <cols>
    <col min="1" max="1" width="6.08203125" style="206" bestFit="1" customWidth="1"/>
    <col min="2" max="2" width="14.33203125" style="206" bestFit="1" customWidth="1"/>
    <col min="3" max="3" width="21.75" style="206" bestFit="1" customWidth="1"/>
    <col min="4" max="4" width="16.25" style="341" bestFit="1" customWidth="1"/>
    <col min="5" max="5" width="15" style="341" bestFit="1" customWidth="1"/>
    <col min="6" max="6" width="16.4140625" style="341" bestFit="1" customWidth="1"/>
    <col min="7" max="7" width="13.75" style="341" bestFit="1" customWidth="1"/>
    <col min="8" max="8" width="11.33203125" style="204" bestFit="1" customWidth="1"/>
    <col min="9" max="9" width="10.33203125" style="205" customWidth="1"/>
    <col min="10" max="10" width="9.75" style="207" bestFit="1" customWidth="1"/>
    <col min="11" max="11" width="8.75" style="206" bestFit="1" customWidth="1"/>
    <col min="12" max="12" width="9.08203125" style="206" customWidth="1"/>
    <col min="13" max="13" width="11.4140625" style="206" bestFit="1" customWidth="1"/>
    <col min="14" max="14" width="10.4140625" style="206" bestFit="1" customWidth="1"/>
    <col min="15" max="15" width="11.4140625" style="370" bestFit="1" customWidth="1"/>
    <col min="16" max="16" width="12.4140625" style="206" bestFit="1" customWidth="1"/>
    <col min="17" max="17" width="9.08203125" style="206" bestFit="1" customWidth="1"/>
    <col min="18" max="18" width="11.33203125" style="205" customWidth="1"/>
    <col min="19" max="19" width="11.33203125" style="206" customWidth="1"/>
    <col min="20" max="20" width="10.08203125" style="206" customWidth="1"/>
    <col min="21" max="21" width="11.25" style="206" customWidth="1"/>
    <col min="22" max="22" width="9.25" style="209" customWidth="1"/>
    <col min="23" max="23" width="10.4140625" style="205" bestFit="1" customWidth="1"/>
    <col min="24" max="24" width="12.4140625" style="341" bestFit="1" customWidth="1"/>
    <col min="25" max="25" width="15.4140625" style="341" bestFit="1" customWidth="1"/>
    <col min="26" max="26" width="16.4140625" style="341" bestFit="1" customWidth="1"/>
    <col min="27" max="251" width="8.75" style="205"/>
    <col min="252" max="252" width="6.08203125" style="205" bestFit="1" customWidth="1"/>
    <col min="253" max="253" width="14.33203125" style="205" bestFit="1" customWidth="1"/>
    <col min="254" max="254" width="21.75" style="205" bestFit="1" customWidth="1"/>
    <col min="255" max="255" width="0" style="205" hidden="1" customWidth="1"/>
    <col min="256" max="256" width="16.4140625" style="205" bestFit="1" customWidth="1"/>
    <col min="257" max="257" width="14" style="205" bestFit="1" customWidth="1"/>
    <col min="258" max="258" width="15.4140625" style="205" bestFit="1" customWidth="1"/>
    <col min="259" max="259" width="9.75" style="205" bestFit="1" customWidth="1"/>
    <col min="260" max="260" width="8.75" style="205" bestFit="1" customWidth="1"/>
    <col min="261" max="261" width="11.4140625" style="205" bestFit="1" customWidth="1"/>
    <col min="262" max="262" width="10.4140625" style="205" bestFit="1" customWidth="1"/>
    <col min="263" max="263" width="11.4140625" style="205" bestFit="1" customWidth="1"/>
    <col min="264" max="264" width="12.4140625" style="205" bestFit="1" customWidth="1"/>
    <col min="265" max="265" width="9.08203125" style="205" bestFit="1" customWidth="1"/>
    <col min="266" max="266" width="12.4140625" style="205" bestFit="1" customWidth="1"/>
    <col min="267" max="267" width="16.4140625" style="205" bestFit="1" customWidth="1"/>
    <col min="268" max="268" width="13.75" style="205" bestFit="1" customWidth="1"/>
    <col min="269" max="269" width="8.58203125" style="205" bestFit="1" customWidth="1"/>
    <col min="270" max="270" width="6.58203125" style="205" bestFit="1" customWidth="1"/>
    <col min="271" max="271" width="9.08203125" style="205" customWidth="1"/>
    <col min="272" max="272" width="6.08203125" style="205" bestFit="1" customWidth="1"/>
    <col min="273" max="273" width="9.33203125" style="205" bestFit="1" customWidth="1"/>
    <col min="274" max="274" width="10.4140625" style="205" bestFit="1" customWidth="1"/>
    <col min="275" max="507" width="8.75" style="205"/>
    <col min="508" max="508" width="6.08203125" style="205" bestFit="1" customWidth="1"/>
    <col min="509" max="509" width="14.33203125" style="205" bestFit="1" customWidth="1"/>
    <col min="510" max="510" width="21.75" style="205" bestFit="1" customWidth="1"/>
    <col min="511" max="511" width="0" style="205" hidden="1" customWidth="1"/>
    <col min="512" max="512" width="16.4140625" style="205" bestFit="1" customWidth="1"/>
    <col min="513" max="513" width="14" style="205" bestFit="1" customWidth="1"/>
    <col min="514" max="514" width="15.4140625" style="205" bestFit="1" customWidth="1"/>
    <col min="515" max="515" width="9.75" style="205" bestFit="1" customWidth="1"/>
    <col min="516" max="516" width="8.75" style="205" bestFit="1" customWidth="1"/>
    <col min="517" max="517" width="11.4140625" style="205" bestFit="1" customWidth="1"/>
    <col min="518" max="518" width="10.4140625" style="205" bestFit="1" customWidth="1"/>
    <col min="519" max="519" width="11.4140625" style="205" bestFit="1" customWidth="1"/>
    <col min="520" max="520" width="12.4140625" style="205" bestFit="1" customWidth="1"/>
    <col min="521" max="521" width="9.08203125" style="205" bestFit="1" customWidth="1"/>
    <col min="522" max="522" width="12.4140625" style="205" bestFit="1" customWidth="1"/>
    <col min="523" max="523" width="16.4140625" style="205" bestFit="1" customWidth="1"/>
    <col min="524" max="524" width="13.75" style="205" bestFit="1" customWidth="1"/>
    <col min="525" max="525" width="8.58203125" style="205" bestFit="1" customWidth="1"/>
    <col min="526" max="526" width="6.58203125" style="205" bestFit="1" customWidth="1"/>
    <col min="527" max="527" width="9.08203125" style="205" customWidth="1"/>
    <col min="528" max="528" width="6.08203125" style="205" bestFit="1" customWidth="1"/>
    <col min="529" max="529" width="9.33203125" style="205" bestFit="1" customWidth="1"/>
    <col min="530" max="530" width="10.4140625" style="205" bestFit="1" customWidth="1"/>
    <col min="531" max="763" width="8.75" style="205"/>
    <col min="764" max="764" width="6.08203125" style="205" bestFit="1" customWidth="1"/>
    <col min="765" max="765" width="14.33203125" style="205" bestFit="1" customWidth="1"/>
    <col min="766" max="766" width="21.75" style="205" bestFit="1" customWidth="1"/>
    <col min="767" max="767" width="0" style="205" hidden="1" customWidth="1"/>
    <col min="768" max="768" width="16.4140625" style="205" bestFit="1" customWidth="1"/>
    <col min="769" max="769" width="14" style="205" bestFit="1" customWidth="1"/>
    <col min="770" max="770" width="15.4140625" style="205" bestFit="1" customWidth="1"/>
    <col min="771" max="771" width="9.75" style="205" bestFit="1" customWidth="1"/>
    <col min="772" max="772" width="8.75" style="205" bestFit="1" customWidth="1"/>
    <col min="773" max="773" width="11.4140625" style="205" bestFit="1" customWidth="1"/>
    <col min="774" max="774" width="10.4140625" style="205" bestFit="1" customWidth="1"/>
    <col min="775" max="775" width="11.4140625" style="205" bestFit="1" customWidth="1"/>
    <col min="776" max="776" width="12.4140625" style="205" bestFit="1" customWidth="1"/>
    <col min="777" max="777" width="9.08203125" style="205" bestFit="1" customWidth="1"/>
    <col min="778" max="778" width="12.4140625" style="205" bestFit="1" customWidth="1"/>
    <col min="779" max="779" width="16.4140625" style="205" bestFit="1" customWidth="1"/>
    <col min="780" max="780" width="13.75" style="205" bestFit="1" customWidth="1"/>
    <col min="781" max="781" width="8.58203125" style="205" bestFit="1" customWidth="1"/>
    <col min="782" max="782" width="6.58203125" style="205" bestFit="1" customWidth="1"/>
    <col min="783" max="783" width="9.08203125" style="205" customWidth="1"/>
    <col min="784" max="784" width="6.08203125" style="205" bestFit="1" customWidth="1"/>
    <col min="785" max="785" width="9.33203125" style="205" bestFit="1" customWidth="1"/>
    <col min="786" max="786" width="10.4140625" style="205" bestFit="1" customWidth="1"/>
    <col min="787" max="1019" width="8.75" style="205"/>
    <col min="1020" max="1020" width="6.08203125" style="205" bestFit="1" customWidth="1"/>
    <col min="1021" max="1021" width="14.33203125" style="205" bestFit="1" customWidth="1"/>
    <col min="1022" max="1022" width="21.75" style="205" bestFit="1" customWidth="1"/>
    <col min="1023" max="1023" width="0" style="205" hidden="1" customWidth="1"/>
    <col min="1024" max="1024" width="16.4140625" style="205" bestFit="1" customWidth="1"/>
    <col min="1025" max="1025" width="14" style="205" bestFit="1" customWidth="1"/>
    <col min="1026" max="1026" width="15.4140625" style="205" bestFit="1" customWidth="1"/>
    <col min="1027" max="1027" width="9.75" style="205" bestFit="1" customWidth="1"/>
    <col min="1028" max="1028" width="8.75" style="205" bestFit="1" customWidth="1"/>
    <col min="1029" max="1029" width="11.4140625" style="205" bestFit="1" customWidth="1"/>
    <col min="1030" max="1030" width="10.4140625" style="205" bestFit="1" customWidth="1"/>
    <col min="1031" max="1031" width="11.4140625" style="205" bestFit="1" customWidth="1"/>
    <col min="1032" max="1032" width="12.4140625" style="205" bestFit="1" customWidth="1"/>
    <col min="1033" max="1033" width="9.08203125" style="205" bestFit="1" customWidth="1"/>
    <col min="1034" max="1034" width="12.4140625" style="205" bestFit="1" customWidth="1"/>
    <col min="1035" max="1035" width="16.4140625" style="205" bestFit="1" customWidth="1"/>
    <col min="1036" max="1036" width="13.75" style="205" bestFit="1" customWidth="1"/>
    <col min="1037" max="1037" width="8.58203125" style="205" bestFit="1" customWidth="1"/>
    <col min="1038" max="1038" width="6.58203125" style="205" bestFit="1" customWidth="1"/>
    <col min="1039" max="1039" width="9.08203125" style="205" customWidth="1"/>
    <col min="1040" max="1040" width="6.08203125" style="205" bestFit="1" customWidth="1"/>
    <col min="1041" max="1041" width="9.33203125" style="205" bestFit="1" customWidth="1"/>
    <col min="1042" max="1042" width="10.4140625" style="205" bestFit="1" customWidth="1"/>
    <col min="1043" max="1275" width="8.75" style="205"/>
    <col min="1276" max="1276" width="6.08203125" style="205" bestFit="1" customWidth="1"/>
    <col min="1277" max="1277" width="14.33203125" style="205" bestFit="1" customWidth="1"/>
    <col min="1278" max="1278" width="21.75" style="205" bestFit="1" customWidth="1"/>
    <col min="1279" max="1279" width="0" style="205" hidden="1" customWidth="1"/>
    <col min="1280" max="1280" width="16.4140625" style="205" bestFit="1" customWidth="1"/>
    <col min="1281" max="1281" width="14" style="205" bestFit="1" customWidth="1"/>
    <col min="1282" max="1282" width="15.4140625" style="205" bestFit="1" customWidth="1"/>
    <col min="1283" max="1283" width="9.75" style="205" bestFit="1" customWidth="1"/>
    <col min="1284" max="1284" width="8.75" style="205" bestFit="1" customWidth="1"/>
    <col min="1285" max="1285" width="11.4140625" style="205" bestFit="1" customWidth="1"/>
    <col min="1286" max="1286" width="10.4140625" style="205" bestFit="1" customWidth="1"/>
    <col min="1287" max="1287" width="11.4140625" style="205" bestFit="1" customWidth="1"/>
    <col min="1288" max="1288" width="12.4140625" style="205" bestFit="1" customWidth="1"/>
    <col min="1289" max="1289" width="9.08203125" style="205" bestFit="1" customWidth="1"/>
    <col min="1290" max="1290" width="12.4140625" style="205" bestFit="1" customWidth="1"/>
    <col min="1291" max="1291" width="16.4140625" style="205" bestFit="1" customWidth="1"/>
    <col min="1292" max="1292" width="13.75" style="205" bestFit="1" customWidth="1"/>
    <col min="1293" max="1293" width="8.58203125" style="205" bestFit="1" customWidth="1"/>
    <col min="1294" max="1294" width="6.58203125" style="205" bestFit="1" customWidth="1"/>
    <col min="1295" max="1295" width="9.08203125" style="205" customWidth="1"/>
    <col min="1296" max="1296" width="6.08203125" style="205" bestFit="1" customWidth="1"/>
    <col min="1297" max="1297" width="9.33203125" style="205" bestFit="1" customWidth="1"/>
    <col min="1298" max="1298" width="10.4140625" style="205" bestFit="1" customWidth="1"/>
    <col min="1299" max="1531" width="8.75" style="205"/>
    <col min="1532" max="1532" width="6.08203125" style="205" bestFit="1" customWidth="1"/>
    <col min="1533" max="1533" width="14.33203125" style="205" bestFit="1" customWidth="1"/>
    <col min="1534" max="1534" width="21.75" style="205" bestFit="1" customWidth="1"/>
    <col min="1535" max="1535" width="0" style="205" hidden="1" customWidth="1"/>
    <col min="1536" max="1536" width="16.4140625" style="205" bestFit="1" customWidth="1"/>
    <col min="1537" max="1537" width="14" style="205" bestFit="1" customWidth="1"/>
    <col min="1538" max="1538" width="15.4140625" style="205" bestFit="1" customWidth="1"/>
    <col min="1539" max="1539" width="9.75" style="205" bestFit="1" customWidth="1"/>
    <col min="1540" max="1540" width="8.75" style="205" bestFit="1" customWidth="1"/>
    <col min="1541" max="1541" width="11.4140625" style="205" bestFit="1" customWidth="1"/>
    <col min="1542" max="1542" width="10.4140625" style="205" bestFit="1" customWidth="1"/>
    <col min="1543" max="1543" width="11.4140625" style="205" bestFit="1" customWidth="1"/>
    <col min="1544" max="1544" width="12.4140625" style="205" bestFit="1" customWidth="1"/>
    <col min="1545" max="1545" width="9.08203125" style="205" bestFit="1" customWidth="1"/>
    <col min="1546" max="1546" width="12.4140625" style="205" bestFit="1" customWidth="1"/>
    <col min="1547" max="1547" width="16.4140625" style="205" bestFit="1" customWidth="1"/>
    <col min="1548" max="1548" width="13.75" style="205" bestFit="1" customWidth="1"/>
    <col min="1549" max="1549" width="8.58203125" style="205" bestFit="1" customWidth="1"/>
    <col min="1550" max="1550" width="6.58203125" style="205" bestFit="1" customWidth="1"/>
    <col min="1551" max="1551" width="9.08203125" style="205" customWidth="1"/>
    <col min="1552" max="1552" width="6.08203125" style="205" bestFit="1" customWidth="1"/>
    <col min="1553" max="1553" width="9.33203125" style="205" bestFit="1" customWidth="1"/>
    <col min="1554" max="1554" width="10.4140625" style="205" bestFit="1" customWidth="1"/>
    <col min="1555" max="1787" width="8.75" style="205"/>
    <col min="1788" max="1788" width="6.08203125" style="205" bestFit="1" customWidth="1"/>
    <col min="1789" max="1789" width="14.33203125" style="205" bestFit="1" customWidth="1"/>
    <col min="1790" max="1790" width="21.75" style="205" bestFit="1" customWidth="1"/>
    <col min="1791" max="1791" width="0" style="205" hidden="1" customWidth="1"/>
    <col min="1792" max="1792" width="16.4140625" style="205" bestFit="1" customWidth="1"/>
    <col min="1793" max="1793" width="14" style="205" bestFit="1" customWidth="1"/>
    <col min="1794" max="1794" width="15.4140625" style="205" bestFit="1" customWidth="1"/>
    <col min="1795" max="1795" width="9.75" style="205" bestFit="1" customWidth="1"/>
    <col min="1796" max="1796" width="8.75" style="205" bestFit="1" customWidth="1"/>
    <col min="1797" max="1797" width="11.4140625" style="205" bestFit="1" customWidth="1"/>
    <col min="1798" max="1798" width="10.4140625" style="205" bestFit="1" customWidth="1"/>
    <col min="1799" max="1799" width="11.4140625" style="205" bestFit="1" customWidth="1"/>
    <col min="1800" max="1800" width="12.4140625" style="205" bestFit="1" customWidth="1"/>
    <col min="1801" max="1801" width="9.08203125" style="205" bestFit="1" customWidth="1"/>
    <col min="1802" max="1802" width="12.4140625" style="205" bestFit="1" customWidth="1"/>
    <col min="1803" max="1803" width="16.4140625" style="205" bestFit="1" customWidth="1"/>
    <col min="1804" max="1804" width="13.75" style="205" bestFit="1" customWidth="1"/>
    <col min="1805" max="1805" width="8.58203125" style="205" bestFit="1" customWidth="1"/>
    <col min="1806" max="1806" width="6.58203125" style="205" bestFit="1" customWidth="1"/>
    <col min="1807" max="1807" width="9.08203125" style="205" customWidth="1"/>
    <col min="1808" max="1808" width="6.08203125" style="205" bestFit="1" customWidth="1"/>
    <col min="1809" max="1809" width="9.33203125" style="205" bestFit="1" customWidth="1"/>
    <col min="1810" max="1810" width="10.4140625" style="205" bestFit="1" customWidth="1"/>
    <col min="1811" max="2043" width="8.75" style="205"/>
    <col min="2044" max="2044" width="6.08203125" style="205" bestFit="1" customWidth="1"/>
    <col min="2045" max="2045" width="14.33203125" style="205" bestFit="1" customWidth="1"/>
    <col min="2046" max="2046" width="21.75" style="205" bestFit="1" customWidth="1"/>
    <col min="2047" max="2047" width="0" style="205" hidden="1" customWidth="1"/>
    <col min="2048" max="2048" width="16.4140625" style="205" bestFit="1" customWidth="1"/>
    <col min="2049" max="2049" width="14" style="205" bestFit="1" customWidth="1"/>
    <col min="2050" max="2050" width="15.4140625" style="205" bestFit="1" customWidth="1"/>
    <col min="2051" max="2051" width="9.75" style="205" bestFit="1" customWidth="1"/>
    <col min="2052" max="2052" width="8.75" style="205" bestFit="1" customWidth="1"/>
    <col min="2053" max="2053" width="11.4140625" style="205" bestFit="1" customWidth="1"/>
    <col min="2054" max="2054" width="10.4140625" style="205" bestFit="1" customWidth="1"/>
    <col min="2055" max="2055" width="11.4140625" style="205" bestFit="1" customWidth="1"/>
    <col min="2056" max="2056" width="12.4140625" style="205" bestFit="1" customWidth="1"/>
    <col min="2057" max="2057" width="9.08203125" style="205" bestFit="1" customWidth="1"/>
    <col min="2058" max="2058" width="12.4140625" style="205" bestFit="1" customWidth="1"/>
    <col min="2059" max="2059" width="16.4140625" style="205" bestFit="1" customWidth="1"/>
    <col min="2060" max="2060" width="13.75" style="205" bestFit="1" customWidth="1"/>
    <col min="2061" max="2061" width="8.58203125" style="205" bestFit="1" customWidth="1"/>
    <col min="2062" max="2062" width="6.58203125" style="205" bestFit="1" customWidth="1"/>
    <col min="2063" max="2063" width="9.08203125" style="205" customWidth="1"/>
    <col min="2064" max="2064" width="6.08203125" style="205" bestFit="1" customWidth="1"/>
    <col min="2065" max="2065" width="9.33203125" style="205" bestFit="1" customWidth="1"/>
    <col min="2066" max="2066" width="10.4140625" style="205" bestFit="1" customWidth="1"/>
    <col min="2067" max="2299" width="8.75" style="205"/>
    <col min="2300" max="2300" width="6.08203125" style="205" bestFit="1" customWidth="1"/>
    <col min="2301" max="2301" width="14.33203125" style="205" bestFit="1" customWidth="1"/>
    <col min="2302" max="2302" width="21.75" style="205" bestFit="1" customWidth="1"/>
    <col min="2303" max="2303" width="0" style="205" hidden="1" customWidth="1"/>
    <col min="2304" max="2304" width="16.4140625" style="205" bestFit="1" customWidth="1"/>
    <col min="2305" max="2305" width="14" style="205" bestFit="1" customWidth="1"/>
    <col min="2306" max="2306" width="15.4140625" style="205" bestFit="1" customWidth="1"/>
    <col min="2307" max="2307" width="9.75" style="205" bestFit="1" customWidth="1"/>
    <col min="2308" max="2308" width="8.75" style="205" bestFit="1" customWidth="1"/>
    <col min="2309" max="2309" width="11.4140625" style="205" bestFit="1" customWidth="1"/>
    <col min="2310" max="2310" width="10.4140625" style="205" bestFit="1" customWidth="1"/>
    <col min="2311" max="2311" width="11.4140625" style="205" bestFit="1" customWidth="1"/>
    <col min="2312" max="2312" width="12.4140625" style="205" bestFit="1" customWidth="1"/>
    <col min="2313" max="2313" width="9.08203125" style="205" bestFit="1" customWidth="1"/>
    <col min="2314" max="2314" width="12.4140625" style="205" bestFit="1" customWidth="1"/>
    <col min="2315" max="2315" width="16.4140625" style="205" bestFit="1" customWidth="1"/>
    <col min="2316" max="2316" width="13.75" style="205" bestFit="1" customWidth="1"/>
    <col min="2317" max="2317" width="8.58203125" style="205" bestFit="1" customWidth="1"/>
    <col min="2318" max="2318" width="6.58203125" style="205" bestFit="1" customWidth="1"/>
    <col min="2319" max="2319" width="9.08203125" style="205" customWidth="1"/>
    <col min="2320" max="2320" width="6.08203125" style="205" bestFit="1" customWidth="1"/>
    <col min="2321" max="2321" width="9.33203125" style="205" bestFit="1" customWidth="1"/>
    <col min="2322" max="2322" width="10.4140625" style="205" bestFit="1" customWidth="1"/>
    <col min="2323" max="2555" width="8.75" style="205"/>
    <col min="2556" max="2556" width="6.08203125" style="205" bestFit="1" customWidth="1"/>
    <col min="2557" max="2557" width="14.33203125" style="205" bestFit="1" customWidth="1"/>
    <col min="2558" max="2558" width="21.75" style="205" bestFit="1" customWidth="1"/>
    <col min="2559" max="2559" width="0" style="205" hidden="1" customWidth="1"/>
    <col min="2560" max="2560" width="16.4140625" style="205" bestFit="1" customWidth="1"/>
    <col min="2561" max="2561" width="14" style="205" bestFit="1" customWidth="1"/>
    <col min="2562" max="2562" width="15.4140625" style="205" bestFit="1" customWidth="1"/>
    <col min="2563" max="2563" width="9.75" style="205" bestFit="1" customWidth="1"/>
    <col min="2564" max="2564" width="8.75" style="205" bestFit="1" customWidth="1"/>
    <col min="2565" max="2565" width="11.4140625" style="205" bestFit="1" customWidth="1"/>
    <col min="2566" max="2566" width="10.4140625" style="205" bestFit="1" customWidth="1"/>
    <col min="2567" max="2567" width="11.4140625" style="205" bestFit="1" customWidth="1"/>
    <col min="2568" max="2568" width="12.4140625" style="205" bestFit="1" customWidth="1"/>
    <col min="2569" max="2569" width="9.08203125" style="205" bestFit="1" customWidth="1"/>
    <col min="2570" max="2570" width="12.4140625" style="205" bestFit="1" customWidth="1"/>
    <col min="2571" max="2571" width="16.4140625" style="205" bestFit="1" customWidth="1"/>
    <col min="2572" max="2572" width="13.75" style="205" bestFit="1" customWidth="1"/>
    <col min="2573" max="2573" width="8.58203125" style="205" bestFit="1" customWidth="1"/>
    <col min="2574" max="2574" width="6.58203125" style="205" bestFit="1" customWidth="1"/>
    <col min="2575" max="2575" width="9.08203125" style="205" customWidth="1"/>
    <col min="2576" max="2576" width="6.08203125" style="205" bestFit="1" customWidth="1"/>
    <col min="2577" max="2577" width="9.33203125" style="205" bestFit="1" customWidth="1"/>
    <col min="2578" max="2578" width="10.4140625" style="205" bestFit="1" customWidth="1"/>
    <col min="2579" max="2811" width="8.75" style="205"/>
    <col min="2812" max="2812" width="6.08203125" style="205" bestFit="1" customWidth="1"/>
    <col min="2813" max="2813" width="14.33203125" style="205" bestFit="1" customWidth="1"/>
    <col min="2814" max="2814" width="21.75" style="205" bestFit="1" customWidth="1"/>
    <col min="2815" max="2815" width="0" style="205" hidden="1" customWidth="1"/>
    <col min="2816" max="2816" width="16.4140625" style="205" bestFit="1" customWidth="1"/>
    <col min="2817" max="2817" width="14" style="205" bestFit="1" customWidth="1"/>
    <col min="2818" max="2818" width="15.4140625" style="205" bestFit="1" customWidth="1"/>
    <col min="2819" max="2819" width="9.75" style="205" bestFit="1" customWidth="1"/>
    <col min="2820" max="2820" width="8.75" style="205" bestFit="1" customWidth="1"/>
    <col min="2821" max="2821" width="11.4140625" style="205" bestFit="1" customWidth="1"/>
    <col min="2822" max="2822" width="10.4140625" style="205" bestFit="1" customWidth="1"/>
    <col min="2823" max="2823" width="11.4140625" style="205" bestFit="1" customWidth="1"/>
    <col min="2824" max="2824" width="12.4140625" style="205" bestFit="1" customWidth="1"/>
    <col min="2825" max="2825" width="9.08203125" style="205" bestFit="1" customWidth="1"/>
    <col min="2826" max="2826" width="12.4140625" style="205" bestFit="1" customWidth="1"/>
    <col min="2827" max="2827" width="16.4140625" style="205" bestFit="1" customWidth="1"/>
    <col min="2828" max="2828" width="13.75" style="205" bestFit="1" customWidth="1"/>
    <col min="2829" max="2829" width="8.58203125" style="205" bestFit="1" customWidth="1"/>
    <col min="2830" max="2830" width="6.58203125" style="205" bestFit="1" customWidth="1"/>
    <col min="2831" max="2831" width="9.08203125" style="205" customWidth="1"/>
    <col min="2832" max="2832" width="6.08203125" style="205" bestFit="1" customWidth="1"/>
    <col min="2833" max="2833" width="9.33203125" style="205" bestFit="1" customWidth="1"/>
    <col min="2834" max="2834" width="10.4140625" style="205" bestFit="1" customWidth="1"/>
    <col min="2835" max="3067" width="8.75" style="205"/>
    <col min="3068" max="3068" width="6.08203125" style="205" bestFit="1" customWidth="1"/>
    <col min="3069" max="3069" width="14.33203125" style="205" bestFit="1" customWidth="1"/>
    <col min="3070" max="3070" width="21.75" style="205" bestFit="1" customWidth="1"/>
    <col min="3071" max="3071" width="0" style="205" hidden="1" customWidth="1"/>
    <col min="3072" max="3072" width="16.4140625" style="205" bestFit="1" customWidth="1"/>
    <col min="3073" max="3073" width="14" style="205" bestFit="1" customWidth="1"/>
    <col min="3074" max="3074" width="15.4140625" style="205" bestFit="1" customWidth="1"/>
    <col min="3075" max="3075" width="9.75" style="205" bestFit="1" customWidth="1"/>
    <col min="3076" max="3076" width="8.75" style="205" bestFit="1" customWidth="1"/>
    <col min="3077" max="3077" width="11.4140625" style="205" bestFit="1" customWidth="1"/>
    <col min="3078" max="3078" width="10.4140625" style="205" bestFit="1" customWidth="1"/>
    <col min="3079" max="3079" width="11.4140625" style="205" bestFit="1" customWidth="1"/>
    <col min="3080" max="3080" width="12.4140625" style="205" bestFit="1" customWidth="1"/>
    <col min="3081" max="3081" width="9.08203125" style="205" bestFit="1" customWidth="1"/>
    <col min="3082" max="3082" width="12.4140625" style="205" bestFit="1" customWidth="1"/>
    <col min="3083" max="3083" width="16.4140625" style="205" bestFit="1" customWidth="1"/>
    <col min="3084" max="3084" width="13.75" style="205" bestFit="1" customWidth="1"/>
    <col min="3085" max="3085" width="8.58203125" style="205" bestFit="1" customWidth="1"/>
    <col min="3086" max="3086" width="6.58203125" style="205" bestFit="1" customWidth="1"/>
    <col min="3087" max="3087" width="9.08203125" style="205" customWidth="1"/>
    <col min="3088" max="3088" width="6.08203125" style="205" bestFit="1" customWidth="1"/>
    <col min="3089" max="3089" width="9.33203125" style="205" bestFit="1" customWidth="1"/>
    <col min="3090" max="3090" width="10.4140625" style="205" bestFit="1" customWidth="1"/>
    <col min="3091" max="3323" width="8.75" style="205"/>
    <col min="3324" max="3324" width="6.08203125" style="205" bestFit="1" customWidth="1"/>
    <col min="3325" max="3325" width="14.33203125" style="205" bestFit="1" customWidth="1"/>
    <col min="3326" max="3326" width="21.75" style="205" bestFit="1" customWidth="1"/>
    <col min="3327" max="3327" width="0" style="205" hidden="1" customWidth="1"/>
    <col min="3328" max="3328" width="16.4140625" style="205" bestFit="1" customWidth="1"/>
    <col min="3329" max="3329" width="14" style="205" bestFit="1" customWidth="1"/>
    <col min="3330" max="3330" width="15.4140625" style="205" bestFit="1" customWidth="1"/>
    <col min="3331" max="3331" width="9.75" style="205" bestFit="1" customWidth="1"/>
    <col min="3332" max="3332" width="8.75" style="205" bestFit="1" customWidth="1"/>
    <col min="3333" max="3333" width="11.4140625" style="205" bestFit="1" customWidth="1"/>
    <col min="3334" max="3334" width="10.4140625" style="205" bestFit="1" customWidth="1"/>
    <col min="3335" max="3335" width="11.4140625" style="205" bestFit="1" customWidth="1"/>
    <col min="3336" max="3336" width="12.4140625" style="205" bestFit="1" customWidth="1"/>
    <col min="3337" max="3337" width="9.08203125" style="205" bestFit="1" customWidth="1"/>
    <col min="3338" max="3338" width="12.4140625" style="205" bestFit="1" customWidth="1"/>
    <col min="3339" max="3339" width="16.4140625" style="205" bestFit="1" customWidth="1"/>
    <col min="3340" max="3340" width="13.75" style="205" bestFit="1" customWidth="1"/>
    <col min="3341" max="3341" width="8.58203125" style="205" bestFit="1" customWidth="1"/>
    <col min="3342" max="3342" width="6.58203125" style="205" bestFit="1" customWidth="1"/>
    <col min="3343" max="3343" width="9.08203125" style="205" customWidth="1"/>
    <col min="3344" max="3344" width="6.08203125" style="205" bestFit="1" customWidth="1"/>
    <col min="3345" max="3345" width="9.33203125" style="205" bestFit="1" customWidth="1"/>
    <col min="3346" max="3346" width="10.4140625" style="205" bestFit="1" customWidth="1"/>
    <col min="3347" max="3579" width="8.75" style="205"/>
    <col min="3580" max="3580" width="6.08203125" style="205" bestFit="1" customWidth="1"/>
    <col min="3581" max="3581" width="14.33203125" style="205" bestFit="1" customWidth="1"/>
    <col min="3582" max="3582" width="21.75" style="205" bestFit="1" customWidth="1"/>
    <col min="3583" max="3583" width="0" style="205" hidden="1" customWidth="1"/>
    <col min="3584" max="3584" width="16.4140625" style="205" bestFit="1" customWidth="1"/>
    <col min="3585" max="3585" width="14" style="205" bestFit="1" customWidth="1"/>
    <col min="3586" max="3586" width="15.4140625" style="205" bestFit="1" customWidth="1"/>
    <col min="3587" max="3587" width="9.75" style="205" bestFit="1" customWidth="1"/>
    <col min="3588" max="3588" width="8.75" style="205" bestFit="1" customWidth="1"/>
    <col min="3589" max="3589" width="11.4140625" style="205" bestFit="1" customWidth="1"/>
    <col min="3590" max="3590" width="10.4140625" style="205" bestFit="1" customWidth="1"/>
    <col min="3591" max="3591" width="11.4140625" style="205" bestFit="1" customWidth="1"/>
    <col min="3592" max="3592" width="12.4140625" style="205" bestFit="1" customWidth="1"/>
    <col min="3593" max="3593" width="9.08203125" style="205" bestFit="1" customWidth="1"/>
    <col min="3594" max="3594" width="12.4140625" style="205" bestFit="1" customWidth="1"/>
    <col min="3595" max="3595" width="16.4140625" style="205" bestFit="1" customWidth="1"/>
    <col min="3596" max="3596" width="13.75" style="205" bestFit="1" customWidth="1"/>
    <col min="3597" max="3597" width="8.58203125" style="205" bestFit="1" customWidth="1"/>
    <col min="3598" max="3598" width="6.58203125" style="205" bestFit="1" customWidth="1"/>
    <col min="3599" max="3599" width="9.08203125" style="205" customWidth="1"/>
    <col min="3600" max="3600" width="6.08203125" style="205" bestFit="1" customWidth="1"/>
    <col min="3601" max="3601" width="9.33203125" style="205" bestFit="1" customWidth="1"/>
    <col min="3602" max="3602" width="10.4140625" style="205" bestFit="1" customWidth="1"/>
    <col min="3603" max="3835" width="8.75" style="205"/>
    <col min="3836" max="3836" width="6.08203125" style="205" bestFit="1" customWidth="1"/>
    <col min="3837" max="3837" width="14.33203125" style="205" bestFit="1" customWidth="1"/>
    <col min="3838" max="3838" width="21.75" style="205" bestFit="1" customWidth="1"/>
    <col min="3839" max="3839" width="0" style="205" hidden="1" customWidth="1"/>
    <col min="3840" max="3840" width="16.4140625" style="205" bestFit="1" customWidth="1"/>
    <col min="3841" max="3841" width="14" style="205" bestFit="1" customWidth="1"/>
    <col min="3842" max="3842" width="15.4140625" style="205" bestFit="1" customWidth="1"/>
    <col min="3843" max="3843" width="9.75" style="205" bestFit="1" customWidth="1"/>
    <col min="3844" max="3844" width="8.75" style="205" bestFit="1" customWidth="1"/>
    <col min="3845" max="3845" width="11.4140625" style="205" bestFit="1" customWidth="1"/>
    <col min="3846" max="3846" width="10.4140625" style="205" bestFit="1" customWidth="1"/>
    <col min="3847" max="3847" width="11.4140625" style="205" bestFit="1" customWidth="1"/>
    <col min="3848" max="3848" width="12.4140625" style="205" bestFit="1" customWidth="1"/>
    <col min="3849" max="3849" width="9.08203125" style="205" bestFit="1" customWidth="1"/>
    <col min="3850" max="3850" width="12.4140625" style="205" bestFit="1" customWidth="1"/>
    <col min="3851" max="3851" width="16.4140625" style="205" bestFit="1" customWidth="1"/>
    <col min="3852" max="3852" width="13.75" style="205" bestFit="1" customWidth="1"/>
    <col min="3853" max="3853" width="8.58203125" style="205" bestFit="1" customWidth="1"/>
    <col min="3854" max="3854" width="6.58203125" style="205" bestFit="1" customWidth="1"/>
    <col min="3855" max="3855" width="9.08203125" style="205" customWidth="1"/>
    <col min="3856" max="3856" width="6.08203125" style="205" bestFit="1" customWidth="1"/>
    <col min="3857" max="3857" width="9.33203125" style="205" bestFit="1" customWidth="1"/>
    <col min="3858" max="3858" width="10.4140625" style="205" bestFit="1" customWidth="1"/>
    <col min="3859" max="4091" width="8.75" style="205"/>
    <col min="4092" max="4092" width="6.08203125" style="205" bestFit="1" customWidth="1"/>
    <col min="4093" max="4093" width="14.33203125" style="205" bestFit="1" customWidth="1"/>
    <col min="4094" max="4094" width="21.75" style="205" bestFit="1" customWidth="1"/>
    <col min="4095" max="4095" width="0" style="205" hidden="1" customWidth="1"/>
    <col min="4096" max="4096" width="16.4140625" style="205" bestFit="1" customWidth="1"/>
    <col min="4097" max="4097" width="14" style="205" bestFit="1" customWidth="1"/>
    <col min="4098" max="4098" width="15.4140625" style="205" bestFit="1" customWidth="1"/>
    <col min="4099" max="4099" width="9.75" style="205" bestFit="1" customWidth="1"/>
    <col min="4100" max="4100" width="8.75" style="205" bestFit="1" customWidth="1"/>
    <col min="4101" max="4101" width="11.4140625" style="205" bestFit="1" customWidth="1"/>
    <col min="4102" max="4102" width="10.4140625" style="205" bestFit="1" customWidth="1"/>
    <col min="4103" max="4103" width="11.4140625" style="205" bestFit="1" customWidth="1"/>
    <col min="4104" max="4104" width="12.4140625" style="205" bestFit="1" customWidth="1"/>
    <col min="4105" max="4105" width="9.08203125" style="205" bestFit="1" customWidth="1"/>
    <col min="4106" max="4106" width="12.4140625" style="205" bestFit="1" customWidth="1"/>
    <col min="4107" max="4107" width="16.4140625" style="205" bestFit="1" customWidth="1"/>
    <col min="4108" max="4108" width="13.75" style="205" bestFit="1" customWidth="1"/>
    <col min="4109" max="4109" width="8.58203125" style="205" bestFit="1" customWidth="1"/>
    <col min="4110" max="4110" width="6.58203125" style="205" bestFit="1" customWidth="1"/>
    <col min="4111" max="4111" width="9.08203125" style="205" customWidth="1"/>
    <col min="4112" max="4112" width="6.08203125" style="205" bestFit="1" customWidth="1"/>
    <col min="4113" max="4113" width="9.33203125" style="205" bestFit="1" customWidth="1"/>
    <col min="4114" max="4114" width="10.4140625" style="205" bestFit="1" customWidth="1"/>
    <col min="4115" max="4347" width="8.75" style="205"/>
    <col min="4348" max="4348" width="6.08203125" style="205" bestFit="1" customWidth="1"/>
    <col min="4349" max="4349" width="14.33203125" style="205" bestFit="1" customWidth="1"/>
    <col min="4350" max="4350" width="21.75" style="205" bestFit="1" customWidth="1"/>
    <col min="4351" max="4351" width="0" style="205" hidden="1" customWidth="1"/>
    <col min="4352" max="4352" width="16.4140625" style="205" bestFit="1" customWidth="1"/>
    <col min="4353" max="4353" width="14" style="205" bestFit="1" customWidth="1"/>
    <col min="4354" max="4354" width="15.4140625" style="205" bestFit="1" customWidth="1"/>
    <col min="4355" max="4355" width="9.75" style="205" bestFit="1" customWidth="1"/>
    <col min="4356" max="4356" width="8.75" style="205" bestFit="1" customWidth="1"/>
    <col min="4357" max="4357" width="11.4140625" style="205" bestFit="1" customWidth="1"/>
    <col min="4358" max="4358" width="10.4140625" style="205" bestFit="1" customWidth="1"/>
    <col min="4359" max="4359" width="11.4140625" style="205" bestFit="1" customWidth="1"/>
    <col min="4360" max="4360" width="12.4140625" style="205" bestFit="1" customWidth="1"/>
    <col min="4361" max="4361" width="9.08203125" style="205" bestFit="1" customWidth="1"/>
    <col min="4362" max="4362" width="12.4140625" style="205" bestFit="1" customWidth="1"/>
    <col min="4363" max="4363" width="16.4140625" style="205" bestFit="1" customWidth="1"/>
    <col min="4364" max="4364" width="13.75" style="205" bestFit="1" customWidth="1"/>
    <col min="4365" max="4365" width="8.58203125" style="205" bestFit="1" customWidth="1"/>
    <col min="4366" max="4366" width="6.58203125" style="205" bestFit="1" customWidth="1"/>
    <col min="4367" max="4367" width="9.08203125" style="205" customWidth="1"/>
    <col min="4368" max="4368" width="6.08203125" style="205" bestFit="1" customWidth="1"/>
    <col min="4369" max="4369" width="9.33203125" style="205" bestFit="1" customWidth="1"/>
    <col min="4370" max="4370" width="10.4140625" style="205" bestFit="1" customWidth="1"/>
    <col min="4371" max="4603" width="8.75" style="205"/>
    <col min="4604" max="4604" width="6.08203125" style="205" bestFit="1" customWidth="1"/>
    <col min="4605" max="4605" width="14.33203125" style="205" bestFit="1" customWidth="1"/>
    <col min="4606" max="4606" width="21.75" style="205" bestFit="1" customWidth="1"/>
    <col min="4607" max="4607" width="0" style="205" hidden="1" customWidth="1"/>
    <col min="4608" max="4608" width="16.4140625" style="205" bestFit="1" customWidth="1"/>
    <col min="4609" max="4609" width="14" style="205" bestFit="1" customWidth="1"/>
    <col min="4610" max="4610" width="15.4140625" style="205" bestFit="1" customWidth="1"/>
    <col min="4611" max="4611" width="9.75" style="205" bestFit="1" customWidth="1"/>
    <col min="4612" max="4612" width="8.75" style="205" bestFit="1" customWidth="1"/>
    <col min="4613" max="4613" width="11.4140625" style="205" bestFit="1" customWidth="1"/>
    <col min="4614" max="4614" width="10.4140625" style="205" bestFit="1" customWidth="1"/>
    <col min="4615" max="4615" width="11.4140625" style="205" bestFit="1" customWidth="1"/>
    <col min="4616" max="4616" width="12.4140625" style="205" bestFit="1" customWidth="1"/>
    <col min="4617" max="4617" width="9.08203125" style="205" bestFit="1" customWidth="1"/>
    <col min="4618" max="4618" width="12.4140625" style="205" bestFit="1" customWidth="1"/>
    <col min="4619" max="4619" width="16.4140625" style="205" bestFit="1" customWidth="1"/>
    <col min="4620" max="4620" width="13.75" style="205" bestFit="1" customWidth="1"/>
    <col min="4621" max="4621" width="8.58203125" style="205" bestFit="1" customWidth="1"/>
    <col min="4622" max="4622" width="6.58203125" style="205" bestFit="1" customWidth="1"/>
    <col min="4623" max="4623" width="9.08203125" style="205" customWidth="1"/>
    <col min="4624" max="4624" width="6.08203125" style="205" bestFit="1" customWidth="1"/>
    <col min="4625" max="4625" width="9.33203125" style="205" bestFit="1" customWidth="1"/>
    <col min="4626" max="4626" width="10.4140625" style="205" bestFit="1" customWidth="1"/>
    <col min="4627" max="4859" width="8.75" style="205"/>
    <col min="4860" max="4860" width="6.08203125" style="205" bestFit="1" customWidth="1"/>
    <col min="4861" max="4861" width="14.33203125" style="205" bestFit="1" customWidth="1"/>
    <col min="4862" max="4862" width="21.75" style="205" bestFit="1" customWidth="1"/>
    <col min="4863" max="4863" width="0" style="205" hidden="1" customWidth="1"/>
    <col min="4864" max="4864" width="16.4140625" style="205" bestFit="1" customWidth="1"/>
    <col min="4865" max="4865" width="14" style="205" bestFit="1" customWidth="1"/>
    <col min="4866" max="4866" width="15.4140625" style="205" bestFit="1" customWidth="1"/>
    <col min="4867" max="4867" width="9.75" style="205" bestFit="1" customWidth="1"/>
    <col min="4868" max="4868" width="8.75" style="205" bestFit="1" customWidth="1"/>
    <col min="4869" max="4869" width="11.4140625" style="205" bestFit="1" customWidth="1"/>
    <col min="4870" max="4870" width="10.4140625" style="205" bestFit="1" customWidth="1"/>
    <col min="4871" max="4871" width="11.4140625" style="205" bestFit="1" customWidth="1"/>
    <col min="4872" max="4872" width="12.4140625" style="205" bestFit="1" customWidth="1"/>
    <col min="4873" max="4873" width="9.08203125" style="205" bestFit="1" customWidth="1"/>
    <col min="4874" max="4874" width="12.4140625" style="205" bestFit="1" customWidth="1"/>
    <col min="4875" max="4875" width="16.4140625" style="205" bestFit="1" customWidth="1"/>
    <col min="4876" max="4876" width="13.75" style="205" bestFit="1" customWidth="1"/>
    <col min="4877" max="4877" width="8.58203125" style="205" bestFit="1" customWidth="1"/>
    <col min="4878" max="4878" width="6.58203125" style="205" bestFit="1" customWidth="1"/>
    <col min="4879" max="4879" width="9.08203125" style="205" customWidth="1"/>
    <col min="4880" max="4880" width="6.08203125" style="205" bestFit="1" customWidth="1"/>
    <col min="4881" max="4881" width="9.33203125" style="205" bestFit="1" customWidth="1"/>
    <col min="4882" max="4882" width="10.4140625" style="205" bestFit="1" customWidth="1"/>
    <col min="4883" max="5115" width="8.75" style="205"/>
    <col min="5116" max="5116" width="6.08203125" style="205" bestFit="1" customWidth="1"/>
    <col min="5117" max="5117" width="14.33203125" style="205" bestFit="1" customWidth="1"/>
    <col min="5118" max="5118" width="21.75" style="205" bestFit="1" customWidth="1"/>
    <col min="5119" max="5119" width="0" style="205" hidden="1" customWidth="1"/>
    <col min="5120" max="5120" width="16.4140625" style="205" bestFit="1" customWidth="1"/>
    <col min="5121" max="5121" width="14" style="205" bestFit="1" customWidth="1"/>
    <col min="5122" max="5122" width="15.4140625" style="205" bestFit="1" customWidth="1"/>
    <col min="5123" max="5123" width="9.75" style="205" bestFit="1" customWidth="1"/>
    <col min="5124" max="5124" width="8.75" style="205" bestFit="1" customWidth="1"/>
    <col min="5125" max="5125" width="11.4140625" style="205" bestFit="1" customWidth="1"/>
    <col min="5126" max="5126" width="10.4140625" style="205" bestFit="1" customWidth="1"/>
    <col min="5127" max="5127" width="11.4140625" style="205" bestFit="1" customWidth="1"/>
    <col min="5128" max="5128" width="12.4140625" style="205" bestFit="1" customWidth="1"/>
    <col min="5129" max="5129" width="9.08203125" style="205" bestFit="1" customWidth="1"/>
    <col min="5130" max="5130" width="12.4140625" style="205" bestFit="1" customWidth="1"/>
    <col min="5131" max="5131" width="16.4140625" style="205" bestFit="1" customWidth="1"/>
    <col min="5132" max="5132" width="13.75" style="205" bestFit="1" customWidth="1"/>
    <col min="5133" max="5133" width="8.58203125" style="205" bestFit="1" customWidth="1"/>
    <col min="5134" max="5134" width="6.58203125" style="205" bestFit="1" customWidth="1"/>
    <col min="5135" max="5135" width="9.08203125" style="205" customWidth="1"/>
    <col min="5136" max="5136" width="6.08203125" style="205" bestFit="1" customWidth="1"/>
    <col min="5137" max="5137" width="9.33203125" style="205" bestFit="1" customWidth="1"/>
    <col min="5138" max="5138" width="10.4140625" style="205" bestFit="1" customWidth="1"/>
    <col min="5139" max="5371" width="8.75" style="205"/>
    <col min="5372" max="5372" width="6.08203125" style="205" bestFit="1" customWidth="1"/>
    <col min="5373" max="5373" width="14.33203125" style="205" bestFit="1" customWidth="1"/>
    <col min="5374" max="5374" width="21.75" style="205" bestFit="1" customWidth="1"/>
    <col min="5375" max="5375" width="0" style="205" hidden="1" customWidth="1"/>
    <col min="5376" max="5376" width="16.4140625" style="205" bestFit="1" customWidth="1"/>
    <col min="5377" max="5377" width="14" style="205" bestFit="1" customWidth="1"/>
    <col min="5378" max="5378" width="15.4140625" style="205" bestFit="1" customWidth="1"/>
    <col min="5379" max="5379" width="9.75" style="205" bestFit="1" customWidth="1"/>
    <col min="5380" max="5380" width="8.75" style="205" bestFit="1" customWidth="1"/>
    <col min="5381" max="5381" width="11.4140625" style="205" bestFit="1" customWidth="1"/>
    <col min="5382" max="5382" width="10.4140625" style="205" bestFit="1" customWidth="1"/>
    <col min="5383" max="5383" width="11.4140625" style="205" bestFit="1" customWidth="1"/>
    <col min="5384" max="5384" width="12.4140625" style="205" bestFit="1" customWidth="1"/>
    <col min="5385" max="5385" width="9.08203125" style="205" bestFit="1" customWidth="1"/>
    <col min="5386" max="5386" width="12.4140625" style="205" bestFit="1" customWidth="1"/>
    <col min="5387" max="5387" width="16.4140625" style="205" bestFit="1" customWidth="1"/>
    <col min="5388" max="5388" width="13.75" style="205" bestFit="1" customWidth="1"/>
    <col min="5389" max="5389" width="8.58203125" style="205" bestFit="1" customWidth="1"/>
    <col min="5390" max="5390" width="6.58203125" style="205" bestFit="1" customWidth="1"/>
    <col min="5391" max="5391" width="9.08203125" style="205" customWidth="1"/>
    <col min="5392" max="5392" width="6.08203125" style="205" bestFit="1" customWidth="1"/>
    <col min="5393" max="5393" width="9.33203125" style="205" bestFit="1" customWidth="1"/>
    <col min="5394" max="5394" width="10.4140625" style="205" bestFit="1" customWidth="1"/>
    <col min="5395" max="5627" width="8.75" style="205"/>
    <col min="5628" max="5628" width="6.08203125" style="205" bestFit="1" customWidth="1"/>
    <col min="5629" max="5629" width="14.33203125" style="205" bestFit="1" customWidth="1"/>
    <col min="5630" max="5630" width="21.75" style="205" bestFit="1" customWidth="1"/>
    <col min="5631" max="5631" width="0" style="205" hidden="1" customWidth="1"/>
    <col min="5632" max="5632" width="16.4140625" style="205" bestFit="1" customWidth="1"/>
    <col min="5633" max="5633" width="14" style="205" bestFit="1" customWidth="1"/>
    <col min="5634" max="5634" width="15.4140625" style="205" bestFit="1" customWidth="1"/>
    <col min="5635" max="5635" width="9.75" style="205" bestFit="1" customWidth="1"/>
    <col min="5636" max="5636" width="8.75" style="205" bestFit="1" customWidth="1"/>
    <col min="5637" max="5637" width="11.4140625" style="205" bestFit="1" customWidth="1"/>
    <col min="5638" max="5638" width="10.4140625" style="205" bestFit="1" customWidth="1"/>
    <col min="5639" max="5639" width="11.4140625" style="205" bestFit="1" customWidth="1"/>
    <col min="5640" max="5640" width="12.4140625" style="205" bestFit="1" customWidth="1"/>
    <col min="5641" max="5641" width="9.08203125" style="205" bestFit="1" customWidth="1"/>
    <col min="5642" max="5642" width="12.4140625" style="205" bestFit="1" customWidth="1"/>
    <col min="5643" max="5643" width="16.4140625" style="205" bestFit="1" customWidth="1"/>
    <col min="5644" max="5644" width="13.75" style="205" bestFit="1" customWidth="1"/>
    <col min="5645" max="5645" width="8.58203125" style="205" bestFit="1" customWidth="1"/>
    <col min="5646" max="5646" width="6.58203125" style="205" bestFit="1" customWidth="1"/>
    <col min="5647" max="5647" width="9.08203125" style="205" customWidth="1"/>
    <col min="5648" max="5648" width="6.08203125" style="205" bestFit="1" customWidth="1"/>
    <col min="5649" max="5649" width="9.33203125" style="205" bestFit="1" customWidth="1"/>
    <col min="5650" max="5650" width="10.4140625" style="205" bestFit="1" customWidth="1"/>
    <col min="5651" max="5883" width="8.75" style="205"/>
    <col min="5884" max="5884" width="6.08203125" style="205" bestFit="1" customWidth="1"/>
    <col min="5885" max="5885" width="14.33203125" style="205" bestFit="1" customWidth="1"/>
    <col min="5886" max="5886" width="21.75" style="205" bestFit="1" customWidth="1"/>
    <col min="5887" max="5887" width="0" style="205" hidden="1" customWidth="1"/>
    <col min="5888" max="5888" width="16.4140625" style="205" bestFit="1" customWidth="1"/>
    <col min="5889" max="5889" width="14" style="205" bestFit="1" customWidth="1"/>
    <col min="5890" max="5890" width="15.4140625" style="205" bestFit="1" customWidth="1"/>
    <col min="5891" max="5891" width="9.75" style="205" bestFit="1" customWidth="1"/>
    <col min="5892" max="5892" width="8.75" style="205" bestFit="1" customWidth="1"/>
    <col min="5893" max="5893" width="11.4140625" style="205" bestFit="1" customWidth="1"/>
    <col min="5894" max="5894" width="10.4140625" style="205" bestFit="1" customWidth="1"/>
    <col min="5895" max="5895" width="11.4140625" style="205" bestFit="1" customWidth="1"/>
    <col min="5896" max="5896" width="12.4140625" style="205" bestFit="1" customWidth="1"/>
    <col min="5897" max="5897" width="9.08203125" style="205" bestFit="1" customWidth="1"/>
    <col min="5898" max="5898" width="12.4140625" style="205" bestFit="1" customWidth="1"/>
    <col min="5899" max="5899" width="16.4140625" style="205" bestFit="1" customWidth="1"/>
    <col min="5900" max="5900" width="13.75" style="205" bestFit="1" customWidth="1"/>
    <col min="5901" max="5901" width="8.58203125" style="205" bestFit="1" customWidth="1"/>
    <col min="5902" max="5902" width="6.58203125" style="205" bestFit="1" customWidth="1"/>
    <col min="5903" max="5903" width="9.08203125" style="205" customWidth="1"/>
    <col min="5904" max="5904" width="6.08203125" style="205" bestFit="1" customWidth="1"/>
    <col min="5905" max="5905" width="9.33203125" style="205" bestFit="1" customWidth="1"/>
    <col min="5906" max="5906" width="10.4140625" style="205" bestFit="1" customWidth="1"/>
    <col min="5907" max="6139" width="8.75" style="205"/>
    <col min="6140" max="6140" width="6.08203125" style="205" bestFit="1" customWidth="1"/>
    <col min="6141" max="6141" width="14.33203125" style="205" bestFit="1" customWidth="1"/>
    <col min="6142" max="6142" width="21.75" style="205" bestFit="1" customWidth="1"/>
    <col min="6143" max="6143" width="0" style="205" hidden="1" customWidth="1"/>
    <col min="6144" max="6144" width="16.4140625" style="205" bestFit="1" customWidth="1"/>
    <col min="6145" max="6145" width="14" style="205" bestFit="1" customWidth="1"/>
    <col min="6146" max="6146" width="15.4140625" style="205" bestFit="1" customWidth="1"/>
    <col min="6147" max="6147" width="9.75" style="205" bestFit="1" customWidth="1"/>
    <col min="6148" max="6148" width="8.75" style="205" bestFit="1" customWidth="1"/>
    <col min="6149" max="6149" width="11.4140625" style="205" bestFit="1" customWidth="1"/>
    <col min="6150" max="6150" width="10.4140625" style="205" bestFit="1" customWidth="1"/>
    <col min="6151" max="6151" width="11.4140625" style="205" bestFit="1" customWidth="1"/>
    <col min="6152" max="6152" width="12.4140625" style="205" bestFit="1" customWidth="1"/>
    <col min="6153" max="6153" width="9.08203125" style="205" bestFit="1" customWidth="1"/>
    <col min="6154" max="6154" width="12.4140625" style="205" bestFit="1" customWidth="1"/>
    <col min="6155" max="6155" width="16.4140625" style="205" bestFit="1" customWidth="1"/>
    <col min="6156" max="6156" width="13.75" style="205" bestFit="1" customWidth="1"/>
    <col min="6157" max="6157" width="8.58203125" style="205" bestFit="1" customWidth="1"/>
    <col min="6158" max="6158" width="6.58203125" style="205" bestFit="1" customWidth="1"/>
    <col min="6159" max="6159" width="9.08203125" style="205" customWidth="1"/>
    <col min="6160" max="6160" width="6.08203125" style="205" bestFit="1" customWidth="1"/>
    <col min="6161" max="6161" width="9.33203125" style="205" bestFit="1" customWidth="1"/>
    <col min="6162" max="6162" width="10.4140625" style="205" bestFit="1" customWidth="1"/>
    <col min="6163" max="6395" width="8.75" style="205"/>
    <col min="6396" max="6396" width="6.08203125" style="205" bestFit="1" customWidth="1"/>
    <col min="6397" max="6397" width="14.33203125" style="205" bestFit="1" customWidth="1"/>
    <col min="6398" max="6398" width="21.75" style="205" bestFit="1" customWidth="1"/>
    <col min="6399" max="6399" width="0" style="205" hidden="1" customWidth="1"/>
    <col min="6400" max="6400" width="16.4140625" style="205" bestFit="1" customWidth="1"/>
    <col min="6401" max="6401" width="14" style="205" bestFit="1" customWidth="1"/>
    <col min="6402" max="6402" width="15.4140625" style="205" bestFit="1" customWidth="1"/>
    <col min="6403" max="6403" width="9.75" style="205" bestFit="1" customWidth="1"/>
    <col min="6404" max="6404" width="8.75" style="205" bestFit="1" customWidth="1"/>
    <col min="6405" max="6405" width="11.4140625" style="205" bestFit="1" customWidth="1"/>
    <col min="6406" max="6406" width="10.4140625" style="205" bestFit="1" customWidth="1"/>
    <col min="6407" max="6407" width="11.4140625" style="205" bestFit="1" customWidth="1"/>
    <col min="6408" max="6408" width="12.4140625" style="205" bestFit="1" customWidth="1"/>
    <col min="6409" max="6409" width="9.08203125" style="205" bestFit="1" customWidth="1"/>
    <col min="6410" max="6410" width="12.4140625" style="205" bestFit="1" customWidth="1"/>
    <col min="6411" max="6411" width="16.4140625" style="205" bestFit="1" customWidth="1"/>
    <col min="6412" max="6412" width="13.75" style="205" bestFit="1" customWidth="1"/>
    <col min="6413" max="6413" width="8.58203125" style="205" bestFit="1" customWidth="1"/>
    <col min="6414" max="6414" width="6.58203125" style="205" bestFit="1" customWidth="1"/>
    <col min="6415" max="6415" width="9.08203125" style="205" customWidth="1"/>
    <col min="6416" max="6416" width="6.08203125" style="205" bestFit="1" customWidth="1"/>
    <col min="6417" max="6417" width="9.33203125" style="205" bestFit="1" customWidth="1"/>
    <col min="6418" max="6418" width="10.4140625" style="205" bestFit="1" customWidth="1"/>
    <col min="6419" max="6651" width="8.75" style="205"/>
    <col min="6652" max="6652" width="6.08203125" style="205" bestFit="1" customWidth="1"/>
    <col min="6653" max="6653" width="14.33203125" style="205" bestFit="1" customWidth="1"/>
    <col min="6654" max="6654" width="21.75" style="205" bestFit="1" customWidth="1"/>
    <col min="6655" max="6655" width="0" style="205" hidden="1" customWidth="1"/>
    <col min="6656" max="6656" width="16.4140625" style="205" bestFit="1" customWidth="1"/>
    <col min="6657" max="6657" width="14" style="205" bestFit="1" customWidth="1"/>
    <col min="6658" max="6658" width="15.4140625" style="205" bestFit="1" customWidth="1"/>
    <col min="6659" max="6659" width="9.75" style="205" bestFit="1" customWidth="1"/>
    <col min="6660" max="6660" width="8.75" style="205" bestFit="1" customWidth="1"/>
    <col min="6661" max="6661" width="11.4140625" style="205" bestFit="1" customWidth="1"/>
    <col min="6662" max="6662" width="10.4140625" style="205" bestFit="1" customWidth="1"/>
    <col min="6663" max="6663" width="11.4140625" style="205" bestFit="1" customWidth="1"/>
    <col min="6664" max="6664" width="12.4140625" style="205" bestFit="1" customWidth="1"/>
    <col min="6665" max="6665" width="9.08203125" style="205" bestFit="1" customWidth="1"/>
    <col min="6666" max="6666" width="12.4140625" style="205" bestFit="1" customWidth="1"/>
    <col min="6667" max="6667" width="16.4140625" style="205" bestFit="1" customWidth="1"/>
    <col min="6668" max="6668" width="13.75" style="205" bestFit="1" customWidth="1"/>
    <col min="6669" max="6669" width="8.58203125" style="205" bestFit="1" customWidth="1"/>
    <col min="6670" max="6670" width="6.58203125" style="205" bestFit="1" customWidth="1"/>
    <col min="6671" max="6671" width="9.08203125" style="205" customWidth="1"/>
    <col min="6672" max="6672" width="6.08203125" style="205" bestFit="1" customWidth="1"/>
    <col min="6673" max="6673" width="9.33203125" style="205" bestFit="1" customWidth="1"/>
    <col min="6674" max="6674" width="10.4140625" style="205" bestFit="1" customWidth="1"/>
    <col min="6675" max="6907" width="8.75" style="205"/>
    <col min="6908" max="6908" width="6.08203125" style="205" bestFit="1" customWidth="1"/>
    <col min="6909" max="6909" width="14.33203125" style="205" bestFit="1" customWidth="1"/>
    <col min="6910" max="6910" width="21.75" style="205" bestFit="1" customWidth="1"/>
    <col min="6911" max="6911" width="0" style="205" hidden="1" customWidth="1"/>
    <col min="6912" max="6912" width="16.4140625" style="205" bestFit="1" customWidth="1"/>
    <col min="6913" max="6913" width="14" style="205" bestFit="1" customWidth="1"/>
    <col min="6914" max="6914" width="15.4140625" style="205" bestFit="1" customWidth="1"/>
    <col min="6915" max="6915" width="9.75" style="205" bestFit="1" customWidth="1"/>
    <col min="6916" max="6916" width="8.75" style="205" bestFit="1" customWidth="1"/>
    <col min="6917" max="6917" width="11.4140625" style="205" bestFit="1" customWidth="1"/>
    <col min="6918" max="6918" width="10.4140625" style="205" bestFit="1" customWidth="1"/>
    <col min="6919" max="6919" width="11.4140625" style="205" bestFit="1" customWidth="1"/>
    <col min="6920" max="6920" width="12.4140625" style="205" bestFit="1" customWidth="1"/>
    <col min="6921" max="6921" width="9.08203125" style="205" bestFit="1" customWidth="1"/>
    <col min="6922" max="6922" width="12.4140625" style="205" bestFit="1" customWidth="1"/>
    <col min="6923" max="6923" width="16.4140625" style="205" bestFit="1" customWidth="1"/>
    <col min="6924" max="6924" width="13.75" style="205" bestFit="1" customWidth="1"/>
    <col min="6925" max="6925" width="8.58203125" style="205" bestFit="1" customWidth="1"/>
    <col min="6926" max="6926" width="6.58203125" style="205" bestFit="1" customWidth="1"/>
    <col min="6927" max="6927" width="9.08203125" style="205" customWidth="1"/>
    <col min="6928" max="6928" width="6.08203125" style="205" bestFit="1" customWidth="1"/>
    <col min="6929" max="6929" width="9.33203125" style="205" bestFit="1" customWidth="1"/>
    <col min="6930" max="6930" width="10.4140625" style="205" bestFit="1" customWidth="1"/>
    <col min="6931" max="7163" width="8.75" style="205"/>
    <col min="7164" max="7164" width="6.08203125" style="205" bestFit="1" customWidth="1"/>
    <col min="7165" max="7165" width="14.33203125" style="205" bestFit="1" customWidth="1"/>
    <col min="7166" max="7166" width="21.75" style="205" bestFit="1" customWidth="1"/>
    <col min="7167" max="7167" width="0" style="205" hidden="1" customWidth="1"/>
    <col min="7168" max="7168" width="16.4140625" style="205" bestFit="1" customWidth="1"/>
    <col min="7169" max="7169" width="14" style="205" bestFit="1" customWidth="1"/>
    <col min="7170" max="7170" width="15.4140625" style="205" bestFit="1" customWidth="1"/>
    <col min="7171" max="7171" width="9.75" style="205" bestFit="1" customWidth="1"/>
    <col min="7172" max="7172" width="8.75" style="205" bestFit="1" customWidth="1"/>
    <col min="7173" max="7173" width="11.4140625" style="205" bestFit="1" customWidth="1"/>
    <col min="7174" max="7174" width="10.4140625" style="205" bestFit="1" customWidth="1"/>
    <col min="7175" max="7175" width="11.4140625" style="205" bestFit="1" customWidth="1"/>
    <col min="7176" max="7176" width="12.4140625" style="205" bestFit="1" customWidth="1"/>
    <col min="7177" max="7177" width="9.08203125" style="205" bestFit="1" customWidth="1"/>
    <col min="7178" max="7178" width="12.4140625" style="205" bestFit="1" customWidth="1"/>
    <col min="7179" max="7179" width="16.4140625" style="205" bestFit="1" customWidth="1"/>
    <col min="7180" max="7180" width="13.75" style="205" bestFit="1" customWidth="1"/>
    <col min="7181" max="7181" width="8.58203125" style="205" bestFit="1" customWidth="1"/>
    <col min="7182" max="7182" width="6.58203125" style="205" bestFit="1" customWidth="1"/>
    <col min="7183" max="7183" width="9.08203125" style="205" customWidth="1"/>
    <col min="7184" max="7184" width="6.08203125" style="205" bestFit="1" customWidth="1"/>
    <col min="7185" max="7185" width="9.33203125" style="205" bestFit="1" customWidth="1"/>
    <col min="7186" max="7186" width="10.4140625" style="205" bestFit="1" customWidth="1"/>
    <col min="7187" max="7419" width="8.75" style="205"/>
    <col min="7420" max="7420" width="6.08203125" style="205" bestFit="1" customWidth="1"/>
    <col min="7421" max="7421" width="14.33203125" style="205" bestFit="1" customWidth="1"/>
    <col min="7422" max="7422" width="21.75" style="205" bestFit="1" customWidth="1"/>
    <col min="7423" max="7423" width="0" style="205" hidden="1" customWidth="1"/>
    <col min="7424" max="7424" width="16.4140625" style="205" bestFit="1" customWidth="1"/>
    <col min="7425" max="7425" width="14" style="205" bestFit="1" customWidth="1"/>
    <col min="7426" max="7426" width="15.4140625" style="205" bestFit="1" customWidth="1"/>
    <col min="7427" max="7427" width="9.75" style="205" bestFit="1" customWidth="1"/>
    <col min="7428" max="7428" width="8.75" style="205" bestFit="1" customWidth="1"/>
    <col min="7429" max="7429" width="11.4140625" style="205" bestFit="1" customWidth="1"/>
    <col min="7430" max="7430" width="10.4140625" style="205" bestFit="1" customWidth="1"/>
    <col min="7431" max="7431" width="11.4140625" style="205" bestFit="1" customWidth="1"/>
    <col min="7432" max="7432" width="12.4140625" style="205" bestFit="1" customWidth="1"/>
    <col min="7433" max="7433" width="9.08203125" style="205" bestFit="1" customWidth="1"/>
    <col min="7434" max="7434" width="12.4140625" style="205" bestFit="1" customWidth="1"/>
    <col min="7435" max="7435" width="16.4140625" style="205" bestFit="1" customWidth="1"/>
    <col min="7436" max="7436" width="13.75" style="205" bestFit="1" customWidth="1"/>
    <col min="7437" max="7437" width="8.58203125" style="205" bestFit="1" customWidth="1"/>
    <col min="7438" max="7438" width="6.58203125" style="205" bestFit="1" customWidth="1"/>
    <col min="7439" max="7439" width="9.08203125" style="205" customWidth="1"/>
    <col min="7440" max="7440" width="6.08203125" style="205" bestFit="1" customWidth="1"/>
    <col min="7441" max="7441" width="9.33203125" style="205" bestFit="1" customWidth="1"/>
    <col min="7442" max="7442" width="10.4140625" style="205" bestFit="1" customWidth="1"/>
    <col min="7443" max="7675" width="8.75" style="205"/>
    <col min="7676" max="7676" width="6.08203125" style="205" bestFit="1" customWidth="1"/>
    <col min="7677" max="7677" width="14.33203125" style="205" bestFit="1" customWidth="1"/>
    <col min="7678" max="7678" width="21.75" style="205" bestFit="1" customWidth="1"/>
    <col min="7679" max="7679" width="0" style="205" hidden="1" customWidth="1"/>
    <col min="7680" max="7680" width="16.4140625" style="205" bestFit="1" customWidth="1"/>
    <col min="7681" max="7681" width="14" style="205" bestFit="1" customWidth="1"/>
    <col min="7682" max="7682" width="15.4140625" style="205" bestFit="1" customWidth="1"/>
    <col min="7683" max="7683" width="9.75" style="205" bestFit="1" customWidth="1"/>
    <col min="7684" max="7684" width="8.75" style="205" bestFit="1" customWidth="1"/>
    <col min="7685" max="7685" width="11.4140625" style="205" bestFit="1" customWidth="1"/>
    <col min="7686" max="7686" width="10.4140625" style="205" bestFit="1" customWidth="1"/>
    <col min="7687" max="7687" width="11.4140625" style="205" bestFit="1" customWidth="1"/>
    <col min="7688" max="7688" width="12.4140625" style="205" bestFit="1" customWidth="1"/>
    <col min="7689" max="7689" width="9.08203125" style="205" bestFit="1" customWidth="1"/>
    <col min="7690" max="7690" width="12.4140625" style="205" bestFit="1" customWidth="1"/>
    <col min="7691" max="7691" width="16.4140625" style="205" bestFit="1" customWidth="1"/>
    <col min="7692" max="7692" width="13.75" style="205" bestFit="1" customWidth="1"/>
    <col min="7693" max="7693" width="8.58203125" style="205" bestFit="1" customWidth="1"/>
    <col min="7694" max="7694" width="6.58203125" style="205" bestFit="1" customWidth="1"/>
    <col min="7695" max="7695" width="9.08203125" style="205" customWidth="1"/>
    <col min="7696" max="7696" width="6.08203125" style="205" bestFit="1" customWidth="1"/>
    <col min="7697" max="7697" width="9.33203125" style="205" bestFit="1" customWidth="1"/>
    <col min="7698" max="7698" width="10.4140625" style="205" bestFit="1" customWidth="1"/>
    <col min="7699" max="7931" width="8.75" style="205"/>
    <col min="7932" max="7932" width="6.08203125" style="205" bestFit="1" customWidth="1"/>
    <col min="7933" max="7933" width="14.33203125" style="205" bestFit="1" customWidth="1"/>
    <col min="7934" max="7934" width="21.75" style="205" bestFit="1" customWidth="1"/>
    <col min="7935" max="7935" width="0" style="205" hidden="1" customWidth="1"/>
    <col min="7936" max="7936" width="16.4140625" style="205" bestFit="1" customWidth="1"/>
    <col min="7937" max="7937" width="14" style="205" bestFit="1" customWidth="1"/>
    <col min="7938" max="7938" width="15.4140625" style="205" bestFit="1" customWidth="1"/>
    <col min="7939" max="7939" width="9.75" style="205" bestFit="1" customWidth="1"/>
    <col min="7940" max="7940" width="8.75" style="205" bestFit="1" customWidth="1"/>
    <col min="7941" max="7941" width="11.4140625" style="205" bestFit="1" customWidth="1"/>
    <col min="7942" max="7942" width="10.4140625" style="205" bestFit="1" customWidth="1"/>
    <col min="7943" max="7943" width="11.4140625" style="205" bestFit="1" customWidth="1"/>
    <col min="7944" max="7944" width="12.4140625" style="205" bestFit="1" customWidth="1"/>
    <col min="7945" max="7945" width="9.08203125" style="205" bestFit="1" customWidth="1"/>
    <col min="7946" max="7946" width="12.4140625" style="205" bestFit="1" customWidth="1"/>
    <col min="7947" max="7947" width="16.4140625" style="205" bestFit="1" customWidth="1"/>
    <col min="7948" max="7948" width="13.75" style="205" bestFit="1" customWidth="1"/>
    <col min="7949" max="7949" width="8.58203125" style="205" bestFit="1" customWidth="1"/>
    <col min="7950" max="7950" width="6.58203125" style="205" bestFit="1" customWidth="1"/>
    <col min="7951" max="7951" width="9.08203125" style="205" customWidth="1"/>
    <col min="7952" max="7952" width="6.08203125" style="205" bestFit="1" customWidth="1"/>
    <col min="7953" max="7953" width="9.33203125" style="205" bestFit="1" customWidth="1"/>
    <col min="7954" max="7954" width="10.4140625" style="205" bestFit="1" customWidth="1"/>
    <col min="7955" max="8187" width="8.75" style="205"/>
    <col min="8188" max="8188" width="6.08203125" style="205" bestFit="1" customWidth="1"/>
    <col min="8189" max="8189" width="14.33203125" style="205" bestFit="1" customWidth="1"/>
    <col min="8190" max="8190" width="21.75" style="205" bestFit="1" customWidth="1"/>
    <col min="8191" max="8191" width="0" style="205" hidden="1" customWidth="1"/>
    <col min="8192" max="8192" width="16.4140625" style="205" bestFit="1" customWidth="1"/>
    <col min="8193" max="8193" width="14" style="205" bestFit="1" customWidth="1"/>
    <col min="8194" max="8194" width="15.4140625" style="205" bestFit="1" customWidth="1"/>
    <col min="8195" max="8195" width="9.75" style="205" bestFit="1" customWidth="1"/>
    <col min="8196" max="8196" width="8.75" style="205" bestFit="1" customWidth="1"/>
    <col min="8197" max="8197" width="11.4140625" style="205" bestFit="1" customWidth="1"/>
    <col min="8198" max="8198" width="10.4140625" style="205" bestFit="1" customWidth="1"/>
    <col min="8199" max="8199" width="11.4140625" style="205" bestFit="1" customWidth="1"/>
    <col min="8200" max="8200" width="12.4140625" style="205" bestFit="1" customWidth="1"/>
    <col min="8201" max="8201" width="9.08203125" style="205" bestFit="1" customWidth="1"/>
    <col min="8202" max="8202" width="12.4140625" style="205" bestFit="1" customWidth="1"/>
    <col min="8203" max="8203" width="16.4140625" style="205" bestFit="1" customWidth="1"/>
    <col min="8204" max="8204" width="13.75" style="205" bestFit="1" customWidth="1"/>
    <col min="8205" max="8205" width="8.58203125" style="205" bestFit="1" customWidth="1"/>
    <col min="8206" max="8206" width="6.58203125" style="205" bestFit="1" customWidth="1"/>
    <col min="8207" max="8207" width="9.08203125" style="205" customWidth="1"/>
    <col min="8208" max="8208" width="6.08203125" style="205" bestFit="1" customWidth="1"/>
    <col min="8209" max="8209" width="9.33203125" style="205" bestFit="1" customWidth="1"/>
    <col min="8210" max="8210" width="10.4140625" style="205" bestFit="1" customWidth="1"/>
    <col min="8211" max="8443" width="8.75" style="205"/>
    <col min="8444" max="8444" width="6.08203125" style="205" bestFit="1" customWidth="1"/>
    <col min="8445" max="8445" width="14.33203125" style="205" bestFit="1" customWidth="1"/>
    <col min="8446" max="8446" width="21.75" style="205" bestFit="1" customWidth="1"/>
    <col min="8447" max="8447" width="0" style="205" hidden="1" customWidth="1"/>
    <col min="8448" max="8448" width="16.4140625" style="205" bestFit="1" customWidth="1"/>
    <col min="8449" max="8449" width="14" style="205" bestFit="1" customWidth="1"/>
    <col min="8450" max="8450" width="15.4140625" style="205" bestFit="1" customWidth="1"/>
    <col min="8451" max="8451" width="9.75" style="205" bestFit="1" customWidth="1"/>
    <col min="8452" max="8452" width="8.75" style="205" bestFit="1" customWidth="1"/>
    <col min="8453" max="8453" width="11.4140625" style="205" bestFit="1" customWidth="1"/>
    <col min="8454" max="8454" width="10.4140625" style="205" bestFit="1" customWidth="1"/>
    <col min="8455" max="8455" width="11.4140625" style="205" bestFit="1" customWidth="1"/>
    <col min="8456" max="8456" width="12.4140625" style="205" bestFit="1" customWidth="1"/>
    <col min="8457" max="8457" width="9.08203125" style="205" bestFit="1" customWidth="1"/>
    <col min="8458" max="8458" width="12.4140625" style="205" bestFit="1" customWidth="1"/>
    <col min="8459" max="8459" width="16.4140625" style="205" bestFit="1" customWidth="1"/>
    <col min="8460" max="8460" width="13.75" style="205" bestFit="1" customWidth="1"/>
    <col min="8461" max="8461" width="8.58203125" style="205" bestFit="1" customWidth="1"/>
    <col min="8462" max="8462" width="6.58203125" style="205" bestFit="1" customWidth="1"/>
    <col min="8463" max="8463" width="9.08203125" style="205" customWidth="1"/>
    <col min="8464" max="8464" width="6.08203125" style="205" bestFit="1" customWidth="1"/>
    <col min="8465" max="8465" width="9.33203125" style="205" bestFit="1" customWidth="1"/>
    <col min="8466" max="8466" width="10.4140625" style="205" bestFit="1" customWidth="1"/>
    <col min="8467" max="8699" width="8.75" style="205"/>
    <col min="8700" max="8700" width="6.08203125" style="205" bestFit="1" customWidth="1"/>
    <col min="8701" max="8701" width="14.33203125" style="205" bestFit="1" customWidth="1"/>
    <col min="8702" max="8702" width="21.75" style="205" bestFit="1" customWidth="1"/>
    <col min="8703" max="8703" width="0" style="205" hidden="1" customWidth="1"/>
    <col min="8704" max="8704" width="16.4140625" style="205" bestFit="1" customWidth="1"/>
    <col min="8705" max="8705" width="14" style="205" bestFit="1" customWidth="1"/>
    <col min="8706" max="8706" width="15.4140625" style="205" bestFit="1" customWidth="1"/>
    <col min="8707" max="8707" width="9.75" style="205" bestFit="1" customWidth="1"/>
    <col min="8708" max="8708" width="8.75" style="205" bestFit="1" customWidth="1"/>
    <col min="8709" max="8709" width="11.4140625" style="205" bestFit="1" customWidth="1"/>
    <col min="8710" max="8710" width="10.4140625" style="205" bestFit="1" customWidth="1"/>
    <col min="8711" max="8711" width="11.4140625" style="205" bestFit="1" customWidth="1"/>
    <col min="8712" max="8712" width="12.4140625" style="205" bestFit="1" customWidth="1"/>
    <col min="8713" max="8713" width="9.08203125" style="205" bestFit="1" customWidth="1"/>
    <col min="8714" max="8714" width="12.4140625" style="205" bestFit="1" customWidth="1"/>
    <col min="8715" max="8715" width="16.4140625" style="205" bestFit="1" customWidth="1"/>
    <col min="8716" max="8716" width="13.75" style="205" bestFit="1" customWidth="1"/>
    <col min="8717" max="8717" width="8.58203125" style="205" bestFit="1" customWidth="1"/>
    <col min="8718" max="8718" width="6.58203125" style="205" bestFit="1" customWidth="1"/>
    <col min="8719" max="8719" width="9.08203125" style="205" customWidth="1"/>
    <col min="8720" max="8720" width="6.08203125" style="205" bestFit="1" customWidth="1"/>
    <col min="8721" max="8721" width="9.33203125" style="205" bestFit="1" customWidth="1"/>
    <col min="8722" max="8722" width="10.4140625" style="205" bestFit="1" customWidth="1"/>
    <col min="8723" max="8955" width="8.75" style="205"/>
    <col min="8956" max="8956" width="6.08203125" style="205" bestFit="1" customWidth="1"/>
    <col min="8957" max="8957" width="14.33203125" style="205" bestFit="1" customWidth="1"/>
    <col min="8958" max="8958" width="21.75" style="205" bestFit="1" customWidth="1"/>
    <col min="8959" max="8959" width="0" style="205" hidden="1" customWidth="1"/>
    <col min="8960" max="8960" width="16.4140625" style="205" bestFit="1" customWidth="1"/>
    <col min="8961" max="8961" width="14" style="205" bestFit="1" customWidth="1"/>
    <col min="8962" max="8962" width="15.4140625" style="205" bestFit="1" customWidth="1"/>
    <col min="8963" max="8963" width="9.75" style="205" bestFit="1" customWidth="1"/>
    <col min="8964" max="8964" width="8.75" style="205" bestFit="1" customWidth="1"/>
    <col min="8965" max="8965" width="11.4140625" style="205" bestFit="1" customWidth="1"/>
    <col min="8966" max="8966" width="10.4140625" style="205" bestFit="1" customWidth="1"/>
    <col min="8967" max="8967" width="11.4140625" style="205" bestFit="1" customWidth="1"/>
    <col min="8968" max="8968" width="12.4140625" style="205" bestFit="1" customWidth="1"/>
    <col min="8969" max="8969" width="9.08203125" style="205" bestFit="1" customWidth="1"/>
    <col min="8970" max="8970" width="12.4140625" style="205" bestFit="1" customWidth="1"/>
    <col min="8971" max="8971" width="16.4140625" style="205" bestFit="1" customWidth="1"/>
    <col min="8972" max="8972" width="13.75" style="205" bestFit="1" customWidth="1"/>
    <col min="8973" max="8973" width="8.58203125" style="205" bestFit="1" customWidth="1"/>
    <col min="8974" max="8974" width="6.58203125" style="205" bestFit="1" customWidth="1"/>
    <col min="8975" max="8975" width="9.08203125" style="205" customWidth="1"/>
    <col min="8976" max="8976" width="6.08203125" style="205" bestFit="1" customWidth="1"/>
    <col min="8977" max="8977" width="9.33203125" style="205" bestFit="1" customWidth="1"/>
    <col min="8978" max="8978" width="10.4140625" style="205" bestFit="1" customWidth="1"/>
    <col min="8979" max="9211" width="8.75" style="205"/>
    <col min="9212" max="9212" width="6.08203125" style="205" bestFit="1" customWidth="1"/>
    <col min="9213" max="9213" width="14.33203125" style="205" bestFit="1" customWidth="1"/>
    <col min="9214" max="9214" width="21.75" style="205" bestFit="1" customWidth="1"/>
    <col min="9215" max="9215" width="0" style="205" hidden="1" customWidth="1"/>
    <col min="9216" max="9216" width="16.4140625" style="205" bestFit="1" customWidth="1"/>
    <col min="9217" max="9217" width="14" style="205" bestFit="1" customWidth="1"/>
    <col min="9218" max="9218" width="15.4140625" style="205" bestFit="1" customWidth="1"/>
    <col min="9219" max="9219" width="9.75" style="205" bestFit="1" customWidth="1"/>
    <col min="9220" max="9220" width="8.75" style="205" bestFit="1" customWidth="1"/>
    <col min="9221" max="9221" width="11.4140625" style="205" bestFit="1" customWidth="1"/>
    <col min="9222" max="9222" width="10.4140625" style="205" bestFit="1" customWidth="1"/>
    <col min="9223" max="9223" width="11.4140625" style="205" bestFit="1" customWidth="1"/>
    <col min="9224" max="9224" width="12.4140625" style="205" bestFit="1" customWidth="1"/>
    <col min="9225" max="9225" width="9.08203125" style="205" bestFit="1" customWidth="1"/>
    <col min="9226" max="9226" width="12.4140625" style="205" bestFit="1" customWidth="1"/>
    <col min="9227" max="9227" width="16.4140625" style="205" bestFit="1" customWidth="1"/>
    <col min="9228" max="9228" width="13.75" style="205" bestFit="1" customWidth="1"/>
    <col min="9229" max="9229" width="8.58203125" style="205" bestFit="1" customWidth="1"/>
    <col min="9230" max="9230" width="6.58203125" style="205" bestFit="1" customWidth="1"/>
    <col min="9231" max="9231" width="9.08203125" style="205" customWidth="1"/>
    <col min="9232" max="9232" width="6.08203125" style="205" bestFit="1" customWidth="1"/>
    <col min="9233" max="9233" width="9.33203125" style="205" bestFit="1" customWidth="1"/>
    <col min="9234" max="9234" width="10.4140625" style="205" bestFit="1" customWidth="1"/>
    <col min="9235" max="9467" width="8.75" style="205"/>
    <col min="9468" max="9468" width="6.08203125" style="205" bestFit="1" customWidth="1"/>
    <col min="9469" max="9469" width="14.33203125" style="205" bestFit="1" customWidth="1"/>
    <col min="9470" max="9470" width="21.75" style="205" bestFit="1" customWidth="1"/>
    <col min="9471" max="9471" width="0" style="205" hidden="1" customWidth="1"/>
    <col min="9472" max="9472" width="16.4140625" style="205" bestFit="1" customWidth="1"/>
    <col min="9473" max="9473" width="14" style="205" bestFit="1" customWidth="1"/>
    <col min="9474" max="9474" width="15.4140625" style="205" bestFit="1" customWidth="1"/>
    <col min="9475" max="9475" width="9.75" style="205" bestFit="1" customWidth="1"/>
    <col min="9476" max="9476" width="8.75" style="205" bestFit="1" customWidth="1"/>
    <col min="9477" max="9477" width="11.4140625" style="205" bestFit="1" customWidth="1"/>
    <col min="9478" max="9478" width="10.4140625" style="205" bestFit="1" customWidth="1"/>
    <col min="9479" max="9479" width="11.4140625" style="205" bestFit="1" customWidth="1"/>
    <col min="9480" max="9480" width="12.4140625" style="205" bestFit="1" customWidth="1"/>
    <col min="9481" max="9481" width="9.08203125" style="205" bestFit="1" customWidth="1"/>
    <col min="9482" max="9482" width="12.4140625" style="205" bestFit="1" customWidth="1"/>
    <col min="9483" max="9483" width="16.4140625" style="205" bestFit="1" customWidth="1"/>
    <col min="9484" max="9484" width="13.75" style="205" bestFit="1" customWidth="1"/>
    <col min="9485" max="9485" width="8.58203125" style="205" bestFit="1" customWidth="1"/>
    <col min="9486" max="9486" width="6.58203125" style="205" bestFit="1" customWidth="1"/>
    <col min="9487" max="9487" width="9.08203125" style="205" customWidth="1"/>
    <col min="9488" max="9488" width="6.08203125" style="205" bestFit="1" customWidth="1"/>
    <col min="9489" max="9489" width="9.33203125" style="205" bestFit="1" customWidth="1"/>
    <col min="9490" max="9490" width="10.4140625" style="205" bestFit="1" customWidth="1"/>
    <col min="9491" max="9723" width="8.75" style="205"/>
    <col min="9724" max="9724" width="6.08203125" style="205" bestFit="1" customWidth="1"/>
    <col min="9725" max="9725" width="14.33203125" style="205" bestFit="1" customWidth="1"/>
    <col min="9726" max="9726" width="21.75" style="205" bestFit="1" customWidth="1"/>
    <col min="9727" max="9727" width="0" style="205" hidden="1" customWidth="1"/>
    <col min="9728" max="9728" width="16.4140625" style="205" bestFit="1" customWidth="1"/>
    <col min="9729" max="9729" width="14" style="205" bestFit="1" customWidth="1"/>
    <col min="9730" max="9730" width="15.4140625" style="205" bestFit="1" customWidth="1"/>
    <col min="9731" max="9731" width="9.75" style="205" bestFit="1" customWidth="1"/>
    <col min="9732" max="9732" width="8.75" style="205" bestFit="1" customWidth="1"/>
    <col min="9733" max="9733" width="11.4140625" style="205" bestFit="1" customWidth="1"/>
    <col min="9734" max="9734" width="10.4140625" style="205" bestFit="1" customWidth="1"/>
    <col min="9735" max="9735" width="11.4140625" style="205" bestFit="1" customWidth="1"/>
    <col min="9736" max="9736" width="12.4140625" style="205" bestFit="1" customWidth="1"/>
    <col min="9737" max="9737" width="9.08203125" style="205" bestFit="1" customWidth="1"/>
    <col min="9738" max="9738" width="12.4140625" style="205" bestFit="1" customWidth="1"/>
    <col min="9739" max="9739" width="16.4140625" style="205" bestFit="1" customWidth="1"/>
    <col min="9740" max="9740" width="13.75" style="205" bestFit="1" customWidth="1"/>
    <col min="9741" max="9741" width="8.58203125" style="205" bestFit="1" customWidth="1"/>
    <col min="9742" max="9742" width="6.58203125" style="205" bestFit="1" customWidth="1"/>
    <col min="9743" max="9743" width="9.08203125" style="205" customWidth="1"/>
    <col min="9744" max="9744" width="6.08203125" style="205" bestFit="1" customWidth="1"/>
    <col min="9745" max="9745" width="9.33203125" style="205" bestFit="1" customWidth="1"/>
    <col min="9746" max="9746" width="10.4140625" style="205" bestFit="1" customWidth="1"/>
    <col min="9747" max="9979" width="8.75" style="205"/>
    <col min="9980" max="9980" width="6.08203125" style="205" bestFit="1" customWidth="1"/>
    <col min="9981" max="9981" width="14.33203125" style="205" bestFit="1" customWidth="1"/>
    <col min="9982" max="9982" width="21.75" style="205" bestFit="1" customWidth="1"/>
    <col min="9983" max="9983" width="0" style="205" hidden="1" customWidth="1"/>
    <col min="9984" max="9984" width="16.4140625" style="205" bestFit="1" customWidth="1"/>
    <col min="9985" max="9985" width="14" style="205" bestFit="1" customWidth="1"/>
    <col min="9986" max="9986" width="15.4140625" style="205" bestFit="1" customWidth="1"/>
    <col min="9987" max="9987" width="9.75" style="205" bestFit="1" customWidth="1"/>
    <col min="9988" max="9988" width="8.75" style="205" bestFit="1" customWidth="1"/>
    <col min="9989" max="9989" width="11.4140625" style="205" bestFit="1" customWidth="1"/>
    <col min="9990" max="9990" width="10.4140625" style="205" bestFit="1" customWidth="1"/>
    <col min="9991" max="9991" width="11.4140625" style="205" bestFit="1" customWidth="1"/>
    <col min="9992" max="9992" width="12.4140625" style="205" bestFit="1" customWidth="1"/>
    <col min="9993" max="9993" width="9.08203125" style="205" bestFit="1" customWidth="1"/>
    <col min="9994" max="9994" width="12.4140625" style="205" bestFit="1" customWidth="1"/>
    <col min="9995" max="9995" width="16.4140625" style="205" bestFit="1" customWidth="1"/>
    <col min="9996" max="9996" width="13.75" style="205" bestFit="1" customWidth="1"/>
    <col min="9997" max="9997" width="8.58203125" style="205" bestFit="1" customWidth="1"/>
    <col min="9998" max="9998" width="6.58203125" style="205" bestFit="1" customWidth="1"/>
    <col min="9999" max="9999" width="9.08203125" style="205" customWidth="1"/>
    <col min="10000" max="10000" width="6.08203125" style="205" bestFit="1" customWidth="1"/>
    <col min="10001" max="10001" width="9.33203125" style="205" bestFit="1" customWidth="1"/>
    <col min="10002" max="10002" width="10.4140625" style="205" bestFit="1" customWidth="1"/>
    <col min="10003" max="10235" width="8.75" style="205"/>
    <col min="10236" max="10236" width="6.08203125" style="205" bestFit="1" customWidth="1"/>
    <col min="10237" max="10237" width="14.33203125" style="205" bestFit="1" customWidth="1"/>
    <col min="10238" max="10238" width="21.75" style="205" bestFit="1" customWidth="1"/>
    <col min="10239" max="10239" width="0" style="205" hidden="1" customWidth="1"/>
    <col min="10240" max="10240" width="16.4140625" style="205" bestFit="1" customWidth="1"/>
    <col min="10241" max="10241" width="14" style="205" bestFit="1" customWidth="1"/>
    <col min="10242" max="10242" width="15.4140625" style="205" bestFit="1" customWidth="1"/>
    <col min="10243" max="10243" width="9.75" style="205" bestFit="1" customWidth="1"/>
    <col min="10244" max="10244" width="8.75" style="205" bestFit="1" customWidth="1"/>
    <col min="10245" max="10245" width="11.4140625" style="205" bestFit="1" customWidth="1"/>
    <col min="10246" max="10246" width="10.4140625" style="205" bestFit="1" customWidth="1"/>
    <col min="10247" max="10247" width="11.4140625" style="205" bestFit="1" customWidth="1"/>
    <col min="10248" max="10248" width="12.4140625" style="205" bestFit="1" customWidth="1"/>
    <col min="10249" max="10249" width="9.08203125" style="205" bestFit="1" customWidth="1"/>
    <col min="10250" max="10250" width="12.4140625" style="205" bestFit="1" customWidth="1"/>
    <col min="10251" max="10251" width="16.4140625" style="205" bestFit="1" customWidth="1"/>
    <col min="10252" max="10252" width="13.75" style="205" bestFit="1" customWidth="1"/>
    <col min="10253" max="10253" width="8.58203125" style="205" bestFit="1" customWidth="1"/>
    <col min="10254" max="10254" width="6.58203125" style="205" bestFit="1" customWidth="1"/>
    <col min="10255" max="10255" width="9.08203125" style="205" customWidth="1"/>
    <col min="10256" max="10256" width="6.08203125" style="205" bestFit="1" customWidth="1"/>
    <col min="10257" max="10257" width="9.33203125" style="205" bestFit="1" customWidth="1"/>
    <col min="10258" max="10258" width="10.4140625" style="205" bestFit="1" customWidth="1"/>
    <col min="10259" max="10491" width="8.75" style="205"/>
    <col min="10492" max="10492" width="6.08203125" style="205" bestFit="1" customWidth="1"/>
    <col min="10493" max="10493" width="14.33203125" style="205" bestFit="1" customWidth="1"/>
    <col min="10494" max="10494" width="21.75" style="205" bestFit="1" customWidth="1"/>
    <col min="10495" max="10495" width="0" style="205" hidden="1" customWidth="1"/>
    <col min="10496" max="10496" width="16.4140625" style="205" bestFit="1" customWidth="1"/>
    <col min="10497" max="10497" width="14" style="205" bestFit="1" customWidth="1"/>
    <col min="10498" max="10498" width="15.4140625" style="205" bestFit="1" customWidth="1"/>
    <col min="10499" max="10499" width="9.75" style="205" bestFit="1" customWidth="1"/>
    <col min="10500" max="10500" width="8.75" style="205" bestFit="1" customWidth="1"/>
    <col min="10501" max="10501" width="11.4140625" style="205" bestFit="1" customWidth="1"/>
    <col min="10502" max="10502" width="10.4140625" style="205" bestFit="1" customWidth="1"/>
    <col min="10503" max="10503" width="11.4140625" style="205" bestFit="1" customWidth="1"/>
    <col min="10504" max="10504" width="12.4140625" style="205" bestFit="1" customWidth="1"/>
    <col min="10505" max="10505" width="9.08203125" style="205" bestFit="1" customWidth="1"/>
    <col min="10506" max="10506" width="12.4140625" style="205" bestFit="1" customWidth="1"/>
    <col min="10507" max="10507" width="16.4140625" style="205" bestFit="1" customWidth="1"/>
    <col min="10508" max="10508" width="13.75" style="205" bestFit="1" customWidth="1"/>
    <col min="10509" max="10509" width="8.58203125" style="205" bestFit="1" customWidth="1"/>
    <col min="10510" max="10510" width="6.58203125" style="205" bestFit="1" customWidth="1"/>
    <col min="10511" max="10511" width="9.08203125" style="205" customWidth="1"/>
    <col min="10512" max="10512" width="6.08203125" style="205" bestFit="1" customWidth="1"/>
    <col min="10513" max="10513" width="9.33203125" style="205" bestFit="1" customWidth="1"/>
    <col min="10514" max="10514" width="10.4140625" style="205" bestFit="1" customWidth="1"/>
    <col min="10515" max="10747" width="8.75" style="205"/>
    <col min="10748" max="10748" width="6.08203125" style="205" bestFit="1" customWidth="1"/>
    <col min="10749" max="10749" width="14.33203125" style="205" bestFit="1" customWidth="1"/>
    <col min="10750" max="10750" width="21.75" style="205" bestFit="1" customWidth="1"/>
    <col min="10751" max="10751" width="0" style="205" hidden="1" customWidth="1"/>
    <col min="10752" max="10752" width="16.4140625" style="205" bestFit="1" customWidth="1"/>
    <col min="10753" max="10753" width="14" style="205" bestFit="1" customWidth="1"/>
    <col min="10754" max="10754" width="15.4140625" style="205" bestFit="1" customWidth="1"/>
    <col min="10755" max="10755" width="9.75" style="205" bestFit="1" customWidth="1"/>
    <col min="10756" max="10756" width="8.75" style="205" bestFit="1" customWidth="1"/>
    <col min="10757" max="10757" width="11.4140625" style="205" bestFit="1" customWidth="1"/>
    <col min="10758" max="10758" width="10.4140625" style="205" bestFit="1" customWidth="1"/>
    <col min="10759" max="10759" width="11.4140625" style="205" bestFit="1" customWidth="1"/>
    <col min="10760" max="10760" width="12.4140625" style="205" bestFit="1" customWidth="1"/>
    <col min="10761" max="10761" width="9.08203125" style="205" bestFit="1" customWidth="1"/>
    <col min="10762" max="10762" width="12.4140625" style="205" bestFit="1" customWidth="1"/>
    <col min="10763" max="10763" width="16.4140625" style="205" bestFit="1" customWidth="1"/>
    <col min="10764" max="10764" width="13.75" style="205" bestFit="1" customWidth="1"/>
    <col min="10765" max="10765" width="8.58203125" style="205" bestFit="1" customWidth="1"/>
    <col min="10766" max="10766" width="6.58203125" style="205" bestFit="1" customWidth="1"/>
    <col min="10767" max="10767" width="9.08203125" style="205" customWidth="1"/>
    <col min="10768" max="10768" width="6.08203125" style="205" bestFit="1" customWidth="1"/>
    <col min="10769" max="10769" width="9.33203125" style="205" bestFit="1" customWidth="1"/>
    <col min="10770" max="10770" width="10.4140625" style="205" bestFit="1" customWidth="1"/>
    <col min="10771" max="11003" width="8.75" style="205"/>
    <col min="11004" max="11004" width="6.08203125" style="205" bestFit="1" customWidth="1"/>
    <col min="11005" max="11005" width="14.33203125" style="205" bestFit="1" customWidth="1"/>
    <col min="11006" max="11006" width="21.75" style="205" bestFit="1" customWidth="1"/>
    <col min="11007" max="11007" width="0" style="205" hidden="1" customWidth="1"/>
    <col min="11008" max="11008" width="16.4140625" style="205" bestFit="1" customWidth="1"/>
    <col min="11009" max="11009" width="14" style="205" bestFit="1" customWidth="1"/>
    <col min="11010" max="11010" width="15.4140625" style="205" bestFit="1" customWidth="1"/>
    <col min="11011" max="11011" width="9.75" style="205" bestFit="1" customWidth="1"/>
    <col min="11012" max="11012" width="8.75" style="205" bestFit="1" customWidth="1"/>
    <col min="11013" max="11013" width="11.4140625" style="205" bestFit="1" customWidth="1"/>
    <col min="11014" max="11014" width="10.4140625" style="205" bestFit="1" customWidth="1"/>
    <col min="11015" max="11015" width="11.4140625" style="205" bestFit="1" customWidth="1"/>
    <col min="11016" max="11016" width="12.4140625" style="205" bestFit="1" customWidth="1"/>
    <col min="11017" max="11017" width="9.08203125" style="205" bestFit="1" customWidth="1"/>
    <col min="11018" max="11018" width="12.4140625" style="205" bestFit="1" customWidth="1"/>
    <col min="11019" max="11019" width="16.4140625" style="205" bestFit="1" customWidth="1"/>
    <col min="11020" max="11020" width="13.75" style="205" bestFit="1" customWidth="1"/>
    <col min="11021" max="11021" width="8.58203125" style="205" bestFit="1" customWidth="1"/>
    <col min="11022" max="11022" width="6.58203125" style="205" bestFit="1" customWidth="1"/>
    <col min="11023" max="11023" width="9.08203125" style="205" customWidth="1"/>
    <col min="11024" max="11024" width="6.08203125" style="205" bestFit="1" customWidth="1"/>
    <col min="11025" max="11025" width="9.33203125" style="205" bestFit="1" customWidth="1"/>
    <col min="11026" max="11026" width="10.4140625" style="205" bestFit="1" customWidth="1"/>
    <col min="11027" max="11259" width="8.75" style="205"/>
    <col min="11260" max="11260" width="6.08203125" style="205" bestFit="1" customWidth="1"/>
    <col min="11261" max="11261" width="14.33203125" style="205" bestFit="1" customWidth="1"/>
    <col min="11262" max="11262" width="21.75" style="205" bestFit="1" customWidth="1"/>
    <col min="11263" max="11263" width="0" style="205" hidden="1" customWidth="1"/>
    <col min="11264" max="11264" width="16.4140625" style="205" bestFit="1" customWidth="1"/>
    <col min="11265" max="11265" width="14" style="205" bestFit="1" customWidth="1"/>
    <col min="11266" max="11266" width="15.4140625" style="205" bestFit="1" customWidth="1"/>
    <col min="11267" max="11267" width="9.75" style="205" bestFit="1" customWidth="1"/>
    <col min="11268" max="11268" width="8.75" style="205" bestFit="1" customWidth="1"/>
    <col min="11269" max="11269" width="11.4140625" style="205" bestFit="1" customWidth="1"/>
    <col min="11270" max="11270" width="10.4140625" style="205" bestFit="1" customWidth="1"/>
    <col min="11271" max="11271" width="11.4140625" style="205" bestFit="1" customWidth="1"/>
    <col min="11272" max="11272" width="12.4140625" style="205" bestFit="1" customWidth="1"/>
    <col min="11273" max="11273" width="9.08203125" style="205" bestFit="1" customWidth="1"/>
    <col min="11274" max="11274" width="12.4140625" style="205" bestFit="1" customWidth="1"/>
    <col min="11275" max="11275" width="16.4140625" style="205" bestFit="1" customWidth="1"/>
    <col min="11276" max="11276" width="13.75" style="205" bestFit="1" customWidth="1"/>
    <col min="11277" max="11277" width="8.58203125" style="205" bestFit="1" customWidth="1"/>
    <col min="11278" max="11278" width="6.58203125" style="205" bestFit="1" customWidth="1"/>
    <col min="11279" max="11279" width="9.08203125" style="205" customWidth="1"/>
    <col min="11280" max="11280" width="6.08203125" style="205" bestFit="1" customWidth="1"/>
    <col min="11281" max="11281" width="9.33203125" style="205" bestFit="1" customWidth="1"/>
    <col min="11282" max="11282" width="10.4140625" style="205" bestFit="1" customWidth="1"/>
    <col min="11283" max="11515" width="8.75" style="205"/>
    <col min="11516" max="11516" width="6.08203125" style="205" bestFit="1" customWidth="1"/>
    <col min="11517" max="11517" width="14.33203125" style="205" bestFit="1" customWidth="1"/>
    <col min="11518" max="11518" width="21.75" style="205" bestFit="1" customWidth="1"/>
    <col min="11519" max="11519" width="0" style="205" hidden="1" customWidth="1"/>
    <col min="11520" max="11520" width="16.4140625" style="205" bestFit="1" customWidth="1"/>
    <col min="11521" max="11521" width="14" style="205" bestFit="1" customWidth="1"/>
    <col min="11522" max="11522" width="15.4140625" style="205" bestFit="1" customWidth="1"/>
    <col min="11523" max="11523" width="9.75" style="205" bestFit="1" customWidth="1"/>
    <col min="11524" max="11524" width="8.75" style="205" bestFit="1" customWidth="1"/>
    <col min="11525" max="11525" width="11.4140625" style="205" bestFit="1" customWidth="1"/>
    <col min="11526" max="11526" width="10.4140625" style="205" bestFit="1" customWidth="1"/>
    <col min="11527" max="11527" width="11.4140625" style="205" bestFit="1" customWidth="1"/>
    <col min="11528" max="11528" width="12.4140625" style="205" bestFit="1" customWidth="1"/>
    <col min="11529" max="11529" width="9.08203125" style="205" bestFit="1" customWidth="1"/>
    <col min="11530" max="11530" width="12.4140625" style="205" bestFit="1" customWidth="1"/>
    <col min="11531" max="11531" width="16.4140625" style="205" bestFit="1" customWidth="1"/>
    <col min="11532" max="11532" width="13.75" style="205" bestFit="1" customWidth="1"/>
    <col min="11533" max="11533" width="8.58203125" style="205" bestFit="1" customWidth="1"/>
    <col min="11534" max="11534" width="6.58203125" style="205" bestFit="1" customWidth="1"/>
    <col min="11535" max="11535" width="9.08203125" style="205" customWidth="1"/>
    <col min="11536" max="11536" width="6.08203125" style="205" bestFit="1" customWidth="1"/>
    <col min="11537" max="11537" width="9.33203125" style="205" bestFit="1" customWidth="1"/>
    <col min="11538" max="11538" width="10.4140625" style="205" bestFit="1" customWidth="1"/>
    <col min="11539" max="11771" width="8.75" style="205"/>
    <col min="11772" max="11772" width="6.08203125" style="205" bestFit="1" customWidth="1"/>
    <col min="11773" max="11773" width="14.33203125" style="205" bestFit="1" customWidth="1"/>
    <col min="11774" max="11774" width="21.75" style="205" bestFit="1" customWidth="1"/>
    <col min="11775" max="11775" width="0" style="205" hidden="1" customWidth="1"/>
    <col min="11776" max="11776" width="16.4140625" style="205" bestFit="1" customWidth="1"/>
    <col min="11777" max="11777" width="14" style="205" bestFit="1" customWidth="1"/>
    <col min="11778" max="11778" width="15.4140625" style="205" bestFit="1" customWidth="1"/>
    <col min="11779" max="11779" width="9.75" style="205" bestFit="1" customWidth="1"/>
    <col min="11780" max="11780" width="8.75" style="205" bestFit="1" customWidth="1"/>
    <col min="11781" max="11781" width="11.4140625" style="205" bestFit="1" customWidth="1"/>
    <col min="11782" max="11782" width="10.4140625" style="205" bestFit="1" customWidth="1"/>
    <col min="11783" max="11783" width="11.4140625" style="205" bestFit="1" customWidth="1"/>
    <col min="11784" max="11784" width="12.4140625" style="205" bestFit="1" customWidth="1"/>
    <col min="11785" max="11785" width="9.08203125" style="205" bestFit="1" customWidth="1"/>
    <col min="11786" max="11786" width="12.4140625" style="205" bestFit="1" customWidth="1"/>
    <col min="11787" max="11787" width="16.4140625" style="205" bestFit="1" customWidth="1"/>
    <col min="11788" max="11788" width="13.75" style="205" bestFit="1" customWidth="1"/>
    <col min="11789" max="11789" width="8.58203125" style="205" bestFit="1" customWidth="1"/>
    <col min="11790" max="11790" width="6.58203125" style="205" bestFit="1" customWidth="1"/>
    <col min="11791" max="11791" width="9.08203125" style="205" customWidth="1"/>
    <col min="11792" max="11792" width="6.08203125" style="205" bestFit="1" customWidth="1"/>
    <col min="11793" max="11793" width="9.33203125" style="205" bestFit="1" customWidth="1"/>
    <col min="11794" max="11794" width="10.4140625" style="205" bestFit="1" customWidth="1"/>
    <col min="11795" max="12027" width="8.75" style="205"/>
    <col min="12028" max="12028" width="6.08203125" style="205" bestFit="1" customWidth="1"/>
    <col min="12029" max="12029" width="14.33203125" style="205" bestFit="1" customWidth="1"/>
    <col min="12030" max="12030" width="21.75" style="205" bestFit="1" customWidth="1"/>
    <col min="12031" max="12031" width="0" style="205" hidden="1" customWidth="1"/>
    <col min="12032" max="12032" width="16.4140625" style="205" bestFit="1" customWidth="1"/>
    <col min="12033" max="12033" width="14" style="205" bestFit="1" customWidth="1"/>
    <col min="12034" max="12034" width="15.4140625" style="205" bestFit="1" customWidth="1"/>
    <col min="12035" max="12035" width="9.75" style="205" bestFit="1" customWidth="1"/>
    <col min="12036" max="12036" width="8.75" style="205" bestFit="1" customWidth="1"/>
    <col min="12037" max="12037" width="11.4140625" style="205" bestFit="1" customWidth="1"/>
    <col min="12038" max="12038" width="10.4140625" style="205" bestFit="1" customWidth="1"/>
    <col min="12039" max="12039" width="11.4140625" style="205" bestFit="1" customWidth="1"/>
    <col min="12040" max="12040" width="12.4140625" style="205" bestFit="1" customWidth="1"/>
    <col min="12041" max="12041" width="9.08203125" style="205" bestFit="1" customWidth="1"/>
    <col min="12042" max="12042" width="12.4140625" style="205" bestFit="1" customWidth="1"/>
    <col min="12043" max="12043" width="16.4140625" style="205" bestFit="1" customWidth="1"/>
    <col min="12044" max="12044" width="13.75" style="205" bestFit="1" customWidth="1"/>
    <col min="12045" max="12045" width="8.58203125" style="205" bestFit="1" customWidth="1"/>
    <col min="12046" max="12046" width="6.58203125" style="205" bestFit="1" customWidth="1"/>
    <col min="12047" max="12047" width="9.08203125" style="205" customWidth="1"/>
    <col min="12048" max="12048" width="6.08203125" style="205" bestFit="1" customWidth="1"/>
    <col min="12049" max="12049" width="9.33203125" style="205" bestFit="1" customWidth="1"/>
    <col min="12050" max="12050" width="10.4140625" style="205" bestFit="1" customWidth="1"/>
    <col min="12051" max="12283" width="8.75" style="205"/>
    <col min="12284" max="12284" width="6.08203125" style="205" bestFit="1" customWidth="1"/>
    <col min="12285" max="12285" width="14.33203125" style="205" bestFit="1" customWidth="1"/>
    <col min="12286" max="12286" width="21.75" style="205" bestFit="1" customWidth="1"/>
    <col min="12287" max="12287" width="0" style="205" hidden="1" customWidth="1"/>
    <col min="12288" max="12288" width="16.4140625" style="205" bestFit="1" customWidth="1"/>
    <col min="12289" max="12289" width="14" style="205" bestFit="1" customWidth="1"/>
    <col min="12290" max="12290" width="15.4140625" style="205" bestFit="1" customWidth="1"/>
    <col min="12291" max="12291" width="9.75" style="205" bestFit="1" customWidth="1"/>
    <col min="12292" max="12292" width="8.75" style="205" bestFit="1" customWidth="1"/>
    <col min="12293" max="12293" width="11.4140625" style="205" bestFit="1" customWidth="1"/>
    <col min="12294" max="12294" width="10.4140625" style="205" bestFit="1" customWidth="1"/>
    <col min="12295" max="12295" width="11.4140625" style="205" bestFit="1" customWidth="1"/>
    <col min="12296" max="12296" width="12.4140625" style="205" bestFit="1" customWidth="1"/>
    <col min="12297" max="12297" width="9.08203125" style="205" bestFit="1" customWidth="1"/>
    <col min="12298" max="12298" width="12.4140625" style="205" bestFit="1" customWidth="1"/>
    <col min="12299" max="12299" width="16.4140625" style="205" bestFit="1" customWidth="1"/>
    <col min="12300" max="12300" width="13.75" style="205" bestFit="1" customWidth="1"/>
    <col min="12301" max="12301" width="8.58203125" style="205" bestFit="1" customWidth="1"/>
    <col min="12302" max="12302" width="6.58203125" style="205" bestFit="1" customWidth="1"/>
    <col min="12303" max="12303" width="9.08203125" style="205" customWidth="1"/>
    <col min="12304" max="12304" width="6.08203125" style="205" bestFit="1" customWidth="1"/>
    <col min="12305" max="12305" width="9.33203125" style="205" bestFit="1" customWidth="1"/>
    <col min="12306" max="12306" width="10.4140625" style="205" bestFit="1" customWidth="1"/>
    <col min="12307" max="12539" width="8.75" style="205"/>
    <col min="12540" max="12540" width="6.08203125" style="205" bestFit="1" customWidth="1"/>
    <col min="12541" max="12541" width="14.33203125" style="205" bestFit="1" customWidth="1"/>
    <col min="12542" max="12542" width="21.75" style="205" bestFit="1" customWidth="1"/>
    <col min="12543" max="12543" width="0" style="205" hidden="1" customWidth="1"/>
    <col min="12544" max="12544" width="16.4140625" style="205" bestFit="1" customWidth="1"/>
    <col min="12545" max="12545" width="14" style="205" bestFit="1" customWidth="1"/>
    <col min="12546" max="12546" width="15.4140625" style="205" bestFit="1" customWidth="1"/>
    <col min="12547" max="12547" width="9.75" style="205" bestFit="1" customWidth="1"/>
    <col min="12548" max="12548" width="8.75" style="205" bestFit="1" customWidth="1"/>
    <col min="12549" max="12549" width="11.4140625" style="205" bestFit="1" customWidth="1"/>
    <col min="12550" max="12550" width="10.4140625" style="205" bestFit="1" customWidth="1"/>
    <col min="12551" max="12551" width="11.4140625" style="205" bestFit="1" customWidth="1"/>
    <col min="12552" max="12552" width="12.4140625" style="205" bestFit="1" customWidth="1"/>
    <col min="12553" max="12553" width="9.08203125" style="205" bestFit="1" customWidth="1"/>
    <col min="12554" max="12554" width="12.4140625" style="205" bestFit="1" customWidth="1"/>
    <col min="12555" max="12555" width="16.4140625" style="205" bestFit="1" customWidth="1"/>
    <col min="12556" max="12556" width="13.75" style="205" bestFit="1" customWidth="1"/>
    <col min="12557" max="12557" width="8.58203125" style="205" bestFit="1" customWidth="1"/>
    <col min="12558" max="12558" width="6.58203125" style="205" bestFit="1" customWidth="1"/>
    <col min="12559" max="12559" width="9.08203125" style="205" customWidth="1"/>
    <col min="12560" max="12560" width="6.08203125" style="205" bestFit="1" customWidth="1"/>
    <col min="12561" max="12561" width="9.33203125" style="205" bestFit="1" customWidth="1"/>
    <col min="12562" max="12562" width="10.4140625" style="205" bestFit="1" customWidth="1"/>
    <col min="12563" max="12795" width="8.75" style="205"/>
    <col min="12796" max="12796" width="6.08203125" style="205" bestFit="1" customWidth="1"/>
    <col min="12797" max="12797" width="14.33203125" style="205" bestFit="1" customWidth="1"/>
    <col min="12798" max="12798" width="21.75" style="205" bestFit="1" customWidth="1"/>
    <col min="12799" max="12799" width="0" style="205" hidden="1" customWidth="1"/>
    <col min="12800" max="12800" width="16.4140625" style="205" bestFit="1" customWidth="1"/>
    <col min="12801" max="12801" width="14" style="205" bestFit="1" customWidth="1"/>
    <col min="12802" max="12802" width="15.4140625" style="205" bestFit="1" customWidth="1"/>
    <col min="12803" max="12803" width="9.75" style="205" bestFit="1" customWidth="1"/>
    <col min="12804" max="12804" width="8.75" style="205" bestFit="1" customWidth="1"/>
    <col min="12805" max="12805" width="11.4140625" style="205" bestFit="1" customWidth="1"/>
    <col min="12806" max="12806" width="10.4140625" style="205" bestFit="1" customWidth="1"/>
    <col min="12807" max="12807" width="11.4140625" style="205" bestFit="1" customWidth="1"/>
    <col min="12808" max="12808" width="12.4140625" style="205" bestFit="1" customWidth="1"/>
    <col min="12809" max="12809" width="9.08203125" style="205" bestFit="1" customWidth="1"/>
    <col min="12810" max="12810" width="12.4140625" style="205" bestFit="1" customWidth="1"/>
    <col min="12811" max="12811" width="16.4140625" style="205" bestFit="1" customWidth="1"/>
    <col min="12812" max="12812" width="13.75" style="205" bestFit="1" customWidth="1"/>
    <col min="12813" max="12813" width="8.58203125" style="205" bestFit="1" customWidth="1"/>
    <col min="12814" max="12814" width="6.58203125" style="205" bestFit="1" customWidth="1"/>
    <col min="12815" max="12815" width="9.08203125" style="205" customWidth="1"/>
    <col min="12816" max="12816" width="6.08203125" style="205" bestFit="1" customWidth="1"/>
    <col min="12817" max="12817" width="9.33203125" style="205" bestFit="1" customWidth="1"/>
    <col min="12818" max="12818" width="10.4140625" style="205" bestFit="1" customWidth="1"/>
    <col min="12819" max="13051" width="8.75" style="205"/>
    <col min="13052" max="13052" width="6.08203125" style="205" bestFit="1" customWidth="1"/>
    <col min="13053" max="13053" width="14.33203125" style="205" bestFit="1" customWidth="1"/>
    <col min="13054" max="13054" width="21.75" style="205" bestFit="1" customWidth="1"/>
    <col min="13055" max="13055" width="0" style="205" hidden="1" customWidth="1"/>
    <col min="13056" max="13056" width="16.4140625" style="205" bestFit="1" customWidth="1"/>
    <col min="13057" max="13057" width="14" style="205" bestFit="1" customWidth="1"/>
    <col min="13058" max="13058" width="15.4140625" style="205" bestFit="1" customWidth="1"/>
    <col min="13059" max="13059" width="9.75" style="205" bestFit="1" customWidth="1"/>
    <col min="13060" max="13060" width="8.75" style="205" bestFit="1" customWidth="1"/>
    <col min="13061" max="13061" width="11.4140625" style="205" bestFit="1" customWidth="1"/>
    <col min="13062" max="13062" width="10.4140625" style="205" bestFit="1" customWidth="1"/>
    <col min="13063" max="13063" width="11.4140625" style="205" bestFit="1" customWidth="1"/>
    <col min="13064" max="13064" width="12.4140625" style="205" bestFit="1" customWidth="1"/>
    <col min="13065" max="13065" width="9.08203125" style="205" bestFit="1" customWidth="1"/>
    <col min="13066" max="13066" width="12.4140625" style="205" bestFit="1" customWidth="1"/>
    <col min="13067" max="13067" width="16.4140625" style="205" bestFit="1" customWidth="1"/>
    <col min="13068" max="13068" width="13.75" style="205" bestFit="1" customWidth="1"/>
    <col min="13069" max="13069" width="8.58203125" style="205" bestFit="1" customWidth="1"/>
    <col min="13070" max="13070" width="6.58203125" style="205" bestFit="1" customWidth="1"/>
    <col min="13071" max="13071" width="9.08203125" style="205" customWidth="1"/>
    <col min="13072" max="13072" width="6.08203125" style="205" bestFit="1" customWidth="1"/>
    <col min="13073" max="13073" width="9.33203125" style="205" bestFit="1" customWidth="1"/>
    <col min="13074" max="13074" width="10.4140625" style="205" bestFit="1" customWidth="1"/>
    <col min="13075" max="13307" width="8.75" style="205"/>
    <col min="13308" max="13308" width="6.08203125" style="205" bestFit="1" customWidth="1"/>
    <col min="13309" max="13309" width="14.33203125" style="205" bestFit="1" customWidth="1"/>
    <col min="13310" max="13310" width="21.75" style="205" bestFit="1" customWidth="1"/>
    <col min="13311" max="13311" width="0" style="205" hidden="1" customWidth="1"/>
    <col min="13312" max="13312" width="16.4140625" style="205" bestFit="1" customWidth="1"/>
    <col min="13313" max="13313" width="14" style="205" bestFit="1" customWidth="1"/>
    <col min="13314" max="13314" width="15.4140625" style="205" bestFit="1" customWidth="1"/>
    <col min="13315" max="13315" width="9.75" style="205" bestFit="1" customWidth="1"/>
    <col min="13316" max="13316" width="8.75" style="205" bestFit="1" customWidth="1"/>
    <col min="13317" max="13317" width="11.4140625" style="205" bestFit="1" customWidth="1"/>
    <col min="13318" max="13318" width="10.4140625" style="205" bestFit="1" customWidth="1"/>
    <col min="13319" max="13319" width="11.4140625" style="205" bestFit="1" customWidth="1"/>
    <col min="13320" max="13320" width="12.4140625" style="205" bestFit="1" customWidth="1"/>
    <col min="13321" max="13321" width="9.08203125" style="205" bestFit="1" customWidth="1"/>
    <col min="13322" max="13322" width="12.4140625" style="205" bestFit="1" customWidth="1"/>
    <col min="13323" max="13323" width="16.4140625" style="205" bestFit="1" customWidth="1"/>
    <col min="13324" max="13324" width="13.75" style="205" bestFit="1" customWidth="1"/>
    <col min="13325" max="13325" width="8.58203125" style="205" bestFit="1" customWidth="1"/>
    <col min="13326" max="13326" width="6.58203125" style="205" bestFit="1" customWidth="1"/>
    <col min="13327" max="13327" width="9.08203125" style="205" customWidth="1"/>
    <col min="13328" max="13328" width="6.08203125" style="205" bestFit="1" customWidth="1"/>
    <col min="13329" max="13329" width="9.33203125" style="205" bestFit="1" customWidth="1"/>
    <col min="13330" max="13330" width="10.4140625" style="205" bestFit="1" customWidth="1"/>
    <col min="13331" max="13563" width="8.75" style="205"/>
    <col min="13564" max="13564" width="6.08203125" style="205" bestFit="1" customWidth="1"/>
    <col min="13565" max="13565" width="14.33203125" style="205" bestFit="1" customWidth="1"/>
    <col min="13566" max="13566" width="21.75" style="205" bestFit="1" customWidth="1"/>
    <col min="13567" max="13567" width="0" style="205" hidden="1" customWidth="1"/>
    <col min="13568" max="13568" width="16.4140625" style="205" bestFit="1" customWidth="1"/>
    <col min="13569" max="13569" width="14" style="205" bestFit="1" customWidth="1"/>
    <col min="13570" max="13570" width="15.4140625" style="205" bestFit="1" customWidth="1"/>
    <col min="13571" max="13571" width="9.75" style="205" bestFit="1" customWidth="1"/>
    <col min="13572" max="13572" width="8.75" style="205" bestFit="1" customWidth="1"/>
    <col min="13573" max="13573" width="11.4140625" style="205" bestFit="1" customWidth="1"/>
    <col min="13574" max="13574" width="10.4140625" style="205" bestFit="1" customWidth="1"/>
    <col min="13575" max="13575" width="11.4140625" style="205" bestFit="1" customWidth="1"/>
    <col min="13576" max="13576" width="12.4140625" style="205" bestFit="1" customWidth="1"/>
    <col min="13577" max="13577" width="9.08203125" style="205" bestFit="1" customWidth="1"/>
    <col min="13578" max="13578" width="12.4140625" style="205" bestFit="1" customWidth="1"/>
    <col min="13579" max="13579" width="16.4140625" style="205" bestFit="1" customWidth="1"/>
    <col min="13580" max="13580" width="13.75" style="205" bestFit="1" customWidth="1"/>
    <col min="13581" max="13581" width="8.58203125" style="205" bestFit="1" customWidth="1"/>
    <col min="13582" max="13582" width="6.58203125" style="205" bestFit="1" customWidth="1"/>
    <col min="13583" max="13583" width="9.08203125" style="205" customWidth="1"/>
    <col min="13584" max="13584" width="6.08203125" style="205" bestFit="1" customWidth="1"/>
    <col min="13585" max="13585" width="9.33203125" style="205" bestFit="1" customWidth="1"/>
    <col min="13586" max="13586" width="10.4140625" style="205" bestFit="1" customWidth="1"/>
    <col min="13587" max="13819" width="8.75" style="205"/>
    <col min="13820" max="13820" width="6.08203125" style="205" bestFit="1" customWidth="1"/>
    <col min="13821" max="13821" width="14.33203125" style="205" bestFit="1" customWidth="1"/>
    <col min="13822" max="13822" width="21.75" style="205" bestFit="1" customWidth="1"/>
    <col min="13823" max="13823" width="0" style="205" hidden="1" customWidth="1"/>
    <col min="13824" max="13824" width="16.4140625" style="205" bestFit="1" customWidth="1"/>
    <col min="13825" max="13825" width="14" style="205" bestFit="1" customWidth="1"/>
    <col min="13826" max="13826" width="15.4140625" style="205" bestFit="1" customWidth="1"/>
    <col min="13827" max="13827" width="9.75" style="205" bestFit="1" customWidth="1"/>
    <col min="13828" max="13828" width="8.75" style="205" bestFit="1" customWidth="1"/>
    <col min="13829" max="13829" width="11.4140625" style="205" bestFit="1" customWidth="1"/>
    <col min="13830" max="13830" width="10.4140625" style="205" bestFit="1" customWidth="1"/>
    <col min="13831" max="13831" width="11.4140625" style="205" bestFit="1" customWidth="1"/>
    <col min="13832" max="13832" width="12.4140625" style="205" bestFit="1" customWidth="1"/>
    <col min="13833" max="13833" width="9.08203125" style="205" bestFit="1" customWidth="1"/>
    <col min="13834" max="13834" width="12.4140625" style="205" bestFit="1" customWidth="1"/>
    <col min="13835" max="13835" width="16.4140625" style="205" bestFit="1" customWidth="1"/>
    <col min="13836" max="13836" width="13.75" style="205" bestFit="1" customWidth="1"/>
    <col min="13837" max="13837" width="8.58203125" style="205" bestFit="1" customWidth="1"/>
    <col min="13838" max="13838" width="6.58203125" style="205" bestFit="1" customWidth="1"/>
    <col min="13839" max="13839" width="9.08203125" style="205" customWidth="1"/>
    <col min="13840" max="13840" width="6.08203125" style="205" bestFit="1" customWidth="1"/>
    <col min="13841" max="13841" width="9.33203125" style="205" bestFit="1" customWidth="1"/>
    <col min="13842" max="13842" width="10.4140625" style="205" bestFit="1" customWidth="1"/>
    <col min="13843" max="14075" width="8.75" style="205"/>
    <col min="14076" max="14076" width="6.08203125" style="205" bestFit="1" customWidth="1"/>
    <col min="14077" max="14077" width="14.33203125" style="205" bestFit="1" customWidth="1"/>
    <col min="14078" max="14078" width="21.75" style="205" bestFit="1" customWidth="1"/>
    <col min="14079" max="14079" width="0" style="205" hidden="1" customWidth="1"/>
    <col min="14080" max="14080" width="16.4140625" style="205" bestFit="1" customWidth="1"/>
    <col min="14081" max="14081" width="14" style="205" bestFit="1" customWidth="1"/>
    <col min="14082" max="14082" width="15.4140625" style="205" bestFit="1" customWidth="1"/>
    <col min="14083" max="14083" width="9.75" style="205" bestFit="1" customWidth="1"/>
    <col min="14084" max="14084" width="8.75" style="205" bestFit="1" customWidth="1"/>
    <col min="14085" max="14085" width="11.4140625" style="205" bestFit="1" customWidth="1"/>
    <col min="14086" max="14086" width="10.4140625" style="205" bestFit="1" customWidth="1"/>
    <col min="14087" max="14087" width="11.4140625" style="205" bestFit="1" customWidth="1"/>
    <col min="14088" max="14088" width="12.4140625" style="205" bestFit="1" customWidth="1"/>
    <col min="14089" max="14089" width="9.08203125" style="205" bestFit="1" customWidth="1"/>
    <col min="14090" max="14090" width="12.4140625" style="205" bestFit="1" customWidth="1"/>
    <col min="14091" max="14091" width="16.4140625" style="205" bestFit="1" customWidth="1"/>
    <col min="14092" max="14092" width="13.75" style="205" bestFit="1" customWidth="1"/>
    <col min="14093" max="14093" width="8.58203125" style="205" bestFit="1" customWidth="1"/>
    <col min="14094" max="14094" width="6.58203125" style="205" bestFit="1" customWidth="1"/>
    <col min="14095" max="14095" width="9.08203125" style="205" customWidth="1"/>
    <col min="14096" max="14096" width="6.08203125" style="205" bestFit="1" customWidth="1"/>
    <col min="14097" max="14097" width="9.33203125" style="205" bestFit="1" customWidth="1"/>
    <col min="14098" max="14098" width="10.4140625" style="205" bestFit="1" customWidth="1"/>
    <col min="14099" max="14331" width="8.75" style="205"/>
    <col min="14332" max="14332" width="6.08203125" style="205" bestFit="1" customWidth="1"/>
    <col min="14333" max="14333" width="14.33203125" style="205" bestFit="1" customWidth="1"/>
    <col min="14334" max="14334" width="21.75" style="205" bestFit="1" customWidth="1"/>
    <col min="14335" max="14335" width="0" style="205" hidden="1" customWidth="1"/>
    <col min="14336" max="14336" width="16.4140625" style="205" bestFit="1" customWidth="1"/>
    <col min="14337" max="14337" width="14" style="205" bestFit="1" customWidth="1"/>
    <col min="14338" max="14338" width="15.4140625" style="205" bestFit="1" customWidth="1"/>
    <col min="14339" max="14339" width="9.75" style="205" bestFit="1" customWidth="1"/>
    <col min="14340" max="14340" width="8.75" style="205" bestFit="1" customWidth="1"/>
    <col min="14341" max="14341" width="11.4140625" style="205" bestFit="1" customWidth="1"/>
    <col min="14342" max="14342" width="10.4140625" style="205" bestFit="1" customWidth="1"/>
    <col min="14343" max="14343" width="11.4140625" style="205" bestFit="1" customWidth="1"/>
    <col min="14344" max="14344" width="12.4140625" style="205" bestFit="1" customWidth="1"/>
    <col min="14345" max="14345" width="9.08203125" style="205" bestFit="1" customWidth="1"/>
    <col min="14346" max="14346" width="12.4140625" style="205" bestFit="1" customWidth="1"/>
    <col min="14347" max="14347" width="16.4140625" style="205" bestFit="1" customWidth="1"/>
    <col min="14348" max="14348" width="13.75" style="205" bestFit="1" customWidth="1"/>
    <col min="14349" max="14349" width="8.58203125" style="205" bestFit="1" customWidth="1"/>
    <col min="14350" max="14350" width="6.58203125" style="205" bestFit="1" customWidth="1"/>
    <col min="14351" max="14351" width="9.08203125" style="205" customWidth="1"/>
    <col min="14352" max="14352" width="6.08203125" style="205" bestFit="1" customWidth="1"/>
    <col min="14353" max="14353" width="9.33203125" style="205" bestFit="1" customWidth="1"/>
    <col min="14354" max="14354" width="10.4140625" style="205" bestFit="1" customWidth="1"/>
    <col min="14355" max="14587" width="8.75" style="205"/>
    <col min="14588" max="14588" width="6.08203125" style="205" bestFit="1" customWidth="1"/>
    <col min="14589" max="14589" width="14.33203125" style="205" bestFit="1" customWidth="1"/>
    <col min="14590" max="14590" width="21.75" style="205" bestFit="1" customWidth="1"/>
    <col min="14591" max="14591" width="0" style="205" hidden="1" customWidth="1"/>
    <col min="14592" max="14592" width="16.4140625" style="205" bestFit="1" customWidth="1"/>
    <col min="14593" max="14593" width="14" style="205" bestFit="1" customWidth="1"/>
    <col min="14594" max="14594" width="15.4140625" style="205" bestFit="1" customWidth="1"/>
    <col min="14595" max="14595" width="9.75" style="205" bestFit="1" customWidth="1"/>
    <col min="14596" max="14596" width="8.75" style="205" bestFit="1" customWidth="1"/>
    <col min="14597" max="14597" width="11.4140625" style="205" bestFit="1" customWidth="1"/>
    <col min="14598" max="14598" width="10.4140625" style="205" bestFit="1" customWidth="1"/>
    <col min="14599" max="14599" width="11.4140625" style="205" bestFit="1" customWidth="1"/>
    <col min="14600" max="14600" width="12.4140625" style="205" bestFit="1" customWidth="1"/>
    <col min="14601" max="14601" width="9.08203125" style="205" bestFit="1" customWidth="1"/>
    <col min="14602" max="14602" width="12.4140625" style="205" bestFit="1" customWidth="1"/>
    <col min="14603" max="14603" width="16.4140625" style="205" bestFit="1" customWidth="1"/>
    <col min="14604" max="14604" width="13.75" style="205" bestFit="1" customWidth="1"/>
    <col min="14605" max="14605" width="8.58203125" style="205" bestFit="1" customWidth="1"/>
    <col min="14606" max="14606" width="6.58203125" style="205" bestFit="1" customWidth="1"/>
    <col min="14607" max="14607" width="9.08203125" style="205" customWidth="1"/>
    <col min="14608" max="14608" width="6.08203125" style="205" bestFit="1" customWidth="1"/>
    <col min="14609" max="14609" width="9.33203125" style="205" bestFit="1" customWidth="1"/>
    <col min="14610" max="14610" width="10.4140625" style="205" bestFit="1" customWidth="1"/>
    <col min="14611" max="14843" width="8.75" style="205"/>
    <col min="14844" max="14844" width="6.08203125" style="205" bestFit="1" customWidth="1"/>
    <col min="14845" max="14845" width="14.33203125" style="205" bestFit="1" customWidth="1"/>
    <col min="14846" max="14846" width="21.75" style="205" bestFit="1" customWidth="1"/>
    <col min="14847" max="14847" width="0" style="205" hidden="1" customWidth="1"/>
    <col min="14848" max="14848" width="16.4140625" style="205" bestFit="1" customWidth="1"/>
    <col min="14849" max="14849" width="14" style="205" bestFit="1" customWidth="1"/>
    <col min="14850" max="14850" width="15.4140625" style="205" bestFit="1" customWidth="1"/>
    <col min="14851" max="14851" width="9.75" style="205" bestFit="1" customWidth="1"/>
    <col min="14852" max="14852" width="8.75" style="205" bestFit="1" customWidth="1"/>
    <col min="14853" max="14853" width="11.4140625" style="205" bestFit="1" customWidth="1"/>
    <col min="14854" max="14854" width="10.4140625" style="205" bestFit="1" customWidth="1"/>
    <col min="14855" max="14855" width="11.4140625" style="205" bestFit="1" customWidth="1"/>
    <col min="14856" max="14856" width="12.4140625" style="205" bestFit="1" customWidth="1"/>
    <col min="14857" max="14857" width="9.08203125" style="205" bestFit="1" customWidth="1"/>
    <col min="14858" max="14858" width="12.4140625" style="205" bestFit="1" customWidth="1"/>
    <col min="14859" max="14859" width="16.4140625" style="205" bestFit="1" customWidth="1"/>
    <col min="14860" max="14860" width="13.75" style="205" bestFit="1" customWidth="1"/>
    <col min="14861" max="14861" width="8.58203125" style="205" bestFit="1" customWidth="1"/>
    <col min="14862" max="14862" width="6.58203125" style="205" bestFit="1" customWidth="1"/>
    <col min="14863" max="14863" width="9.08203125" style="205" customWidth="1"/>
    <col min="14864" max="14864" width="6.08203125" style="205" bestFit="1" customWidth="1"/>
    <col min="14865" max="14865" width="9.33203125" style="205" bestFit="1" customWidth="1"/>
    <col min="14866" max="14866" width="10.4140625" style="205" bestFit="1" customWidth="1"/>
    <col min="14867" max="15099" width="8.75" style="205"/>
    <col min="15100" max="15100" width="6.08203125" style="205" bestFit="1" customWidth="1"/>
    <col min="15101" max="15101" width="14.33203125" style="205" bestFit="1" customWidth="1"/>
    <col min="15102" max="15102" width="21.75" style="205" bestFit="1" customWidth="1"/>
    <col min="15103" max="15103" width="0" style="205" hidden="1" customWidth="1"/>
    <col min="15104" max="15104" width="16.4140625" style="205" bestFit="1" customWidth="1"/>
    <col min="15105" max="15105" width="14" style="205" bestFit="1" customWidth="1"/>
    <col min="15106" max="15106" width="15.4140625" style="205" bestFit="1" customWidth="1"/>
    <col min="15107" max="15107" width="9.75" style="205" bestFit="1" customWidth="1"/>
    <col min="15108" max="15108" width="8.75" style="205" bestFit="1" customWidth="1"/>
    <col min="15109" max="15109" width="11.4140625" style="205" bestFit="1" customWidth="1"/>
    <col min="15110" max="15110" width="10.4140625" style="205" bestFit="1" customWidth="1"/>
    <col min="15111" max="15111" width="11.4140625" style="205" bestFit="1" customWidth="1"/>
    <col min="15112" max="15112" width="12.4140625" style="205" bestFit="1" customWidth="1"/>
    <col min="15113" max="15113" width="9.08203125" style="205" bestFit="1" customWidth="1"/>
    <col min="15114" max="15114" width="12.4140625" style="205" bestFit="1" customWidth="1"/>
    <col min="15115" max="15115" width="16.4140625" style="205" bestFit="1" customWidth="1"/>
    <col min="15116" max="15116" width="13.75" style="205" bestFit="1" customWidth="1"/>
    <col min="15117" max="15117" width="8.58203125" style="205" bestFit="1" customWidth="1"/>
    <col min="15118" max="15118" width="6.58203125" style="205" bestFit="1" customWidth="1"/>
    <col min="15119" max="15119" width="9.08203125" style="205" customWidth="1"/>
    <col min="15120" max="15120" width="6.08203125" style="205" bestFit="1" customWidth="1"/>
    <col min="15121" max="15121" width="9.33203125" style="205" bestFit="1" customWidth="1"/>
    <col min="15122" max="15122" width="10.4140625" style="205" bestFit="1" customWidth="1"/>
    <col min="15123" max="15355" width="8.75" style="205"/>
    <col min="15356" max="15356" width="6.08203125" style="205" bestFit="1" customWidth="1"/>
    <col min="15357" max="15357" width="14.33203125" style="205" bestFit="1" customWidth="1"/>
    <col min="15358" max="15358" width="21.75" style="205" bestFit="1" customWidth="1"/>
    <col min="15359" max="15359" width="0" style="205" hidden="1" customWidth="1"/>
    <col min="15360" max="15360" width="16.4140625" style="205" bestFit="1" customWidth="1"/>
    <col min="15361" max="15361" width="14" style="205" bestFit="1" customWidth="1"/>
    <col min="15362" max="15362" width="15.4140625" style="205" bestFit="1" customWidth="1"/>
    <col min="15363" max="15363" width="9.75" style="205" bestFit="1" customWidth="1"/>
    <col min="15364" max="15364" width="8.75" style="205" bestFit="1" customWidth="1"/>
    <col min="15365" max="15365" width="11.4140625" style="205" bestFit="1" customWidth="1"/>
    <col min="15366" max="15366" width="10.4140625" style="205" bestFit="1" customWidth="1"/>
    <col min="15367" max="15367" width="11.4140625" style="205" bestFit="1" customWidth="1"/>
    <col min="15368" max="15368" width="12.4140625" style="205" bestFit="1" customWidth="1"/>
    <col min="15369" max="15369" width="9.08203125" style="205" bestFit="1" customWidth="1"/>
    <col min="15370" max="15370" width="12.4140625" style="205" bestFit="1" customWidth="1"/>
    <col min="15371" max="15371" width="16.4140625" style="205" bestFit="1" customWidth="1"/>
    <col min="15372" max="15372" width="13.75" style="205" bestFit="1" customWidth="1"/>
    <col min="15373" max="15373" width="8.58203125" style="205" bestFit="1" customWidth="1"/>
    <col min="15374" max="15374" width="6.58203125" style="205" bestFit="1" customWidth="1"/>
    <col min="15375" max="15375" width="9.08203125" style="205" customWidth="1"/>
    <col min="15376" max="15376" width="6.08203125" style="205" bestFit="1" customWidth="1"/>
    <col min="15377" max="15377" width="9.33203125" style="205" bestFit="1" customWidth="1"/>
    <col min="15378" max="15378" width="10.4140625" style="205" bestFit="1" customWidth="1"/>
    <col min="15379" max="15611" width="8.75" style="205"/>
    <col min="15612" max="15612" width="6.08203125" style="205" bestFit="1" customWidth="1"/>
    <col min="15613" max="15613" width="14.33203125" style="205" bestFit="1" customWidth="1"/>
    <col min="15614" max="15614" width="21.75" style="205" bestFit="1" customWidth="1"/>
    <col min="15615" max="15615" width="0" style="205" hidden="1" customWidth="1"/>
    <col min="15616" max="15616" width="16.4140625" style="205" bestFit="1" customWidth="1"/>
    <col min="15617" max="15617" width="14" style="205" bestFit="1" customWidth="1"/>
    <col min="15618" max="15618" width="15.4140625" style="205" bestFit="1" customWidth="1"/>
    <col min="15619" max="15619" width="9.75" style="205" bestFit="1" customWidth="1"/>
    <col min="15620" max="15620" width="8.75" style="205" bestFit="1" customWidth="1"/>
    <col min="15621" max="15621" width="11.4140625" style="205" bestFit="1" customWidth="1"/>
    <col min="15622" max="15622" width="10.4140625" style="205" bestFit="1" customWidth="1"/>
    <col min="15623" max="15623" width="11.4140625" style="205" bestFit="1" customWidth="1"/>
    <col min="15624" max="15624" width="12.4140625" style="205" bestFit="1" customWidth="1"/>
    <col min="15625" max="15625" width="9.08203125" style="205" bestFit="1" customWidth="1"/>
    <col min="15626" max="15626" width="12.4140625" style="205" bestFit="1" customWidth="1"/>
    <col min="15627" max="15627" width="16.4140625" style="205" bestFit="1" customWidth="1"/>
    <col min="15628" max="15628" width="13.75" style="205" bestFit="1" customWidth="1"/>
    <col min="15629" max="15629" width="8.58203125" style="205" bestFit="1" customWidth="1"/>
    <col min="15630" max="15630" width="6.58203125" style="205" bestFit="1" customWidth="1"/>
    <col min="15631" max="15631" width="9.08203125" style="205" customWidth="1"/>
    <col min="15632" max="15632" width="6.08203125" style="205" bestFit="1" customWidth="1"/>
    <col min="15633" max="15633" width="9.33203125" style="205" bestFit="1" customWidth="1"/>
    <col min="15634" max="15634" width="10.4140625" style="205" bestFit="1" customWidth="1"/>
    <col min="15635" max="15867" width="8.75" style="205"/>
    <col min="15868" max="15868" width="6.08203125" style="205" bestFit="1" customWidth="1"/>
    <col min="15869" max="15869" width="14.33203125" style="205" bestFit="1" customWidth="1"/>
    <col min="15870" max="15870" width="21.75" style="205" bestFit="1" customWidth="1"/>
    <col min="15871" max="15871" width="0" style="205" hidden="1" customWidth="1"/>
    <col min="15872" max="15872" width="16.4140625" style="205" bestFit="1" customWidth="1"/>
    <col min="15873" max="15873" width="14" style="205" bestFit="1" customWidth="1"/>
    <col min="15874" max="15874" width="15.4140625" style="205" bestFit="1" customWidth="1"/>
    <col min="15875" max="15875" width="9.75" style="205" bestFit="1" customWidth="1"/>
    <col min="15876" max="15876" width="8.75" style="205" bestFit="1" customWidth="1"/>
    <col min="15877" max="15877" width="11.4140625" style="205" bestFit="1" customWidth="1"/>
    <col min="15878" max="15878" width="10.4140625" style="205" bestFit="1" customWidth="1"/>
    <col min="15879" max="15879" width="11.4140625" style="205" bestFit="1" customWidth="1"/>
    <col min="15880" max="15880" width="12.4140625" style="205" bestFit="1" customWidth="1"/>
    <col min="15881" max="15881" width="9.08203125" style="205" bestFit="1" customWidth="1"/>
    <col min="15882" max="15882" width="12.4140625" style="205" bestFit="1" customWidth="1"/>
    <col min="15883" max="15883" width="16.4140625" style="205" bestFit="1" customWidth="1"/>
    <col min="15884" max="15884" width="13.75" style="205" bestFit="1" customWidth="1"/>
    <col min="15885" max="15885" width="8.58203125" style="205" bestFit="1" customWidth="1"/>
    <col min="15886" max="15886" width="6.58203125" style="205" bestFit="1" customWidth="1"/>
    <col min="15887" max="15887" width="9.08203125" style="205" customWidth="1"/>
    <col min="15888" max="15888" width="6.08203125" style="205" bestFit="1" customWidth="1"/>
    <col min="15889" max="15889" width="9.33203125" style="205" bestFit="1" customWidth="1"/>
    <col min="15890" max="15890" width="10.4140625" style="205" bestFit="1" customWidth="1"/>
    <col min="15891" max="16123" width="8.75" style="205"/>
    <col min="16124" max="16124" width="6.08203125" style="205" bestFit="1" customWidth="1"/>
    <col min="16125" max="16125" width="14.33203125" style="205" bestFit="1" customWidth="1"/>
    <col min="16126" max="16126" width="21.75" style="205" bestFit="1" customWidth="1"/>
    <col min="16127" max="16127" width="0" style="205" hidden="1" customWidth="1"/>
    <col min="16128" max="16128" width="16.4140625" style="205" bestFit="1" customWidth="1"/>
    <col min="16129" max="16129" width="14" style="205" bestFit="1" customWidth="1"/>
    <col min="16130" max="16130" width="15.4140625" style="205" bestFit="1" customWidth="1"/>
    <col min="16131" max="16131" width="9.75" style="205" bestFit="1" customWidth="1"/>
    <col min="16132" max="16132" width="8.75" style="205" bestFit="1" customWidth="1"/>
    <col min="16133" max="16133" width="11.4140625" style="205" bestFit="1" customWidth="1"/>
    <col min="16134" max="16134" width="10.4140625" style="205" bestFit="1" customWidth="1"/>
    <col min="16135" max="16135" width="11.4140625" style="205" bestFit="1" customWidth="1"/>
    <col min="16136" max="16136" width="12.4140625" style="205" bestFit="1" customWidth="1"/>
    <col min="16137" max="16137" width="9.08203125" style="205" bestFit="1" customWidth="1"/>
    <col min="16138" max="16138" width="12.4140625" style="205" bestFit="1" customWidth="1"/>
    <col min="16139" max="16139" width="16.4140625" style="205" bestFit="1" customWidth="1"/>
    <col min="16140" max="16140" width="13.75" style="205" bestFit="1" customWidth="1"/>
    <col min="16141" max="16141" width="8.58203125" style="205" bestFit="1" customWidth="1"/>
    <col min="16142" max="16142" width="6.58203125" style="205" bestFit="1" customWidth="1"/>
    <col min="16143" max="16143" width="9.08203125" style="205" customWidth="1"/>
    <col min="16144" max="16144" width="6.08203125" style="205" bestFit="1" customWidth="1"/>
    <col min="16145" max="16145" width="9.33203125" style="205" bestFit="1" customWidth="1"/>
    <col min="16146" max="16146" width="10.4140625" style="205" bestFit="1" customWidth="1"/>
    <col min="16147" max="16384" width="8.75" style="205"/>
  </cols>
  <sheetData>
    <row r="1" spans="1:28" x14ac:dyDescent="0.25">
      <c r="A1" s="206">
        <v>1</v>
      </c>
      <c r="B1" s="206">
        <f>+A1+1</f>
        <v>2</v>
      </c>
      <c r="C1" s="206">
        <f t="shared" ref="C1:Z1" si="0">+B1+1</f>
        <v>3</v>
      </c>
      <c r="D1" s="341">
        <f t="shared" si="0"/>
        <v>4</v>
      </c>
      <c r="E1" s="341">
        <f t="shared" si="0"/>
        <v>5</v>
      </c>
      <c r="F1" s="341">
        <f t="shared" si="0"/>
        <v>6</v>
      </c>
      <c r="G1" s="341">
        <f t="shared" si="0"/>
        <v>7</v>
      </c>
      <c r="H1" s="206">
        <f t="shared" si="0"/>
        <v>8</v>
      </c>
      <c r="I1" s="206">
        <f t="shared" si="0"/>
        <v>9</v>
      </c>
      <c r="J1" s="206">
        <f t="shared" si="0"/>
        <v>10</v>
      </c>
      <c r="K1" s="206">
        <f t="shared" si="0"/>
        <v>11</v>
      </c>
      <c r="L1" s="206">
        <f t="shared" si="0"/>
        <v>12</v>
      </c>
      <c r="M1" s="206">
        <f t="shared" si="0"/>
        <v>13</v>
      </c>
      <c r="N1" s="206">
        <f t="shared" si="0"/>
        <v>14</v>
      </c>
      <c r="O1" s="370">
        <f t="shared" si="0"/>
        <v>15</v>
      </c>
      <c r="P1" s="206">
        <f t="shared" si="0"/>
        <v>16</v>
      </c>
      <c r="Q1" s="206">
        <f t="shared" si="0"/>
        <v>17</v>
      </c>
      <c r="R1" s="206">
        <f t="shared" si="0"/>
        <v>18</v>
      </c>
      <c r="S1" s="206">
        <f t="shared" si="0"/>
        <v>19</v>
      </c>
      <c r="T1" s="206">
        <f t="shared" si="0"/>
        <v>20</v>
      </c>
      <c r="U1" s="206">
        <f t="shared" si="0"/>
        <v>21</v>
      </c>
      <c r="V1" s="206">
        <f t="shared" si="0"/>
        <v>22</v>
      </c>
      <c r="W1" s="206">
        <f t="shared" si="0"/>
        <v>23</v>
      </c>
      <c r="X1" s="341">
        <f t="shared" si="0"/>
        <v>24</v>
      </c>
      <c r="Y1" s="341">
        <f t="shared" si="0"/>
        <v>25</v>
      </c>
      <c r="Z1" s="341">
        <f t="shared" si="0"/>
        <v>26</v>
      </c>
    </row>
    <row r="2" spans="1:28" ht="52" x14ac:dyDescent="0.3">
      <c r="A2" s="197" t="s">
        <v>66</v>
      </c>
      <c r="B2" s="197" t="s">
        <v>67</v>
      </c>
      <c r="C2" s="197" t="s">
        <v>68</v>
      </c>
      <c r="D2" s="342" t="s">
        <v>69</v>
      </c>
      <c r="E2" s="342" t="s">
        <v>70</v>
      </c>
      <c r="F2" s="342" t="s">
        <v>71</v>
      </c>
      <c r="G2" s="342" t="s">
        <v>82</v>
      </c>
      <c r="H2" s="203" t="s">
        <v>88</v>
      </c>
      <c r="I2" s="203" t="s">
        <v>89</v>
      </c>
      <c r="J2" s="198" t="s">
        <v>72</v>
      </c>
      <c r="K2" s="199" t="s">
        <v>73</v>
      </c>
      <c r="L2" s="199" t="s">
        <v>74</v>
      </c>
      <c r="M2" s="199" t="s">
        <v>75</v>
      </c>
      <c r="N2" s="198" t="s">
        <v>76</v>
      </c>
      <c r="O2" s="371" t="s">
        <v>77</v>
      </c>
      <c r="P2" s="197" t="s">
        <v>78</v>
      </c>
      <c r="Q2" s="200" t="s">
        <v>31</v>
      </c>
      <c r="R2" s="201" t="s">
        <v>86</v>
      </c>
      <c r="S2" s="201" t="s">
        <v>83</v>
      </c>
      <c r="T2" s="202" t="s">
        <v>84</v>
      </c>
      <c r="U2" s="202" t="s">
        <v>754</v>
      </c>
      <c r="V2" s="202" t="s">
        <v>85</v>
      </c>
      <c r="W2" s="202" t="s">
        <v>87</v>
      </c>
      <c r="X2" s="346" t="s">
        <v>79</v>
      </c>
      <c r="Y2" s="346" t="s">
        <v>80</v>
      </c>
      <c r="Z2" s="346" t="s">
        <v>81</v>
      </c>
    </row>
    <row r="3" spans="1:28" x14ac:dyDescent="0.25">
      <c r="A3" s="262" t="s">
        <v>34</v>
      </c>
      <c r="B3" s="263" t="s">
        <v>90</v>
      </c>
      <c r="C3" s="264" t="s">
        <v>91</v>
      </c>
      <c r="D3" s="344">
        <v>1232202510</v>
      </c>
      <c r="E3" s="344">
        <v>31247520</v>
      </c>
      <c r="F3" s="344">
        <v>1200954990</v>
      </c>
      <c r="G3" s="343">
        <v>159684.66</v>
      </c>
      <c r="H3" s="265">
        <v>27</v>
      </c>
      <c r="I3" s="266">
        <v>0</v>
      </c>
      <c r="J3" s="264">
        <v>27</v>
      </c>
      <c r="K3" s="267">
        <v>0</v>
      </c>
      <c r="L3" s="268">
        <v>0</v>
      </c>
      <c r="M3" s="267">
        <v>0.17799999999999999</v>
      </c>
      <c r="N3" s="264">
        <v>0</v>
      </c>
      <c r="O3" s="356">
        <v>15.164</v>
      </c>
      <c r="P3" s="267">
        <v>0.13300000000000001</v>
      </c>
      <c r="Q3" s="269">
        <v>42.475000000000001</v>
      </c>
      <c r="R3" s="266">
        <v>10.079000000000001</v>
      </c>
      <c r="S3" s="268">
        <v>0</v>
      </c>
      <c r="T3" s="268">
        <v>0</v>
      </c>
      <c r="U3" s="268">
        <v>0</v>
      </c>
      <c r="V3" s="268">
        <v>0</v>
      </c>
      <c r="W3" s="266">
        <v>52.554000000000002</v>
      </c>
      <c r="X3" s="344">
        <v>58.73</v>
      </c>
      <c r="Y3" s="344">
        <v>72816017.049999997</v>
      </c>
      <c r="Z3" s="344">
        <v>38864454.279999994</v>
      </c>
      <c r="AB3" s="205" t="str">
        <f>CONCATENATE("UPDATE mill_levy SET cert_per_hb201418 = ",H3,",cert_hb201418_tax_credit = ",I3,",certified_catbuy_mill_levy = ",K3,",cert_tot_prog_reserve_fund = ",L3,",certified_hh_mill_levy = ",M3,",certified_override_mill_levy = ",O3,",certified_abate_mill_levy = ",P3,",certified_bond_mill_levy = ",R3,",certified_transport_mill_levy = ",S3,",certified_sbt_mill_levy = ",T3,",cert_supp_cap_construction = ",U3,",certified_other_mill_levy = ",V3,",full_funding_mill_levy = ",X3,",state_funding = ",Z3," WHERE district_number = '",A3,"' AND fiscal_year = 20222023;")</f>
        <v>UPDATE mill_levy SET cert_per_hb201418 = 27,cert_hb201418_tax_credit = 0,certified_catbuy_mill_levy = 0,cert_tot_prog_reserve_fund = 0,certified_hh_mill_levy = 0.178,certified_override_mill_levy = 15.164,certified_abate_mill_levy = 0.133,certified_bond_mill_levy = 10.079,certified_transport_mill_levy = 0,certified_sbt_mill_levy = 0,cert_supp_cap_construction = 0,certified_other_mill_levy = 0,full_funding_mill_levy = 58.73,state_funding = 38864454.28 WHERE district_number = '0010' AND fiscal_year = 20222023;</v>
      </c>
    </row>
    <row r="4" spans="1:28" x14ac:dyDescent="0.25">
      <c r="A4" s="262" t="s">
        <v>92</v>
      </c>
      <c r="B4" s="263" t="s">
        <v>90</v>
      </c>
      <c r="C4" s="264" t="s">
        <v>93</v>
      </c>
      <c r="D4" s="344">
        <v>4751144900</v>
      </c>
      <c r="E4" s="344">
        <v>506863436</v>
      </c>
      <c r="F4" s="344">
        <v>4244281464</v>
      </c>
      <c r="G4" s="343">
        <v>0</v>
      </c>
      <c r="H4" s="265">
        <v>27</v>
      </c>
      <c r="I4" s="266">
        <v>0</v>
      </c>
      <c r="J4" s="264">
        <v>27</v>
      </c>
      <c r="K4" s="267">
        <v>0</v>
      </c>
      <c r="L4" s="268">
        <v>0</v>
      </c>
      <c r="M4" s="267">
        <v>0</v>
      </c>
      <c r="N4" s="264">
        <v>0</v>
      </c>
      <c r="O4" s="356">
        <v>15.930999999999999</v>
      </c>
      <c r="P4" s="267">
        <v>0.16400000000000001</v>
      </c>
      <c r="Q4" s="269">
        <v>43.094999999999999</v>
      </c>
      <c r="R4" s="266">
        <v>18.664999999999999</v>
      </c>
      <c r="S4" s="268">
        <v>0</v>
      </c>
      <c r="T4" s="268">
        <v>0</v>
      </c>
      <c r="U4" s="268">
        <v>0</v>
      </c>
      <c r="V4" s="268">
        <v>0</v>
      </c>
      <c r="W4" s="266">
        <v>61.76</v>
      </c>
      <c r="X4" s="344">
        <v>94.313000000000002</v>
      </c>
      <c r="Y4" s="344">
        <v>374148236.75977516</v>
      </c>
      <c r="Z4" s="344">
        <v>253832418.12177518</v>
      </c>
      <c r="AB4" s="205" t="str">
        <f t="shared" ref="AB4:AB67" si="1">CONCATENATE("UPDATE mill_levy SET cert_per_hb201418 = ",H4,",cert_hb201418_tax_credit = ",I4,",certified_catbuy_mill_levy = ",K4,",cert_tot_prog_reserve_fund = ",L4,",certified_hh_mill_levy = ",M4,",certified_override_mill_levy = ",O4,",certified_abate_mill_levy = ",P4,",certified_bond_mill_levy = ",R4,",certified_transport_mill_levy = ",S4,",certified_sbt_mill_levy = ",T4,",cert_supp_cap_construction = ",U4,",certified_other_mill_levy = ",V4,",full_funding_mill_levy = ",X4,",state_funding = ",Z4," WHERE district_number = '",A4,"' AND fiscal_year = 20222023;")</f>
        <v>UPDATE mill_levy SET cert_per_hb201418 = 27,cert_hb201418_tax_credit = 0,certified_catbuy_mill_levy = 0,cert_tot_prog_reserve_fund = 0,certified_hh_mill_levy = 0,certified_override_mill_levy = 15.931,certified_abate_mill_levy = 0.164,certified_bond_mill_levy = 18.665,certified_transport_mill_levy = 0,certified_sbt_mill_levy = 0,cert_supp_cap_construction = 0,certified_other_mill_levy = 0,full_funding_mill_levy = 94.313,state_funding = 253832418.121775 WHERE district_number = '0020' AND fiscal_year = 20222023;</v>
      </c>
    </row>
    <row r="5" spans="1:28" x14ac:dyDescent="0.25">
      <c r="A5" s="262" t="s">
        <v>94</v>
      </c>
      <c r="B5" s="263" t="s">
        <v>90</v>
      </c>
      <c r="C5" s="264" t="s">
        <v>95</v>
      </c>
      <c r="D5" s="344">
        <v>1244394380</v>
      </c>
      <c r="E5" s="344">
        <v>10144740</v>
      </c>
      <c r="F5" s="344">
        <v>1234249640</v>
      </c>
      <c r="G5" s="343">
        <v>55449</v>
      </c>
      <c r="H5" s="265">
        <v>27</v>
      </c>
      <c r="I5" s="266">
        <v>0</v>
      </c>
      <c r="J5" s="264">
        <v>27</v>
      </c>
      <c r="K5" s="267">
        <v>0</v>
      </c>
      <c r="L5" s="268">
        <v>0</v>
      </c>
      <c r="M5" s="267">
        <v>0</v>
      </c>
      <c r="N5" s="264">
        <v>0</v>
      </c>
      <c r="O5" s="356">
        <v>3.9620000000000002</v>
      </c>
      <c r="P5" s="267">
        <v>4.4999999999999998E-2</v>
      </c>
      <c r="Q5" s="269">
        <v>31.007000000000001</v>
      </c>
      <c r="R5" s="266">
        <v>6.0679999999999996</v>
      </c>
      <c r="S5" s="268">
        <v>0</v>
      </c>
      <c r="T5" s="268">
        <v>0</v>
      </c>
      <c r="U5" s="268">
        <v>0</v>
      </c>
      <c r="V5" s="268">
        <v>0</v>
      </c>
      <c r="W5" s="266">
        <v>37.075000000000003</v>
      </c>
      <c r="X5" s="344">
        <v>54.253999999999998</v>
      </c>
      <c r="Y5" s="344">
        <v>62224590.768000007</v>
      </c>
      <c r="Z5" s="344">
        <v>27538627.698000006</v>
      </c>
      <c r="AB5" s="205" t="str">
        <f t="shared" si="1"/>
        <v>UPDATE mill_levy SET cert_per_hb201418 = 27,cert_hb201418_tax_credit = 0,certified_catbuy_mill_levy = 0,cert_tot_prog_reserve_fund = 0,certified_hh_mill_levy = 0,certified_override_mill_levy = 3.962,certified_abate_mill_levy = 0.045,certified_bond_mill_levy = 6.068,certified_transport_mill_levy = 0,certified_sbt_mill_levy = 0,cert_supp_cap_construction = 0,certified_other_mill_levy = 0,full_funding_mill_levy = 54.254,state_funding = 27538627.698 WHERE district_number = '0030' AND fiscal_year = 20222023;</v>
      </c>
    </row>
    <row r="6" spans="1:28" x14ac:dyDescent="0.25">
      <c r="A6" s="262" t="s">
        <v>96</v>
      </c>
      <c r="B6" s="270" t="s">
        <v>90</v>
      </c>
      <c r="C6" s="271" t="s">
        <v>97</v>
      </c>
      <c r="D6" s="344">
        <v>3430530710</v>
      </c>
      <c r="E6" s="344">
        <v>405483181</v>
      </c>
      <c r="F6" s="344">
        <v>3025047529</v>
      </c>
      <c r="G6" s="343">
        <v>175278.13</v>
      </c>
      <c r="H6" s="265">
        <v>27</v>
      </c>
      <c r="I6" s="266">
        <v>0</v>
      </c>
      <c r="J6" s="264">
        <v>27</v>
      </c>
      <c r="K6" s="267">
        <v>0</v>
      </c>
      <c r="L6" s="268">
        <v>0</v>
      </c>
      <c r="M6" s="267">
        <v>0</v>
      </c>
      <c r="N6" s="264">
        <v>0</v>
      </c>
      <c r="O6" s="356">
        <v>8.2479999999999993</v>
      </c>
      <c r="P6" s="267">
        <v>5.8000000000000003E-2</v>
      </c>
      <c r="Q6" s="269">
        <v>35.305999999999997</v>
      </c>
      <c r="R6" s="266">
        <v>20.984000000000002</v>
      </c>
      <c r="S6" s="268">
        <v>0</v>
      </c>
      <c r="T6" s="268">
        <v>0</v>
      </c>
      <c r="U6" s="268">
        <v>0</v>
      </c>
      <c r="V6" s="268">
        <v>0</v>
      </c>
      <c r="W6" s="266">
        <v>56.29</v>
      </c>
      <c r="X6" s="344">
        <v>73.143000000000001</v>
      </c>
      <c r="Y6" s="344">
        <v>232279633.234</v>
      </c>
      <c r="Z6" s="344">
        <v>148542753.82100001</v>
      </c>
      <c r="AB6" s="205" t="str">
        <f t="shared" si="1"/>
        <v>UPDATE mill_levy SET cert_per_hb201418 = 27,cert_hb201418_tax_credit = 0,certified_catbuy_mill_levy = 0,cert_tot_prog_reserve_fund = 0,certified_hh_mill_levy = 0,certified_override_mill_levy = 8.248,certified_abate_mill_levy = 0.058,certified_bond_mill_levy = 20.984,certified_transport_mill_levy = 0,certified_sbt_mill_levy = 0,cert_supp_cap_construction = 0,certified_other_mill_levy = 0,full_funding_mill_levy = 73.143,state_funding = 148542753.821 WHERE district_number = '0040' AND fiscal_year = 20222023;</v>
      </c>
    </row>
    <row r="7" spans="1:28" x14ac:dyDescent="0.25">
      <c r="A7" s="262" t="s">
        <v>98</v>
      </c>
      <c r="B7" s="263" t="s">
        <v>90</v>
      </c>
      <c r="C7" s="264" t="s">
        <v>99</v>
      </c>
      <c r="D7" s="344">
        <v>515611976</v>
      </c>
      <c r="E7" s="344">
        <v>0</v>
      </c>
      <c r="F7" s="344">
        <v>515611976</v>
      </c>
      <c r="G7" s="343">
        <v>4234</v>
      </c>
      <c r="H7" s="265">
        <v>25.265000000000001</v>
      </c>
      <c r="I7" s="266">
        <v>0</v>
      </c>
      <c r="J7" s="264">
        <v>25.265000000000001</v>
      </c>
      <c r="K7" s="267">
        <v>0</v>
      </c>
      <c r="L7" s="268">
        <v>0</v>
      </c>
      <c r="M7" s="267">
        <v>0</v>
      </c>
      <c r="N7" s="264">
        <v>0</v>
      </c>
      <c r="O7" s="356">
        <v>0</v>
      </c>
      <c r="P7" s="267">
        <v>1.7999999999999999E-2</v>
      </c>
      <c r="Q7" s="269">
        <v>25.283000000000001</v>
      </c>
      <c r="R7" s="266">
        <v>0</v>
      </c>
      <c r="S7" s="268">
        <v>0</v>
      </c>
      <c r="T7" s="268">
        <v>0</v>
      </c>
      <c r="U7" s="268">
        <v>0</v>
      </c>
      <c r="V7" s="268">
        <v>0</v>
      </c>
      <c r="W7" s="266">
        <v>25.283000000000001</v>
      </c>
      <c r="X7" s="344">
        <v>26.891999999999999</v>
      </c>
      <c r="Y7" s="344">
        <v>17081713.059999999</v>
      </c>
      <c r="Z7" s="344">
        <v>3650532.8863599985</v>
      </c>
      <c r="AB7" s="205" t="str">
        <f t="shared" si="1"/>
        <v>UPDATE mill_levy SET cert_per_hb201418 = 25.265,cert_hb201418_tax_credit = 0,certified_catbuy_mill_levy = 0,cert_tot_prog_reserve_fund = 0,certified_hh_mill_levy = 0,certified_override_mill_levy = 0,certified_abate_mill_levy = 0.018,certified_bond_mill_levy = 0,certified_transport_mill_levy = 0,certified_sbt_mill_levy = 0,cert_supp_cap_construction = 0,certified_other_mill_levy = 0,full_funding_mill_levy = 26.892,state_funding = 3650532.88636 WHERE district_number = '0050' AND fiscal_year = 20222023;</v>
      </c>
    </row>
    <row r="8" spans="1:28" x14ac:dyDescent="0.25">
      <c r="A8" s="262" t="s">
        <v>100</v>
      </c>
      <c r="B8" s="263" t="s">
        <v>90</v>
      </c>
      <c r="C8" s="264" t="s">
        <v>101</v>
      </c>
      <c r="D8" s="344">
        <v>130358063</v>
      </c>
      <c r="E8" s="344">
        <v>0</v>
      </c>
      <c r="F8" s="344">
        <v>130358063</v>
      </c>
      <c r="G8" s="343">
        <v>17138</v>
      </c>
      <c r="H8" s="265">
        <v>27</v>
      </c>
      <c r="I8" s="266">
        <v>0</v>
      </c>
      <c r="J8" s="264">
        <v>27</v>
      </c>
      <c r="K8" s="267">
        <v>0</v>
      </c>
      <c r="L8" s="268">
        <v>0</v>
      </c>
      <c r="M8" s="267">
        <v>0</v>
      </c>
      <c r="N8" s="264">
        <v>0</v>
      </c>
      <c r="O8" s="356">
        <v>2.3010000000000002</v>
      </c>
      <c r="P8" s="267">
        <v>0.13100000000000001</v>
      </c>
      <c r="Q8" s="269">
        <v>29.431999999999999</v>
      </c>
      <c r="R8" s="266">
        <v>11.507</v>
      </c>
      <c r="S8" s="268">
        <v>0</v>
      </c>
      <c r="T8" s="268">
        <v>0</v>
      </c>
      <c r="U8" s="268">
        <v>0</v>
      </c>
      <c r="V8" s="268">
        <v>0</v>
      </c>
      <c r="W8" s="266">
        <v>40.939</v>
      </c>
      <c r="X8" s="344">
        <v>90.808999999999997</v>
      </c>
      <c r="Y8" s="344">
        <v>12253201.73</v>
      </c>
      <c r="Z8" s="344">
        <v>8559170.1790000014</v>
      </c>
      <c r="AB8" s="205" t="str">
        <f t="shared" si="1"/>
        <v>UPDATE mill_levy SET cert_per_hb201418 = 27,cert_hb201418_tax_credit = 0,certified_catbuy_mill_levy = 0,cert_tot_prog_reserve_fund = 0,certified_hh_mill_levy = 0,certified_override_mill_levy = 2.301,certified_abate_mill_levy = 0.131,certified_bond_mill_levy = 11.507,certified_transport_mill_levy = 0,certified_sbt_mill_levy = 0,cert_supp_cap_construction = 0,certified_other_mill_levy = 0,full_funding_mill_levy = 90.809,state_funding = 8559170.179 WHERE district_number = '0060' AND fiscal_year = 20222023;</v>
      </c>
    </row>
    <row r="9" spans="1:28" x14ac:dyDescent="0.25">
      <c r="A9" s="262" t="s">
        <v>102</v>
      </c>
      <c r="B9" s="263" t="s">
        <v>90</v>
      </c>
      <c r="C9" s="264" t="s">
        <v>103</v>
      </c>
      <c r="D9" s="344">
        <v>1113441980</v>
      </c>
      <c r="E9" s="344">
        <v>2425470</v>
      </c>
      <c r="F9" s="344">
        <v>1111016510</v>
      </c>
      <c r="G9" s="343">
        <v>56069</v>
      </c>
      <c r="H9" s="265">
        <v>27</v>
      </c>
      <c r="I9" s="266">
        <v>0</v>
      </c>
      <c r="J9" s="264">
        <v>27</v>
      </c>
      <c r="K9" s="267">
        <v>0</v>
      </c>
      <c r="L9" s="268">
        <v>0</v>
      </c>
      <c r="M9" s="267">
        <v>0.46700000000000003</v>
      </c>
      <c r="N9" s="264">
        <v>0</v>
      </c>
      <c r="O9" s="356">
        <v>24.437000000000001</v>
      </c>
      <c r="P9" s="267">
        <v>0.05</v>
      </c>
      <c r="Q9" s="269">
        <v>51.954000000000001</v>
      </c>
      <c r="R9" s="266">
        <v>7.4909999999999997</v>
      </c>
      <c r="S9" s="268">
        <v>0</v>
      </c>
      <c r="T9" s="268">
        <v>0</v>
      </c>
      <c r="U9" s="268">
        <v>0</v>
      </c>
      <c r="V9" s="268">
        <v>0</v>
      </c>
      <c r="W9" s="266">
        <v>59.445</v>
      </c>
      <c r="X9" s="344">
        <v>81.93</v>
      </c>
      <c r="Y9" s="344">
        <v>86161995.262000009</v>
      </c>
      <c r="Z9" s="344">
        <v>54458995.902000003</v>
      </c>
      <c r="AB9" s="205" t="str">
        <f t="shared" si="1"/>
        <v>UPDATE mill_levy SET cert_per_hb201418 = 27,cert_hb201418_tax_credit = 0,certified_catbuy_mill_levy = 0,cert_tot_prog_reserve_fund = 0,certified_hh_mill_levy = 0.467,certified_override_mill_levy = 24.437,certified_abate_mill_levy = 0.05,certified_bond_mill_levy = 7.491,certified_transport_mill_levy = 0,certified_sbt_mill_levy = 0,cert_supp_cap_construction = 0,certified_other_mill_levy = 0,full_funding_mill_levy = 81.93,state_funding = 54458995.902 WHERE district_number = '0070' AND fiscal_year = 20222023;</v>
      </c>
    </row>
    <row r="10" spans="1:28" x14ac:dyDescent="0.25">
      <c r="A10" s="262" t="s">
        <v>104</v>
      </c>
      <c r="B10" s="263" t="s">
        <v>105</v>
      </c>
      <c r="C10" s="264" t="s">
        <v>105</v>
      </c>
      <c r="D10" s="344">
        <v>163375028</v>
      </c>
      <c r="E10" s="344">
        <v>0</v>
      </c>
      <c r="F10" s="344">
        <v>163375028</v>
      </c>
      <c r="G10" s="343">
        <v>26664</v>
      </c>
      <c r="H10" s="265">
        <v>27</v>
      </c>
      <c r="I10" s="266">
        <v>0</v>
      </c>
      <c r="J10" s="264">
        <v>27</v>
      </c>
      <c r="K10" s="267">
        <v>0</v>
      </c>
      <c r="L10" s="268">
        <v>0</v>
      </c>
      <c r="M10" s="267">
        <v>0</v>
      </c>
      <c r="N10" s="264">
        <v>0</v>
      </c>
      <c r="O10" s="356">
        <v>0</v>
      </c>
      <c r="P10" s="267">
        <v>0.16300000000000001</v>
      </c>
      <c r="Q10" s="269">
        <v>27.163</v>
      </c>
      <c r="R10" s="266">
        <v>6.7329999999999997</v>
      </c>
      <c r="S10" s="268">
        <v>0</v>
      </c>
      <c r="T10" s="268">
        <v>0</v>
      </c>
      <c r="U10" s="268">
        <v>0</v>
      </c>
      <c r="V10" s="268">
        <v>0</v>
      </c>
      <c r="W10" s="266">
        <v>33.896000000000001</v>
      </c>
      <c r="X10" s="344">
        <v>126.002</v>
      </c>
      <c r="Y10" s="344">
        <v>22641780.809999999</v>
      </c>
      <c r="Z10" s="344">
        <v>17664758.733999997</v>
      </c>
      <c r="AB10" s="205" t="str">
        <f t="shared" si="1"/>
        <v>UPDATE mill_levy SET cert_per_hb201418 = 27,cert_hb201418_tax_credit = 0,certified_catbuy_mill_levy = 0,cert_tot_prog_reserve_fund = 0,certified_hh_mill_levy = 0,certified_override_mill_levy = 0,certified_abate_mill_levy = 0.163,certified_bond_mill_levy = 6.733,certified_transport_mill_levy = 0,certified_sbt_mill_levy = 0,cert_supp_cap_construction = 0,certified_other_mill_levy = 0,full_funding_mill_levy = 126.002,state_funding = 17664758.734 WHERE district_number = '0100' AND fiscal_year = 20222023;</v>
      </c>
    </row>
    <row r="11" spans="1:28" x14ac:dyDescent="0.25">
      <c r="A11" s="262" t="s">
        <v>106</v>
      </c>
      <c r="B11" s="263" t="s">
        <v>105</v>
      </c>
      <c r="C11" s="264" t="s">
        <v>107</v>
      </c>
      <c r="D11" s="344">
        <v>46965547</v>
      </c>
      <c r="E11" s="344">
        <v>0</v>
      </c>
      <c r="F11" s="344">
        <v>46965547</v>
      </c>
      <c r="G11" s="343">
        <v>1943</v>
      </c>
      <c r="H11" s="265">
        <v>27</v>
      </c>
      <c r="I11" s="266">
        <v>0</v>
      </c>
      <c r="J11" s="264">
        <v>27</v>
      </c>
      <c r="K11" s="267">
        <v>0</v>
      </c>
      <c r="L11" s="268">
        <v>0</v>
      </c>
      <c r="M11" s="267">
        <v>0</v>
      </c>
      <c r="N11" s="264">
        <v>0</v>
      </c>
      <c r="O11" s="356">
        <v>0</v>
      </c>
      <c r="P11" s="267">
        <v>4.1000000000000002E-2</v>
      </c>
      <c r="Q11" s="269">
        <v>27.041</v>
      </c>
      <c r="R11" s="266">
        <v>6.59</v>
      </c>
      <c r="S11" s="268">
        <v>0</v>
      </c>
      <c r="T11" s="268">
        <v>0</v>
      </c>
      <c r="U11" s="268">
        <v>0</v>
      </c>
      <c r="V11" s="268">
        <v>0</v>
      </c>
      <c r="W11" s="266">
        <v>33.631</v>
      </c>
      <c r="X11" s="344">
        <v>77.784000000000006</v>
      </c>
      <c r="Y11" s="344">
        <v>3938391.9</v>
      </c>
      <c r="Z11" s="344">
        <v>2529489.321</v>
      </c>
      <c r="AB11" s="205" t="str">
        <f t="shared" si="1"/>
        <v>UPDATE mill_levy SET cert_per_hb201418 = 27,cert_hb201418_tax_credit = 0,certified_catbuy_mill_levy = 0,cert_tot_prog_reserve_fund = 0,certified_hh_mill_levy = 0,certified_override_mill_levy = 0,certified_abate_mill_levy = 0.041,certified_bond_mill_levy = 6.59,certified_transport_mill_levy = 0,certified_sbt_mill_levy = 0,cert_supp_cap_construction = 0,certified_other_mill_levy = 0,full_funding_mill_levy = 77.784,state_funding = 2529489.321 WHERE district_number = '0110' AND fiscal_year = 20222023;</v>
      </c>
    </row>
    <row r="12" spans="1:28" x14ac:dyDescent="0.25">
      <c r="A12" s="262" t="s">
        <v>108</v>
      </c>
      <c r="B12" s="263" t="s">
        <v>109</v>
      </c>
      <c r="C12" s="264" t="s">
        <v>110</v>
      </c>
      <c r="D12" s="344">
        <v>886087974</v>
      </c>
      <c r="E12" s="344">
        <v>55958206</v>
      </c>
      <c r="F12" s="344">
        <v>830129768</v>
      </c>
      <c r="G12" s="343">
        <v>146463</v>
      </c>
      <c r="H12" s="265">
        <v>27</v>
      </c>
      <c r="I12" s="266">
        <v>2.105</v>
      </c>
      <c r="J12" s="264">
        <v>24.895</v>
      </c>
      <c r="K12" s="267">
        <v>0</v>
      </c>
      <c r="L12" s="268">
        <v>0</v>
      </c>
      <c r="M12" s="267">
        <v>0</v>
      </c>
      <c r="N12" s="264">
        <v>0</v>
      </c>
      <c r="O12" s="356">
        <v>7.415527</v>
      </c>
      <c r="P12" s="267">
        <v>0.17643400000000001</v>
      </c>
      <c r="Q12" s="269">
        <v>32.486961000000001</v>
      </c>
      <c r="R12" s="266">
        <v>11.769479</v>
      </c>
      <c r="S12" s="268">
        <v>0</v>
      </c>
      <c r="T12" s="268">
        <v>0</v>
      </c>
      <c r="U12" s="268">
        <v>4.818524</v>
      </c>
      <c r="V12" s="268">
        <v>0</v>
      </c>
      <c r="W12" s="266">
        <v>49.074964000000001</v>
      </c>
      <c r="X12" s="344">
        <v>27.728999999999999</v>
      </c>
      <c r="Y12" s="344">
        <v>24995730.359999999</v>
      </c>
      <c r="Z12" s="344">
        <v>3117535.4856399978</v>
      </c>
      <c r="AB12" s="205" t="str">
        <f t="shared" si="1"/>
        <v>UPDATE mill_levy SET cert_per_hb201418 = 27,cert_hb201418_tax_credit = 2.105,certified_catbuy_mill_levy = 0,cert_tot_prog_reserve_fund = 0,certified_hh_mill_levy = 0,certified_override_mill_levy = 7.415527,certified_abate_mill_levy = 0.176434,certified_bond_mill_levy = 11.769479,certified_transport_mill_levy = 0,certified_sbt_mill_levy = 0,cert_supp_cap_construction = 4.818524,certified_other_mill_levy = 0,full_funding_mill_levy = 27.729,state_funding = 3117535.48564 WHERE district_number = '0120' AND fiscal_year = 20222023;</v>
      </c>
    </row>
    <row r="13" spans="1:28" x14ac:dyDescent="0.25">
      <c r="A13" s="262" t="s">
        <v>111</v>
      </c>
      <c r="B13" s="263" t="s">
        <v>109</v>
      </c>
      <c r="C13" s="264" t="s">
        <v>112</v>
      </c>
      <c r="D13" s="344">
        <v>371965819</v>
      </c>
      <c r="E13" s="344">
        <v>41392279</v>
      </c>
      <c r="F13" s="344">
        <v>330573540</v>
      </c>
      <c r="G13" s="343">
        <v>124740</v>
      </c>
      <c r="H13" s="265">
        <v>27</v>
      </c>
      <c r="I13" s="266">
        <v>3.0529999999999999</v>
      </c>
      <c r="J13" s="264">
        <v>23.946999999999999</v>
      </c>
      <c r="K13" s="267">
        <v>0</v>
      </c>
      <c r="L13" s="268">
        <v>0</v>
      </c>
      <c r="M13" s="267">
        <v>0</v>
      </c>
      <c r="N13" s="264">
        <v>0</v>
      </c>
      <c r="O13" s="356">
        <v>11.561999999999999</v>
      </c>
      <c r="P13" s="267">
        <v>0.377</v>
      </c>
      <c r="Q13" s="269">
        <v>35.886000000000003</v>
      </c>
      <c r="R13" s="266">
        <v>4.3860000000000001</v>
      </c>
      <c r="S13" s="268">
        <v>0</v>
      </c>
      <c r="T13" s="268">
        <v>0</v>
      </c>
      <c r="U13" s="268">
        <v>0</v>
      </c>
      <c r="V13" s="268">
        <v>0</v>
      </c>
      <c r="W13" s="266">
        <v>40.271999999999998</v>
      </c>
      <c r="X13" s="344">
        <v>38.283000000000001</v>
      </c>
      <c r="Y13" s="344">
        <v>13505364.27</v>
      </c>
      <c r="Z13" s="344">
        <v>5121841.9976199996</v>
      </c>
      <c r="AB13" s="205" t="str">
        <f t="shared" si="1"/>
        <v>UPDATE mill_levy SET cert_per_hb201418 = 27,cert_hb201418_tax_credit = 3.053,certified_catbuy_mill_levy = 0,cert_tot_prog_reserve_fund = 0,certified_hh_mill_levy = 0,certified_override_mill_levy = 11.562,certified_abate_mill_levy = 0.377,certified_bond_mill_levy = 4.386,certified_transport_mill_levy = 0,certified_sbt_mill_levy = 0,cert_supp_cap_construction = 0,certified_other_mill_levy = 0,full_funding_mill_levy = 38.283,state_funding = 5121841.99762 WHERE district_number = '0123' AND fiscal_year = 20222023;</v>
      </c>
    </row>
    <row r="14" spans="1:28" x14ac:dyDescent="0.25">
      <c r="A14" s="277" t="s">
        <v>113</v>
      </c>
      <c r="B14" s="263" t="s">
        <v>109</v>
      </c>
      <c r="C14" s="264" t="s">
        <v>114</v>
      </c>
      <c r="D14" s="344">
        <v>8942553374</v>
      </c>
      <c r="E14" s="344">
        <v>65190805</v>
      </c>
      <c r="F14" s="344">
        <v>8877362569</v>
      </c>
      <c r="G14" s="343">
        <v>2604346</v>
      </c>
      <c r="H14" s="265">
        <v>18.756</v>
      </c>
      <c r="I14" s="266">
        <v>0</v>
      </c>
      <c r="J14" s="264">
        <v>18.756</v>
      </c>
      <c r="K14" s="267">
        <v>0</v>
      </c>
      <c r="L14" s="268">
        <v>0</v>
      </c>
      <c r="M14" s="267">
        <v>0.72699999999999998</v>
      </c>
      <c r="N14" s="264">
        <v>4.4999999999999998E-2</v>
      </c>
      <c r="O14" s="356">
        <v>15.178000000000001</v>
      </c>
      <c r="P14" s="267">
        <v>0.29299999999999998</v>
      </c>
      <c r="Q14" s="269">
        <v>34.999000000000002</v>
      </c>
      <c r="R14" s="266">
        <v>7.7759999999999998</v>
      </c>
      <c r="S14" s="268">
        <v>0</v>
      </c>
      <c r="T14" s="268">
        <v>0</v>
      </c>
      <c r="U14" s="268">
        <v>4.7919999999999998</v>
      </c>
      <c r="V14" s="268">
        <v>0</v>
      </c>
      <c r="W14" s="266">
        <v>47.567</v>
      </c>
      <c r="X14" s="344">
        <v>58.149000000000001</v>
      </c>
      <c r="Y14" s="344">
        <v>553672824.47000003</v>
      </c>
      <c r="Z14" s="344">
        <v>375015610.895836</v>
      </c>
      <c r="AB14" s="205" t="str">
        <f t="shared" si="1"/>
        <v>UPDATE mill_levy SET cert_per_hb201418 = 18.756,cert_hb201418_tax_credit = 0,certified_catbuy_mill_levy = 0,cert_tot_prog_reserve_fund = 0,certified_hh_mill_levy = 0.727,certified_override_mill_levy = 15.178,certified_abate_mill_levy = 0.293,certified_bond_mill_levy = 7.776,certified_transport_mill_levy = 0,certified_sbt_mill_levy = 0,cert_supp_cap_construction = 4.792,certified_other_mill_levy = 0,full_funding_mill_levy = 58.149,state_funding = 375015610.895836 WHERE district_number = '0130' AND fiscal_year = 20222023;</v>
      </c>
    </row>
    <row r="15" spans="1:28" x14ac:dyDescent="0.25">
      <c r="A15" s="262" t="s">
        <v>115</v>
      </c>
      <c r="B15" s="263" t="s">
        <v>109</v>
      </c>
      <c r="C15" s="264" t="s">
        <v>116</v>
      </c>
      <c r="D15" s="344">
        <v>2504517266</v>
      </c>
      <c r="E15" s="344">
        <v>33512504</v>
      </c>
      <c r="F15" s="344">
        <v>2471004762</v>
      </c>
      <c r="G15" s="343">
        <v>836152</v>
      </c>
      <c r="H15" s="265">
        <v>27</v>
      </c>
      <c r="I15" s="266">
        <v>0</v>
      </c>
      <c r="J15" s="264">
        <v>27</v>
      </c>
      <c r="K15" s="267">
        <v>0</v>
      </c>
      <c r="L15" s="268">
        <v>0</v>
      </c>
      <c r="M15" s="267">
        <v>0.93700000000000006</v>
      </c>
      <c r="N15" s="264">
        <v>0</v>
      </c>
      <c r="O15" s="356">
        <v>10.724</v>
      </c>
      <c r="P15" s="267">
        <v>0.33800000000000002</v>
      </c>
      <c r="Q15" s="269">
        <v>38.999000000000002</v>
      </c>
      <c r="R15" s="266">
        <v>14.848000000000001</v>
      </c>
      <c r="S15" s="268">
        <v>0</v>
      </c>
      <c r="T15" s="268">
        <v>9</v>
      </c>
      <c r="U15" s="268">
        <v>0</v>
      </c>
      <c r="V15" s="268">
        <v>0</v>
      </c>
      <c r="W15" s="266">
        <v>62.847000000000001</v>
      </c>
      <c r="X15" s="344">
        <v>51.186</v>
      </c>
      <c r="Y15" s="344">
        <v>137612565.58000001</v>
      </c>
      <c r="Z15" s="344">
        <v>66008161.186000012</v>
      </c>
      <c r="AB15" s="205" t="str">
        <f t="shared" si="1"/>
        <v>UPDATE mill_levy SET cert_per_hb201418 = 27,cert_hb201418_tax_credit = 0,certified_catbuy_mill_levy = 0,cert_tot_prog_reserve_fund = 0,certified_hh_mill_levy = 0.937,certified_override_mill_levy = 10.724,certified_abate_mill_levy = 0.338,certified_bond_mill_levy = 14.848,certified_transport_mill_levy = 0,certified_sbt_mill_levy = 9,cert_supp_cap_construction = 0,certified_other_mill_levy = 0,full_funding_mill_levy = 51.186,state_funding = 66008161.186 WHERE district_number = '0140' AND fiscal_year = 20222023;</v>
      </c>
    </row>
    <row r="16" spans="1:28" x14ac:dyDescent="0.25">
      <c r="A16" s="262" t="s">
        <v>117</v>
      </c>
      <c r="B16" s="263" t="s">
        <v>109</v>
      </c>
      <c r="C16" s="264" t="s">
        <v>118</v>
      </c>
      <c r="D16" s="344">
        <v>51934834</v>
      </c>
      <c r="E16" s="344">
        <v>0</v>
      </c>
      <c r="F16" s="344">
        <v>51934834</v>
      </c>
      <c r="G16" s="343">
        <v>6239</v>
      </c>
      <c r="H16" s="265">
        <v>27</v>
      </c>
      <c r="I16" s="266">
        <v>0</v>
      </c>
      <c r="J16" s="264">
        <v>27</v>
      </c>
      <c r="K16" s="267">
        <v>0</v>
      </c>
      <c r="L16" s="268">
        <v>0</v>
      </c>
      <c r="M16" s="267">
        <v>0.125</v>
      </c>
      <c r="N16" s="264">
        <v>0</v>
      </c>
      <c r="O16" s="356">
        <v>0</v>
      </c>
      <c r="P16" s="267">
        <v>0.12</v>
      </c>
      <c r="Q16" s="269">
        <v>27.245000000000001</v>
      </c>
      <c r="R16" s="266">
        <v>10.238</v>
      </c>
      <c r="S16" s="268">
        <v>0</v>
      </c>
      <c r="T16" s="268">
        <v>0</v>
      </c>
      <c r="U16" s="268">
        <v>0</v>
      </c>
      <c r="V16" s="268">
        <v>0</v>
      </c>
      <c r="W16" s="266">
        <v>37.482999999999997</v>
      </c>
      <c r="X16" s="344">
        <v>79.424000000000007</v>
      </c>
      <c r="Y16" s="344">
        <v>4833347.62</v>
      </c>
      <c r="Z16" s="344">
        <v>3338701.352</v>
      </c>
      <c r="AB16" s="205" t="str">
        <f t="shared" si="1"/>
        <v>UPDATE mill_levy SET cert_per_hb201418 = 27,cert_hb201418_tax_credit = 0,certified_catbuy_mill_levy = 0,cert_tot_prog_reserve_fund = 0,certified_hh_mill_levy = 0.125,certified_override_mill_levy = 0,certified_abate_mill_levy = 0.12,certified_bond_mill_levy = 10.238,certified_transport_mill_levy = 0,certified_sbt_mill_levy = 0,cert_supp_cap_construction = 0,certified_other_mill_levy = 0,full_funding_mill_levy = 79.424,state_funding = 3338701.352 WHERE district_number = '0170' AND fiscal_year = 20222023;</v>
      </c>
    </row>
    <row r="17" spans="1:28" x14ac:dyDescent="0.25">
      <c r="A17" s="262" t="s">
        <v>119</v>
      </c>
      <c r="B17" s="263" t="s">
        <v>109</v>
      </c>
      <c r="C17" s="264" t="s">
        <v>120</v>
      </c>
      <c r="D17" s="344">
        <v>5450700306</v>
      </c>
      <c r="E17" s="344">
        <v>141360140</v>
      </c>
      <c r="F17" s="344">
        <v>5309340166</v>
      </c>
      <c r="G17" s="343">
        <v>1686636.33</v>
      </c>
      <c r="H17" s="265">
        <v>27</v>
      </c>
      <c r="I17" s="266">
        <v>0</v>
      </c>
      <c r="J17" s="264">
        <v>27</v>
      </c>
      <c r="K17" s="267">
        <v>0</v>
      </c>
      <c r="L17" s="268">
        <v>0</v>
      </c>
      <c r="M17" s="267">
        <v>0</v>
      </c>
      <c r="N17" s="264">
        <v>0</v>
      </c>
      <c r="O17" s="356">
        <v>22.113</v>
      </c>
      <c r="P17" s="267">
        <v>0.318</v>
      </c>
      <c r="Q17" s="269">
        <v>49.430999999999997</v>
      </c>
      <c r="R17" s="266">
        <v>21.9</v>
      </c>
      <c r="S17" s="268">
        <v>0</v>
      </c>
      <c r="T17" s="268">
        <v>0</v>
      </c>
      <c r="U17" s="268">
        <v>0</v>
      </c>
      <c r="V17" s="268">
        <v>0</v>
      </c>
      <c r="W17" s="266">
        <v>71.331000000000003</v>
      </c>
      <c r="X17" s="344">
        <v>76.611000000000004</v>
      </c>
      <c r="Y17" s="344">
        <v>424034633.58399999</v>
      </c>
      <c r="Z17" s="344">
        <v>274099293.06199998</v>
      </c>
      <c r="AB17" s="205" t="str">
        <f t="shared" si="1"/>
        <v>UPDATE mill_levy SET cert_per_hb201418 = 27,cert_hb201418_tax_credit = 0,certified_catbuy_mill_levy = 0,cert_tot_prog_reserve_fund = 0,certified_hh_mill_levy = 0,certified_override_mill_levy = 22.113,certified_abate_mill_levy = 0.318,certified_bond_mill_levy = 21.9,certified_transport_mill_levy = 0,certified_sbt_mill_levy = 0,cert_supp_cap_construction = 0,certified_other_mill_levy = 0,full_funding_mill_levy = 76.611,state_funding = 274099293.062 WHERE district_number = '0180' AND fiscal_year = 20222023;</v>
      </c>
    </row>
    <row r="18" spans="1:28" x14ac:dyDescent="0.25">
      <c r="A18" s="262" t="s">
        <v>121</v>
      </c>
      <c r="B18" s="270" t="s">
        <v>109</v>
      </c>
      <c r="C18" s="271" t="s">
        <v>122</v>
      </c>
      <c r="D18" s="344">
        <v>68763148</v>
      </c>
      <c r="E18" s="344">
        <v>0</v>
      </c>
      <c r="F18" s="344">
        <v>68763148</v>
      </c>
      <c r="G18" s="343">
        <v>413</v>
      </c>
      <c r="H18" s="265">
        <v>27</v>
      </c>
      <c r="I18" s="266">
        <v>9.0999999999999998E-2</v>
      </c>
      <c r="J18" s="264">
        <v>26.908999999999999</v>
      </c>
      <c r="K18" s="267">
        <v>0</v>
      </c>
      <c r="L18" s="268">
        <v>0</v>
      </c>
      <c r="M18" s="267">
        <v>0</v>
      </c>
      <c r="N18" s="264">
        <v>0</v>
      </c>
      <c r="O18" s="356">
        <v>3.4950000000000001</v>
      </c>
      <c r="P18" s="267">
        <v>6.0000000000000001E-3</v>
      </c>
      <c r="Q18" s="269">
        <v>30.41</v>
      </c>
      <c r="R18" s="266">
        <v>0</v>
      </c>
      <c r="S18" s="268">
        <v>0</v>
      </c>
      <c r="T18" s="268">
        <v>0</v>
      </c>
      <c r="U18" s="268">
        <v>0</v>
      </c>
      <c r="V18" s="268">
        <v>0</v>
      </c>
      <c r="W18" s="266">
        <v>30.41</v>
      </c>
      <c r="X18" s="344">
        <v>741.23400000000004</v>
      </c>
      <c r="Y18" s="344">
        <v>62522143.43</v>
      </c>
      <c r="Z18" s="344">
        <v>60561146.470468</v>
      </c>
      <c r="AB18" s="205" t="str">
        <f t="shared" si="1"/>
        <v>UPDATE mill_levy SET cert_per_hb201418 = 27,cert_hb201418_tax_credit = 0.091,certified_catbuy_mill_levy = 0,cert_tot_prog_reserve_fund = 0,certified_hh_mill_levy = 0,certified_override_mill_levy = 3.495,certified_abate_mill_levy = 0.006,certified_bond_mill_levy = 0,certified_transport_mill_levy = 0,certified_sbt_mill_levy = 0,cert_supp_cap_construction = 0,certified_other_mill_levy = 0,full_funding_mill_levy = 741.234,state_funding = 60561146.470468 WHERE district_number = '0190' AND fiscal_year = 20222023;</v>
      </c>
    </row>
    <row r="19" spans="1:28" x14ac:dyDescent="0.25">
      <c r="A19" s="262" t="s">
        <v>123</v>
      </c>
      <c r="B19" s="263" t="s">
        <v>124</v>
      </c>
      <c r="C19" s="264" t="s">
        <v>124</v>
      </c>
      <c r="D19" s="344">
        <v>564498330</v>
      </c>
      <c r="E19" s="344">
        <v>0</v>
      </c>
      <c r="F19" s="344">
        <v>564498330</v>
      </c>
      <c r="G19" s="343">
        <v>33486.65</v>
      </c>
      <c r="H19" s="265">
        <v>27</v>
      </c>
      <c r="I19" s="266">
        <v>2.9860000000000002</v>
      </c>
      <c r="J19" s="264">
        <v>24.013999999999999</v>
      </c>
      <c r="K19" s="267">
        <v>0</v>
      </c>
      <c r="L19" s="268">
        <v>0</v>
      </c>
      <c r="M19" s="267">
        <v>0</v>
      </c>
      <c r="N19" s="264">
        <v>0</v>
      </c>
      <c r="O19" s="356">
        <v>3.012</v>
      </c>
      <c r="P19" s="267">
        <v>5.8999999999999997E-2</v>
      </c>
      <c r="Q19" s="269">
        <v>27.085000000000001</v>
      </c>
      <c r="R19" s="266">
        <v>0</v>
      </c>
      <c r="S19" s="268">
        <v>0</v>
      </c>
      <c r="T19" s="268">
        <v>0</v>
      </c>
      <c r="U19" s="268">
        <v>0</v>
      </c>
      <c r="V19" s="268">
        <v>0</v>
      </c>
      <c r="W19" s="266">
        <v>27.085000000000001</v>
      </c>
      <c r="X19" s="344">
        <v>28.763000000000002</v>
      </c>
      <c r="Y19" s="344">
        <v>17711655.25</v>
      </c>
      <c r="Z19" s="344">
        <v>3268783.9933800003</v>
      </c>
      <c r="AB19" s="205" t="str">
        <f t="shared" si="1"/>
        <v>UPDATE mill_levy SET cert_per_hb201418 = 27,cert_hb201418_tax_credit = 2.986,certified_catbuy_mill_levy = 0,cert_tot_prog_reserve_fund = 0,certified_hh_mill_levy = 0,certified_override_mill_levy = 3.012,certified_abate_mill_levy = 0.059,certified_bond_mill_levy = 0,certified_transport_mill_levy = 0,certified_sbt_mill_levy = 0,cert_supp_cap_construction = 0,certified_other_mill_levy = 0,full_funding_mill_levy = 28.763,state_funding = 3268783.99338 WHERE district_number = '0220' AND fiscal_year = 20222023;</v>
      </c>
    </row>
    <row r="20" spans="1:28" x14ac:dyDescent="0.25">
      <c r="A20" s="262" t="s">
        <v>125</v>
      </c>
      <c r="B20" s="270" t="s">
        <v>126</v>
      </c>
      <c r="C20" s="271" t="s">
        <v>127</v>
      </c>
      <c r="D20" s="344">
        <v>26345104</v>
      </c>
      <c r="E20" s="344">
        <v>0</v>
      </c>
      <c r="F20" s="344">
        <v>26345104</v>
      </c>
      <c r="G20" s="343">
        <v>9352</v>
      </c>
      <c r="H20" s="265">
        <v>27</v>
      </c>
      <c r="I20" s="266">
        <v>4.6989999999999998</v>
      </c>
      <c r="J20" s="264">
        <v>22.300999999999998</v>
      </c>
      <c r="K20" s="267">
        <v>0</v>
      </c>
      <c r="L20" s="268">
        <v>0</v>
      </c>
      <c r="M20" s="267">
        <v>0</v>
      </c>
      <c r="N20" s="264">
        <v>0</v>
      </c>
      <c r="O20" s="356">
        <v>6.7889999999999997</v>
      </c>
      <c r="P20" s="267">
        <v>0.35499999999999998</v>
      </c>
      <c r="Q20" s="269">
        <v>29.445</v>
      </c>
      <c r="R20" s="266">
        <v>13.664999999999999</v>
      </c>
      <c r="S20" s="268">
        <v>0</v>
      </c>
      <c r="T20" s="268">
        <v>0</v>
      </c>
      <c r="U20" s="268">
        <v>0</v>
      </c>
      <c r="V20" s="268">
        <v>0</v>
      </c>
      <c r="W20" s="266">
        <v>43.11</v>
      </c>
      <c r="X20" s="344">
        <v>107.938</v>
      </c>
      <c r="Y20" s="344">
        <v>2979306.9</v>
      </c>
      <c r="Z20" s="344">
        <v>2343924.7256960003</v>
      </c>
      <c r="AB20" s="205" t="str">
        <f t="shared" si="1"/>
        <v>UPDATE mill_levy SET cert_per_hb201418 = 27,cert_hb201418_tax_credit = 4.699,certified_catbuy_mill_levy = 0,cert_tot_prog_reserve_fund = 0,certified_hh_mill_levy = 0,certified_override_mill_levy = 6.789,certified_abate_mill_levy = 0.355,certified_bond_mill_levy = 13.665,certified_transport_mill_levy = 0,certified_sbt_mill_levy = 0,cert_supp_cap_construction = 0,certified_other_mill_levy = 0,full_funding_mill_levy = 107.938,state_funding = 2343924.725696 WHERE district_number = '0230' AND fiscal_year = 20222023;</v>
      </c>
    </row>
    <row r="21" spans="1:28" x14ac:dyDescent="0.25">
      <c r="A21" s="262" t="s">
        <v>128</v>
      </c>
      <c r="B21" s="263" t="s">
        <v>126</v>
      </c>
      <c r="C21" s="264" t="s">
        <v>129</v>
      </c>
      <c r="D21" s="344">
        <v>30179498</v>
      </c>
      <c r="E21" s="344">
        <v>0</v>
      </c>
      <c r="F21" s="344">
        <v>30179498</v>
      </c>
      <c r="G21" s="343">
        <v>987</v>
      </c>
      <c r="H21" s="265">
        <v>26.992000000000001</v>
      </c>
      <c r="I21" s="266">
        <v>5.1909999999999998</v>
      </c>
      <c r="J21" s="264">
        <v>21.800999999999998</v>
      </c>
      <c r="K21" s="267">
        <v>0</v>
      </c>
      <c r="L21" s="268">
        <v>0</v>
      </c>
      <c r="M21" s="267">
        <v>0</v>
      </c>
      <c r="N21" s="264">
        <v>0</v>
      </c>
      <c r="O21" s="356">
        <v>0</v>
      </c>
      <c r="P21" s="267">
        <v>3.3000000000000002E-2</v>
      </c>
      <c r="Q21" s="269">
        <v>21.834</v>
      </c>
      <c r="R21" s="266">
        <v>0</v>
      </c>
      <c r="S21" s="268">
        <v>0</v>
      </c>
      <c r="T21" s="268">
        <v>0</v>
      </c>
      <c r="U21" s="268">
        <v>0</v>
      </c>
      <c r="V21" s="268">
        <v>0</v>
      </c>
      <c r="W21" s="266">
        <v>21.834</v>
      </c>
      <c r="X21" s="344">
        <v>36.712000000000003</v>
      </c>
      <c r="Y21" s="344">
        <v>1143852.3600000001</v>
      </c>
      <c r="Z21" s="344">
        <v>437352.88410200004</v>
      </c>
      <c r="AB21" s="205" t="str">
        <f t="shared" si="1"/>
        <v>UPDATE mill_levy SET cert_per_hb201418 = 26.992,cert_hb201418_tax_credit = 5.191,certified_catbuy_mill_levy = 0,cert_tot_prog_reserve_fund = 0,certified_hh_mill_levy = 0,certified_override_mill_levy = 0,certified_abate_mill_levy = 0.033,certified_bond_mill_levy = 0,certified_transport_mill_levy = 0,certified_sbt_mill_levy = 0,cert_supp_cap_construction = 0,certified_other_mill_levy = 0,full_funding_mill_levy = 36.712,state_funding = 437352.884102 WHERE district_number = '0240' AND fiscal_year = 20222023;</v>
      </c>
    </row>
    <row r="22" spans="1:28" x14ac:dyDescent="0.25">
      <c r="A22" s="262" t="s">
        <v>130</v>
      </c>
      <c r="B22" s="263" t="s">
        <v>126</v>
      </c>
      <c r="C22" s="264" t="s">
        <v>131</v>
      </c>
      <c r="D22" s="344">
        <v>33085059</v>
      </c>
      <c r="E22" s="344">
        <v>0</v>
      </c>
      <c r="F22" s="344">
        <v>33085059</v>
      </c>
      <c r="G22" s="343">
        <v>0</v>
      </c>
      <c r="H22" s="265">
        <v>27</v>
      </c>
      <c r="I22" s="266">
        <v>0</v>
      </c>
      <c r="J22" s="264">
        <v>27</v>
      </c>
      <c r="K22" s="267">
        <v>0</v>
      </c>
      <c r="L22" s="268">
        <v>0</v>
      </c>
      <c r="M22" s="267">
        <v>0</v>
      </c>
      <c r="N22" s="264">
        <v>0</v>
      </c>
      <c r="O22" s="356">
        <v>0</v>
      </c>
      <c r="P22" s="267">
        <v>0</v>
      </c>
      <c r="Q22" s="269">
        <v>27</v>
      </c>
      <c r="R22" s="266">
        <v>11.445</v>
      </c>
      <c r="S22" s="268">
        <v>0</v>
      </c>
      <c r="T22" s="268">
        <v>0</v>
      </c>
      <c r="U22" s="268">
        <v>0</v>
      </c>
      <c r="V22" s="268">
        <v>0</v>
      </c>
      <c r="W22" s="266">
        <v>38.445</v>
      </c>
      <c r="X22" s="344">
        <v>110.672</v>
      </c>
      <c r="Y22" s="344">
        <v>3871378.83</v>
      </c>
      <c r="Z22" s="344">
        <v>2891879.4470000002</v>
      </c>
      <c r="AB22" s="205" t="str">
        <f t="shared" si="1"/>
        <v>UPDATE mill_levy SET cert_per_hb201418 = 27,cert_hb201418_tax_credit = 0,certified_catbuy_mill_levy = 0,cert_tot_prog_reserve_fund = 0,certified_hh_mill_levy = 0,certified_override_mill_levy = 0,certified_abate_mill_levy = 0,certified_bond_mill_levy = 11.445,certified_transport_mill_levy = 0,certified_sbt_mill_levy = 0,cert_supp_cap_construction = 0,certified_other_mill_levy = 0,full_funding_mill_levy = 110.672,state_funding = 2891879.447 WHERE district_number = '0250' AND fiscal_year = 20222023;</v>
      </c>
    </row>
    <row r="23" spans="1:28" x14ac:dyDescent="0.25">
      <c r="A23" s="262" t="s">
        <v>132</v>
      </c>
      <c r="B23" s="263" t="s">
        <v>126</v>
      </c>
      <c r="C23" s="264" t="s">
        <v>133</v>
      </c>
      <c r="D23" s="344">
        <v>6603495</v>
      </c>
      <c r="E23" s="344">
        <v>0</v>
      </c>
      <c r="F23" s="344">
        <v>6603495</v>
      </c>
      <c r="G23" s="343">
        <v>2</v>
      </c>
      <c r="H23" s="265">
        <v>27</v>
      </c>
      <c r="I23" s="266">
        <v>0</v>
      </c>
      <c r="J23" s="264">
        <v>27</v>
      </c>
      <c r="K23" s="267">
        <v>0</v>
      </c>
      <c r="L23" s="268">
        <v>0</v>
      </c>
      <c r="M23" s="267">
        <v>0</v>
      </c>
      <c r="N23" s="264">
        <v>0</v>
      </c>
      <c r="O23" s="356">
        <v>0</v>
      </c>
      <c r="P23" s="267">
        <v>0</v>
      </c>
      <c r="Q23" s="269">
        <v>27</v>
      </c>
      <c r="R23" s="266">
        <v>0</v>
      </c>
      <c r="S23" s="268">
        <v>0</v>
      </c>
      <c r="T23" s="268">
        <v>0</v>
      </c>
      <c r="U23" s="268">
        <v>0</v>
      </c>
      <c r="V23" s="268">
        <v>0</v>
      </c>
      <c r="W23" s="266">
        <v>27</v>
      </c>
      <c r="X23" s="344">
        <v>373.803</v>
      </c>
      <c r="Y23" s="344">
        <v>3380704.42</v>
      </c>
      <c r="Z23" s="344">
        <v>3183100.9049999998</v>
      </c>
      <c r="AB23" s="205" t="str">
        <f t="shared" si="1"/>
        <v>UPDATE mill_levy SET cert_per_hb201418 = 27,cert_hb201418_tax_credit = 0,certified_catbuy_mill_levy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373.803,state_funding = 3183100.905 WHERE district_number = '0260' AND fiscal_year = 20222023;</v>
      </c>
    </row>
    <row r="24" spans="1:28" x14ac:dyDescent="0.25">
      <c r="A24" s="262" t="s">
        <v>134</v>
      </c>
      <c r="B24" s="270" t="s">
        <v>126</v>
      </c>
      <c r="C24" s="271" t="s">
        <v>135</v>
      </c>
      <c r="D24" s="344">
        <v>18194492</v>
      </c>
      <c r="E24" s="344">
        <v>0</v>
      </c>
      <c r="F24" s="344">
        <v>18194492</v>
      </c>
      <c r="G24" s="343">
        <v>426</v>
      </c>
      <c r="H24" s="265">
        <v>18.3</v>
      </c>
      <c r="I24" s="266">
        <v>4.5439999999999996</v>
      </c>
      <c r="J24" s="264">
        <v>13.756</v>
      </c>
      <c r="K24" s="267">
        <v>0</v>
      </c>
      <c r="L24" s="268">
        <v>0</v>
      </c>
      <c r="M24" s="267">
        <v>0.255</v>
      </c>
      <c r="N24" s="264">
        <v>0</v>
      </c>
      <c r="O24" s="356">
        <v>8.2439999999999998</v>
      </c>
      <c r="P24" s="267">
        <v>2.3E-2</v>
      </c>
      <c r="Q24" s="269">
        <v>22.277999999999999</v>
      </c>
      <c r="R24" s="266">
        <v>0</v>
      </c>
      <c r="S24" s="268">
        <v>0</v>
      </c>
      <c r="T24" s="268">
        <v>0</v>
      </c>
      <c r="U24" s="268">
        <v>0</v>
      </c>
      <c r="V24" s="268">
        <v>0</v>
      </c>
      <c r="W24" s="266">
        <v>22.277999999999999</v>
      </c>
      <c r="X24" s="344">
        <v>56.634999999999998</v>
      </c>
      <c r="Y24" s="344">
        <v>1043536.72</v>
      </c>
      <c r="Z24" s="344">
        <v>771099.01804799994</v>
      </c>
      <c r="AB24" s="205" t="str">
        <f t="shared" si="1"/>
        <v>UPDATE mill_levy SET cert_per_hb201418 = 18.3,cert_hb201418_tax_credit = 4.544,certified_catbuy_mill_levy = 0,cert_tot_prog_reserve_fund = 0,certified_hh_mill_levy = 0.255,certified_override_mill_levy = 8.244,certified_abate_mill_levy = 0.023,certified_bond_mill_levy = 0,certified_transport_mill_levy = 0,certified_sbt_mill_levy = 0,cert_supp_cap_construction = 0,certified_other_mill_levy = 0,full_funding_mill_levy = 56.635,state_funding = 771099.018048 WHERE district_number = '0270' AND fiscal_year = 20222023;</v>
      </c>
    </row>
    <row r="25" spans="1:28" x14ac:dyDescent="0.25">
      <c r="A25" s="262" t="s">
        <v>136</v>
      </c>
      <c r="B25" s="263" t="s">
        <v>137</v>
      </c>
      <c r="C25" s="264" t="s">
        <v>138</v>
      </c>
      <c r="D25" s="344">
        <v>71889110</v>
      </c>
      <c r="E25" s="344">
        <v>0</v>
      </c>
      <c r="F25" s="344">
        <v>71889110</v>
      </c>
      <c r="G25" s="343">
        <v>4173.2</v>
      </c>
      <c r="H25" s="265">
        <v>27</v>
      </c>
      <c r="I25" s="266">
        <v>4.5019999999999998</v>
      </c>
      <c r="J25" s="264">
        <v>22.498000000000001</v>
      </c>
      <c r="K25" s="267">
        <v>0</v>
      </c>
      <c r="L25" s="268">
        <v>0</v>
      </c>
      <c r="M25" s="267">
        <v>0</v>
      </c>
      <c r="N25" s="264">
        <v>0</v>
      </c>
      <c r="O25" s="356">
        <v>0</v>
      </c>
      <c r="P25" s="267">
        <v>0</v>
      </c>
      <c r="Q25" s="269">
        <v>22.498000000000001</v>
      </c>
      <c r="R25" s="266">
        <v>0</v>
      </c>
      <c r="S25" s="268">
        <v>0</v>
      </c>
      <c r="T25" s="268">
        <v>0</v>
      </c>
      <c r="U25" s="268">
        <v>0</v>
      </c>
      <c r="V25" s="268">
        <v>0</v>
      </c>
      <c r="W25" s="266">
        <v>22.498000000000001</v>
      </c>
      <c r="X25" s="344">
        <v>112.17100000000001</v>
      </c>
      <c r="Y25" s="344">
        <v>10390536.539999999</v>
      </c>
      <c r="Z25" s="344">
        <v>8636166.3732199986</v>
      </c>
      <c r="AB25" s="205" t="str">
        <f t="shared" si="1"/>
        <v>UPDATE mill_levy SET cert_per_hb201418 = 27,cert_hb201418_tax_credit = 4.502,certified_catbuy_mill_levy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112.171,state_funding = 8636166.37322 WHERE district_number = '0290' AND fiscal_year = 20222023;</v>
      </c>
    </row>
    <row r="26" spans="1:28" x14ac:dyDescent="0.25">
      <c r="A26" s="262" t="s">
        <v>139</v>
      </c>
      <c r="B26" s="263" t="s">
        <v>137</v>
      </c>
      <c r="C26" s="264" t="s">
        <v>140</v>
      </c>
      <c r="D26" s="344">
        <v>26537330</v>
      </c>
      <c r="E26" s="344">
        <v>0</v>
      </c>
      <c r="F26" s="344">
        <v>26537330</v>
      </c>
      <c r="G26" s="343">
        <v>1990</v>
      </c>
      <c r="H26" s="265">
        <v>23.59</v>
      </c>
      <c r="I26" s="266">
        <v>1.675</v>
      </c>
      <c r="J26" s="264">
        <v>21.914999999999999</v>
      </c>
      <c r="K26" s="267">
        <v>0</v>
      </c>
      <c r="L26" s="268">
        <v>0</v>
      </c>
      <c r="M26" s="267">
        <v>4.74</v>
      </c>
      <c r="N26" s="264">
        <v>0</v>
      </c>
      <c r="O26" s="356">
        <v>0</v>
      </c>
      <c r="P26" s="267">
        <v>7.4999999999999997E-2</v>
      </c>
      <c r="Q26" s="269">
        <v>26.73</v>
      </c>
      <c r="R26" s="266">
        <v>0</v>
      </c>
      <c r="S26" s="268">
        <v>0</v>
      </c>
      <c r="T26" s="268">
        <v>0</v>
      </c>
      <c r="U26" s="268">
        <v>0</v>
      </c>
      <c r="V26" s="268">
        <v>0</v>
      </c>
      <c r="W26" s="266">
        <v>26.73</v>
      </c>
      <c r="X26" s="344">
        <v>125.68899999999999</v>
      </c>
      <c r="Y26" s="344">
        <v>3476506.82</v>
      </c>
      <c r="Z26" s="344">
        <v>2834868.1830500001</v>
      </c>
      <c r="AB26" s="205" t="str">
        <f t="shared" si="1"/>
        <v>UPDATE mill_levy SET cert_per_hb201418 = 23.59,cert_hb201418_tax_credit = 1.675,certified_catbuy_mill_levy = 0,cert_tot_prog_reserve_fund = 0,certified_hh_mill_levy = 4.74,certified_override_mill_levy = 0,certified_abate_mill_levy = 0.075,certified_bond_mill_levy = 0,certified_transport_mill_levy = 0,certified_sbt_mill_levy = 0,cert_supp_cap_construction = 0,certified_other_mill_levy = 0,full_funding_mill_levy = 125.689,state_funding = 2834868.18305 WHERE district_number = '0310' AND fiscal_year = 20222023;</v>
      </c>
    </row>
    <row r="27" spans="1:28" x14ac:dyDescent="0.25">
      <c r="A27" s="262" t="s">
        <v>141</v>
      </c>
      <c r="B27" s="270" t="s">
        <v>142</v>
      </c>
      <c r="C27" s="271" t="s">
        <v>143</v>
      </c>
      <c r="D27" s="344">
        <v>6593531745</v>
      </c>
      <c r="E27" s="344">
        <v>494903204</v>
      </c>
      <c r="F27" s="344">
        <v>6098628541</v>
      </c>
      <c r="G27" s="343">
        <v>1661305.2</v>
      </c>
      <c r="H27" s="265">
        <v>27</v>
      </c>
      <c r="I27" s="266">
        <v>0</v>
      </c>
      <c r="J27" s="264">
        <v>27</v>
      </c>
      <c r="K27" s="267">
        <v>0</v>
      </c>
      <c r="L27" s="268">
        <v>0</v>
      </c>
      <c r="M27" s="267">
        <v>0</v>
      </c>
      <c r="N27" s="264">
        <v>0</v>
      </c>
      <c r="O27" s="356">
        <v>13.238</v>
      </c>
      <c r="P27" s="267">
        <v>0.27200000000000002</v>
      </c>
      <c r="Q27" s="269">
        <v>40.51</v>
      </c>
      <c r="R27" s="266">
        <v>16.728000000000002</v>
      </c>
      <c r="S27" s="268">
        <v>0</v>
      </c>
      <c r="T27" s="268">
        <v>0</v>
      </c>
      <c r="U27" s="268">
        <v>0</v>
      </c>
      <c r="V27" s="268">
        <v>0</v>
      </c>
      <c r="W27" s="266">
        <v>57.238</v>
      </c>
      <c r="X27" s="344">
        <v>50.197000000000003</v>
      </c>
      <c r="Y27" s="344">
        <v>322659960.05000001</v>
      </c>
      <c r="Z27" s="344">
        <v>151585224.47300002</v>
      </c>
      <c r="AB27" s="205" t="str">
        <f t="shared" si="1"/>
        <v>UPDATE mill_levy SET cert_per_hb201418 = 27,cert_hb201418_tax_credit = 0,certified_catbuy_mill_levy = 0,cert_tot_prog_reserve_fund = 0,certified_hh_mill_levy = 0,certified_override_mill_levy = 13.238,certified_abate_mill_levy = 0.272,certified_bond_mill_levy = 16.728,certified_transport_mill_levy = 0,certified_sbt_mill_levy = 0,cert_supp_cap_construction = 0,certified_other_mill_levy = 0,full_funding_mill_levy = 50.197,state_funding = 151585224.473 WHERE district_number = '0470' AND fiscal_year = 20222023;</v>
      </c>
    </row>
    <row r="28" spans="1:28" x14ac:dyDescent="0.25">
      <c r="A28" s="277" t="s">
        <v>144</v>
      </c>
      <c r="B28" s="270" t="s">
        <v>142</v>
      </c>
      <c r="C28" s="271" t="s">
        <v>142</v>
      </c>
      <c r="D28" s="344">
        <v>9685676989</v>
      </c>
      <c r="E28" s="344">
        <v>148175006</v>
      </c>
      <c r="F28" s="344">
        <v>9537501983</v>
      </c>
      <c r="G28" s="343">
        <v>1388766</v>
      </c>
      <c r="H28" s="265">
        <v>27</v>
      </c>
      <c r="I28" s="266">
        <v>0</v>
      </c>
      <c r="J28" s="264">
        <v>27</v>
      </c>
      <c r="K28" s="267">
        <v>0</v>
      </c>
      <c r="L28" s="268">
        <v>0</v>
      </c>
      <c r="M28" s="267">
        <v>0</v>
      </c>
      <c r="N28" s="264">
        <v>0</v>
      </c>
      <c r="O28" s="356">
        <v>8.4019999999999992</v>
      </c>
      <c r="P28" s="267">
        <v>0.14599999999999999</v>
      </c>
      <c r="Q28" s="269">
        <v>35.548000000000002</v>
      </c>
      <c r="R28" s="266">
        <v>7.7110000000000003</v>
      </c>
      <c r="S28" s="268">
        <v>0.76500000000000001</v>
      </c>
      <c r="T28" s="268">
        <v>0</v>
      </c>
      <c r="U28" s="268">
        <v>4</v>
      </c>
      <c r="V28" s="268">
        <v>0</v>
      </c>
      <c r="W28" s="266">
        <v>48.024000000000001</v>
      </c>
      <c r="X28" s="344">
        <v>28.071999999999999</v>
      </c>
      <c r="Y28" s="344">
        <v>294178064.91000003</v>
      </c>
      <c r="Z28" s="344">
        <v>25117730.309000015</v>
      </c>
      <c r="AB28" s="205" t="str">
        <f t="shared" si="1"/>
        <v>UPDATE mill_levy SET cert_per_hb201418 = 27,cert_hb201418_tax_credit = 0,certified_catbuy_mill_levy = 0,cert_tot_prog_reserve_fund = 0,certified_hh_mill_levy = 0,certified_override_mill_levy = 8.402,certified_abate_mill_levy = 0.146,certified_bond_mill_levy = 7.711,certified_transport_mill_levy = 0.765,certified_sbt_mill_levy = 0,cert_supp_cap_construction = 4,certified_other_mill_levy = 0,full_funding_mill_levy = 28.072,state_funding = 25117730.309 WHERE district_number = '0480' AND fiscal_year = 20222023;</v>
      </c>
    </row>
    <row r="29" spans="1:28" x14ac:dyDescent="0.25">
      <c r="A29" s="263" t="s">
        <v>145</v>
      </c>
      <c r="B29" s="270" t="s">
        <v>146</v>
      </c>
      <c r="C29" s="271" t="s">
        <v>147</v>
      </c>
      <c r="D29" s="344">
        <v>408288230</v>
      </c>
      <c r="E29" s="344">
        <v>0</v>
      </c>
      <c r="F29" s="344">
        <v>408288230</v>
      </c>
      <c r="G29" s="343">
        <v>3623.27</v>
      </c>
      <c r="H29" s="265">
        <v>23.149000000000001</v>
      </c>
      <c r="I29" s="266">
        <v>4.1669999999999998</v>
      </c>
      <c r="J29" s="264">
        <v>18.981999999999999</v>
      </c>
      <c r="K29" s="267">
        <v>0</v>
      </c>
      <c r="L29" s="268">
        <v>0</v>
      </c>
      <c r="M29" s="267">
        <v>0</v>
      </c>
      <c r="N29" s="264">
        <v>0</v>
      </c>
      <c r="O29" s="356">
        <v>6.59</v>
      </c>
      <c r="P29" s="267">
        <v>0</v>
      </c>
      <c r="Q29" s="269">
        <v>25.571999999999999</v>
      </c>
      <c r="R29" s="266">
        <v>6.0279999999999996</v>
      </c>
      <c r="S29" s="268">
        <v>0</v>
      </c>
      <c r="T29" s="268">
        <v>0</v>
      </c>
      <c r="U29" s="268">
        <v>0</v>
      </c>
      <c r="V29" s="268">
        <v>0</v>
      </c>
      <c r="W29" s="266">
        <v>31.6</v>
      </c>
      <c r="X29" s="344">
        <v>22.533999999999999</v>
      </c>
      <c r="Y29" s="344">
        <v>10209953.390000001</v>
      </c>
      <c r="Z29" s="344">
        <v>1914720.9081400007</v>
      </c>
      <c r="AB29" s="205" t="str">
        <f t="shared" si="1"/>
        <v>UPDATE mill_levy SET cert_per_hb201418 = 23.149,cert_hb201418_tax_credit = 4.167,certified_catbuy_mill_levy = 0,cert_tot_prog_reserve_fund = 0,certified_hh_mill_levy = 0,certified_override_mill_levy = 6.59,certified_abate_mill_levy = 0,certified_bond_mill_levy = 6.028,certified_transport_mill_levy = 0,certified_sbt_mill_levy = 0,cert_supp_cap_construction = 0,certified_other_mill_levy = 0,full_funding_mill_levy = 22.534,state_funding = 1914720.90814 WHERE district_number = '0490' AND fiscal_year = 20222023;</v>
      </c>
    </row>
    <row r="30" spans="1:28" x14ac:dyDescent="0.25">
      <c r="A30" s="262" t="s">
        <v>148</v>
      </c>
      <c r="B30" s="263" t="s">
        <v>146</v>
      </c>
      <c r="C30" s="264" t="s">
        <v>149</v>
      </c>
      <c r="D30" s="344">
        <v>461108613</v>
      </c>
      <c r="E30" s="344">
        <v>0</v>
      </c>
      <c r="F30" s="344">
        <v>461108613</v>
      </c>
      <c r="G30" s="343">
        <v>9917</v>
      </c>
      <c r="H30" s="265">
        <v>21.951000000000001</v>
      </c>
      <c r="I30" s="266">
        <v>7.1</v>
      </c>
      <c r="J30" s="264">
        <v>17.693000000000001</v>
      </c>
      <c r="K30" s="267">
        <v>0</v>
      </c>
      <c r="L30" s="268">
        <v>0</v>
      </c>
      <c r="M30" s="267">
        <v>0</v>
      </c>
      <c r="N30" s="264">
        <v>0</v>
      </c>
      <c r="O30" s="356">
        <v>6.2670000000000003</v>
      </c>
      <c r="P30" s="267">
        <v>2.1999999999999999E-2</v>
      </c>
      <c r="Q30" s="269">
        <v>23.981999999999999</v>
      </c>
      <c r="R30" s="266">
        <v>4.2290000000000001</v>
      </c>
      <c r="S30" s="268">
        <v>0</v>
      </c>
      <c r="T30" s="268">
        <v>0</v>
      </c>
      <c r="U30" s="268">
        <v>0</v>
      </c>
      <c r="V30" s="268">
        <v>0</v>
      </c>
      <c r="W30" s="266">
        <v>28.210999999999999</v>
      </c>
      <c r="X30" s="344">
        <v>28.722999999999999</v>
      </c>
      <c r="Y30" s="344">
        <v>13067906.48</v>
      </c>
      <c r="Z30" s="344">
        <v>4246681.6201909995</v>
      </c>
      <c r="AB30" s="205" t="str">
        <f t="shared" si="1"/>
        <v>UPDATE mill_levy SET cert_per_hb201418 = 21.951,cert_hb201418_tax_credit = 7.1,certified_catbuy_mill_levy = 0,cert_tot_prog_reserve_fund = 0,certified_hh_mill_levy = 0,certified_override_mill_levy = 6.267,certified_abate_mill_levy = 0.022,certified_bond_mill_levy = 4.229,certified_transport_mill_levy = 0,certified_sbt_mill_levy = 0,cert_supp_cap_construction = 0,certified_other_mill_levy = 0,full_funding_mill_levy = 28.723,state_funding = 4246681.620191 WHERE district_number = '0500' AND fiscal_year = 20222023;</v>
      </c>
    </row>
    <row r="31" spans="1:28" x14ac:dyDescent="0.25">
      <c r="A31" s="262" t="s">
        <v>150</v>
      </c>
      <c r="B31" s="263" t="s">
        <v>151</v>
      </c>
      <c r="C31" s="264" t="s">
        <v>152</v>
      </c>
      <c r="D31" s="344">
        <v>52904224</v>
      </c>
      <c r="E31" s="344">
        <v>0</v>
      </c>
      <c r="F31" s="344">
        <v>52904224</v>
      </c>
      <c r="G31" s="343">
        <v>11427</v>
      </c>
      <c r="H31" s="265">
        <v>17.88</v>
      </c>
      <c r="I31" s="266">
        <v>7.0659999999999998</v>
      </c>
      <c r="J31" s="264">
        <v>10.814</v>
      </c>
      <c r="K31" s="267">
        <v>0</v>
      </c>
      <c r="L31" s="268">
        <v>0</v>
      </c>
      <c r="M31" s="267">
        <v>1.3879999999999999</v>
      </c>
      <c r="N31" s="264">
        <v>0</v>
      </c>
      <c r="O31" s="356">
        <v>6.6150000000000002</v>
      </c>
      <c r="P31" s="267">
        <v>0.216</v>
      </c>
      <c r="Q31" s="269">
        <v>19.033000000000001</v>
      </c>
      <c r="R31" s="266">
        <v>11.625</v>
      </c>
      <c r="S31" s="268">
        <v>0</v>
      </c>
      <c r="T31" s="268">
        <v>0</v>
      </c>
      <c r="U31" s="268">
        <v>0</v>
      </c>
      <c r="V31" s="268">
        <v>0</v>
      </c>
      <c r="W31" s="266">
        <v>30.658000000000001</v>
      </c>
      <c r="X31" s="344">
        <v>34.302</v>
      </c>
      <c r="Y31" s="344">
        <v>1883590.53</v>
      </c>
      <c r="Z31" s="344">
        <v>1265657.9516640001</v>
      </c>
      <c r="AB31" s="205" t="str">
        <f t="shared" si="1"/>
        <v>UPDATE mill_levy SET cert_per_hb201418 = 17.88,cert_hb201418_tax_credit = 7.066,certified_catbuy_mill_levy = 0,cert_tot_prog_reserve_fund = 0,certified_hh_mill_levy = 1.388,certified_override_mill_levy = 6.615,certified_abate_mill_levy = 0.216,certified_bond_mill_levy = 11.625,certified_transport_mill_levy = 0,certified_sbt_mill_levy = 0,cert_supp_cap_construction = 0,certified_other_mill_levy = 0,full_funding_mill_levy = 34.302,state_funding = 1265657.951664 WHERE district_number = '0510' AND fiscal_year = 20222023;</v>
      </c>
    </row>
    <row r="32" spans="1:28" x14ac:dyDescent="0.25">
      <c r="A32" s="262" t="s">
        <v>153</v>
      </c>
      <c r="B32" s="263" t="s">
        <v>151</v>
      </c>
      <c r="C32" s="264" t="s">
        <v>151</v>
      </c>
      <c r="D32" s="344">
        <v>98826061</v>
      </c>
      <c r="E32" s="344">
        <v>0</v>
      </c>
      <c r="F32" s="344">
        <v>98826061</v>
      </c>
      <c r="G32" s="343">
        <v>7030</v>
      </c>
      <c r="H32" s="265">
        <v>15.558</v>
      </c>
      <c r="I32" s="266">
        <v>5.8840000000000003</v>
      </c>
      <c r="J32" s="264">
        <v>9.6739999999999995</v>
      </c>
      <c r="K32" s="267">
        <v>0</v>
      </c>
      <c r="L32" s="268">
        <v>0</v>
      </c>
      <c r="M32" s="267">
        <v>0</v>
      </c>
      <c r="N32" s="264">
        <v>0</v>
      </c>
      <c r="O32" s="356">
        <v>8.3049999999999997</v>
      </c>
      <c r="P32" s="267">
        <v>7.0999999999999994E-2</v>
      </c>
      <c r="Q32" s="269">
        <v>18.05</v>
      </c>
      <c r="R32" s="266">
        <v>0</v>
      </c>
      <c r="S32" s="268">
        <v>0</v>
      </c>
      <c r="T32" s="268">
        <v>0</v>
      </c>
      <c r="U32" s="268">
        <v>0</v>
      </c>
      <c r="V32" s="268">
        <v>0</v>
      </c>
      <c r="W32" s="266">
        <v>18.05</v>
      </c>
      <c r="X32" s="344">
        <v>30.581</v>
      </c>
      <c r="Y32" s="344">
        <v>3083693.7</v>
      </c>
      <c r="Z32" s="344">
        <v>2045822.135886</v>
      </c>
      <c r="AB32" s="205" t="str">
        <f t="shared" si="1"/>
        <v>UPDATE mill_levy SET cert_per_hb201418 = 15.558,cert_hb201418_tax_credit = 5.884,certified_catbuy_mill_levy = 0,cert_tot_prog_reserve_fund = 0,certified_hh_mill_levy = 0,certified_override_mill_levy = 8.305,certified_abate_mill_levy = 0.071,certified_bond_mill_levy = 0,certified_transport_mill_levy = 0,certified_sbt_mill_levy = 0,cert_supp_cap_construction = 0,certified_other_mill_levy = 0,full_funding_mill_levy = 30.581,state_funding = 2045822.135886 WHERE district_number = '0520' AND fiscal_year = 20222023;</v>
      </c>
    </row>
    <row r="33" spans="1:28" x14ac:dyDescent="0.25">
      <c r="A33" s="262" t="s">
        <v>154</v>
      </c>
      <c r="B33" s="263" t="s">
        <v>155</v>
      </c>
      <c r="C33" s="264" t="s">
        <v>155</v>
      </c>
      <c r="D33" s="344">
        <v>327601230</v>
      </c>
      <c r="E33" s="344">
        <v>0</v>
      </c>
      <c r="F33" s="344">
        <v>327601230</v>
      </c>
      <c r="G33" s="343">
        <v>3278.78</v>
      </c>
      <c r="H33" s="265">
        <v>12.484999999999999</v>
      </c>
      <c r="I33" s="266">
        <v>0</v>
      </c>
      <c r="J33" s="264">
        <v>12.484999999999999</v>
      </c>
      <c r="K33" s="267">
        <v>0</v>
      </c>
      <c r="L33" s="268">
        <v>0</v>
      </c>
      <c r="M33" s="267">
        <v>0</v>
      </c>
      <c r="N33" s="264">
        <v>0</v>
      </c>
      <c r="O33" s="356">
        <v>8.5579999999999998</v>
      </c>
      <c r="P33" s="267">
        <v>0.01</v>
      </c>
      <c r="Q33" s="269">
        <v>21.053000000000001</v>
      </c>
      <c r="R33" s="266">
        <v>7.835</v>
      </c>
      <c r="S33" s="268">
        <v>0</v>
      </c>
      <c r="T33" s="268">
        <v>0</v>
      </c>
      <c r="U33" s="268">
        <v>0</v>
      </c>
      <c r="V33" s="268">
        <v>0</v>
      </c>
      <c r="W33" s="266">
        <v>28.888000000000002</v>
      </c>
      <c r="X33" s="344">
        <v>20.96</v>
      </c>
      <c r="Y33" s="344">
        <v>7316218.5999999996</v>
      </c>
      <c r="Z33" s="344">
        <v>2921697.99345</v>
      </c>
      <c r="AB33" s="205" t="str">
        <f t="shared" si="1"/>
        <v>UPDATE mill_levy SET cert_per_hb201418 = 12.485,cert_hb201418_tax_credit = 0,certified_catbuy_mill_levy = 0,cert_tot_prog_reserve_fund = 0,certified_hh_mill_levy = 0,certified_override_mill_levy = 8.558,certified_abate_mill_levy = 0.01,certified_bond_mill_levy = 7.835,certified_transport_mill_levy = 0,certified_sbt_mill_levy = 0,cert_supp_cap_construction = 0,certified_other_mill_levy = 0,full_funding_mill_levy = 20.96,state_funding = 2921697.99345 WHERE district_number = '0540' AND fiscal_year = 20222023;</v>
      </c>
    </row>
    <row r="34" spans="1:28" x14ac:dyDescent="0.25">
      <c r="A34" s="262" t="s">
        <v>156</v>
      </c>
      <c r="B34" s="263" t="s">
        <v>157</v>
      </c>
      <c r="C34" s="264" t="s">
        <v>158</v>
      </c>
      <c r="D34" s="344">
        <v>39025522</v>
      </c>
      <c r="E34" s="344">
        <v>0</v>
      </c>
      <c r="F34" s="344">
        <v>39025522</v>
      </c>
      <c r="G34" s="343">
        <v>2401</v>
      </c>
      <c r="H34" s="265">
        <v>23.405999999999999</v>
      </c>
      <c r="I34" s="266">
        <v>3.2829999999999999</v>
      </c>
      <c r="J34" s="264">
        <v>20.123000000000001</v>
      </c>
      <c r="K34" s="267">
        <v>0</v>
      </c>
      <c r="L34" s="268">
        <v>0</v>
      </c>
      <c r="M34" s="267">
        <v>4.8650000000000002</v>
      </c>
      <c r="N34" s="264">
        <v>0</v>
      </c>
      <c r="O34" s="356">
        <v>0</v>
      </c>
      <c r="P34" s="267">
        <v>6.2E-2</v>
      </c>
      <c r="Q34" s="269">
        <v>25.05</v>
      </c>
      <c r="R34" s="266">
        <v>10.249000000000001</v>
      </c>
      <c r="S34" s="268">
        <v>0</v>
      </c>
      <c r="T34" s="268">
        <v>0</v>
      </c>
      <c r="U34" s="268">
        <v>0</v>
      </c>
      <c r="V34" s="268">
        <v>0</v>
      </c>
      <c r="W34" s="266">
        <v>35.298999999999999</v>
      </c>
      <c r="X34" s="344">
        <v>249.92400000000001</v>
      </c>
      <c r="Y34" s="344">
        <v>10723310.73</v>
      </c>
      <c r="Z34" s="344">
        <v>9775253.6507940013</v>
      </c>
      <c r="AB34" s="205" t="str">
        <f t="shared" si="1"/>
        <v>UPDATE mill_levy SET cert_per_hb201418 = 23.406,cert_hb201418_tax_credit = 3.283,certified_catbuy_mill_levy = 0,cert_tot_prog_reserve_fund = 0,certified_hh_mill_levy = 4.865,certified_override_mill_levy = 0,certified_abate_mill_levy = 0.062,certified_bond_mill_levy = 10.249,certified_transport_mill_levy = 0,certified_sbt_mill_levy = 0,cert_supp_cap_construction = 0,certified_other_mill_levy = 0,full_funding_mill_levy = 249.924,state_funding = 9775253.650794 WHERE district_number = '0550' AND fiscal_year = 20222023;</v>
      </c>
    </row>
    <row r="35" spans="1:28" x14ac:dyDescent="0.25">
      <c r="A35" s="262" t="s">
        <v>159</v>
      </c>
      <c r="B35" s="263" t="s">
        <v>157</v>
      </c>
      <c r="C35" s="263" t="s">
        <v>160</v>
      </c>
      <c r="D35" s="344">
        <v>10045015</v>
      </c>
      <c r="E35" s="344">
        <v>0</v>
      </c>
      <c r="F35" s="344">
        <v>10045015</v>
      </c>
      <c r="G35" s="343">
        <v>2170</v>
      </c>
      <c r="H35" s="265">
        <v>27</v>
      </c>
      <c r="I35" s="266">
        <v>0</v>
      </c>
      <c r="J35" s="264">
        <v>27</v>
      </c>
      <c r="K35" s="267">
        <v>0</v>
      </c>
      <c r="L35" s="268">
        <v>0</v>
      </c>
      <c r="M35" s="267">
        <v>0</v>
      </c>
      <c r="N35" s="264">
        <v>0</v>
      </c>
      <c r="O35" s="356">
        <v>0</v>
      </c>
      <c r="P35" s="267">
        <v>0.22600000000000001</v>
      </c>
      <c r="Q35" s="269">
        <v>27.225999999999999</v>
      </c>
      <c r="R35" s="266">
        <v>8.86</v>
      </c>
      <c r="S35" s="268">
        <v>0</v>
      </c>
      <c r="T35" s="268">
        <v>0</v>
      </c>
      <c r="U35" s="268">
        <v>0</v>
      </c>
      <c r="V35" s="268">
        <v>0</v>
      </c>
      <c r="W35" s="266">
        <v>36.085999999999999</v>
      </c>
      <c r="X35" s="344">
        <v>414.90300000000002</v>
      </c>
      <c r="Y35" s="344">
        <v>4882182.82</v>
      </c>
      <c r="Z35" s="344">
        <v>4560894.3950000005</v>
      </c>
      <c r="AB35" s="205" t="str">
        <f t="shared" si="1"/>
        <v>UPDATE mill_levy SET cert_per_hb201418 = 27,cert_hb201418_tax_credit = 0,certified_catbuy_mill_levy = 0,cert_tot_prog_reserve_fund = 0,certified_hh_mill_levy = 0,certified_override_mill_levy = 0,certified_abate_mill_levy = 0.226,certified_bond_mill_levy = 8.86,certified_transport_mill_levy = 0,certified_sbt_mill_levy = 0,cert_supp_cap_construction = 0,certified_other_mill_levy = 0,full_funding_mill_levy = 414.903,state_funding = 4560894.395 WHERE district_number = '0560' AND fiscal_year = 20222023;</v>
      </c>
    </row>
    <row r="36" spans="1:28" x14ac:dyDescent="0.25">
      <c r="A36" s="262" t="s">
        <v>161</v>
      </c>
      <c r="B36" s="263" t="s">
        <v>157</v>
      </c>
      <c r="C36" s="264" t="s">
        <v>162</v>
      </c>
      <c r="D36" s="344">
        <v>34298535</v>
      </c>
      <c r="E36" s="344">
        <v>0</v>
      </c>
      <c r="F36" s="344">
        <v>34298535</v>
      </c>
      <c r="G36" s="343">
        <v>5473</v>
      </c>
      <c r="H36" s="265">
        <v>27</v>
      </c>
      <c r="I36" s="266">
        <v>5.2119999999999997</v>
      </c>
      <c r="J36" s="264">
        <v>21.788</v>
      </c>
      <c r="K36" s="267">
        <v>0</v>
      </c>
      <c r="L36" s="268">
        <v>0</v>
      </c>
      <c r="M36" s="267">
        <v>0</v>
      </c>
      <c r="N36" s="264">
        <v>0</v>
      </c>
      <c r="O36" s="356">
        <v>0</v>
      </c>
      <c r="P36" s="267">
        <v>0.16</v>
      </c>
      <c r="Q36" s="269">
        <v>21.948</v>
      </c>
      <c r="R36" s="266">
        <v>11.954000000000001</v>
      </c>
      <c r="S36" s="268">
        <v>0</v>
      </c>
      <c r="T36" s="268">
        <v>0</v>
      </c>
      <c r="U36" s="268">
        <v>0</v>
      </c>
      <c r="V36" s="268">
        <v>0</v>
      </c>
      <c r="W36" s="266">
        <v>33.902000000000001</v>
      </c>
      <c r="X36" s="344">
        <v>74.701999999999998</v>
      </c>
      <c r="Y36" s="344">
        <v>3082783.02</v>
      </c>
      <c r="Z36" s="344">
        <v>2214680.6094200001</v>
      </c>
      <c r="AB36" s="205" t="str">
        <f t="shared" si="1"/>
        <v>UPDATE mill_levy SET cert_per_hb201418 = 27,cert_hb201418_tax_credit = 5.212,certified_catbuy_mill_levy = 0,cert_tot_prog_reserve_fund = 0,certified_hh_mill_levy = 0,certified_override_mill_levy = 0,certified_abate_mill_levy = 0.16,certified_bond_mill_levy = 11.954,certified_transport_mill_levy = 0,certified_sbt_mill_levy = 0,cert_supp_cap_construction = 0,certified_other_mill_levy = 0,full_funding_mill_levy = 74.702,state_funding = 2214680.60942 WHERE district_number = '0580' AND fiscal_year = 20222023;</v>
      </c>
    </row>
    <row r="37" spans="1:28" x14ac:dyDescent="0.25">
      <c r="A37" s="262" t="s">
        <v>163</v>
      </c>
      <c r="B37" s="270" t="s">
        <v>164</v>
      </c>
      <c r="C37" s="271" t="s">
        <v>165</v>
      </c>
      <c r="D37" s="344">
        <v>66962002</v>
      </c>
      <c r="E37" s="344">
        <v>0</v>
      </c>
      <c r="F37" s="344">
        <v>66962002</v>
      </c>
      <c r="G37" s="343">
        <v>17209</v>
      </c>
      <c r="H37" s="265">
        <v>27</v>
      </c>
      <c r="I37" s="266">
        <v>7.72</v>
      </c>
      <c r="J37" s="264">
        <v>19.28</v>
      </c>
      <c r="K37" s="267">
        <v>0</v>
      </c>
      <c r="L37" s="268">
        <v>0</v>
      </c>
      <c r="M37" s="267">
        <v>0</v>
      </c>
      <c r="N37" s="264">
        <v>0</v>
      </c>
      <c r="O37" s="356">
        <v>0</v>
      </c>
      <c r="P37" s="267">
        <v>0.25700000000000001</v>
      </c>
      <c r="Q37" s="269">
        <v>19.536999999999999</v>
      </c>
      <c r="R37" s="266">
        <v>6.9560000000000004</v>
      </c>
      <c r="S37" s="268">
        <v>0</v>
      </c>
      <c r="T37" s="268">
        <v>0</v>
      </c>
      <c r="U37" s="268">
        <v>0</v>
      </c>
      <c r="V37" s="268">
        <v>0</v>
      </c>
      <c r="W37" s="266">
        <v>26.492999999999999</v>
      </c>
      <c r="X37" s="344">
        <v>46.107999999999997</v>
      </c>
      <c r="Y37" s="344">
        <v>3201326.76</v>
      </c>
      <c r="Z37" s="344">
        <v>1839978.8014399998</v>
      </c>
      <c r="AB37" s="205" t="str">
        <f t="shared" si="1"/>
        <v>UPDATE mill_levy SET cert_per_hb201418 = 27,cert_hb201418_tax_credit = 7.72,certified_catbuy_mill_levy = 0,cert_tot_prog_reserve_fund = 0,certified_hh_mill_levy = 0,certified_override_mill_levy = 0,certified_abate_mill_levy = 0.257,certified_bond_mill_levy = 6.956,certified_transport_mill_levy = 0,certified_sbt_mill_levy = 0,cert_supp_cap_construction = 0,certified_other_mill_levy = 0,full_funding_mill_levy = 46.108,state_funding = 1839978.80144 WHERE district_number = '0640' AND fiscal_year = 20222023;</v>
      </c>
    </row>
    <row r="38" spans="1:28" x14ac:dyDescent="0.25">
      <c r="A38" s="262" t="s">
        <v>166</v>
      </c>
      <c r="B38" s="263" t="s">
        <v>164</v>
      </c>
      <c r="C38" s="264" t="s">
        <v>167</v>
      </c>
      <c r="D38" s="344">
        <v>89325595</v>
      </c>
      <c r="E38" s="344">
        <v>0</v>
      </c>
      <c r="F38" s="344">
        <v>89325595</v>
      </c>
      <c r="G38" s="343">
        <v>58955</v>
      </c>
      <c r="H38" s="265">
        <v>27</v>
      </c>
      <c r="I38" s="266">
        <v>0</v>
      </c>
      <c r="J38" s="264">
        <v>27</v>
      </c>
      <c r="K38" s="267">
        <v>0</v>
      </c>
      <c r="L38" s="268">
        <v>0</v>
      </c>
      <c r="M38" s="267">
        <v>0</v>
      </c>
      <c r="N38" s="264">
        <v>0</v>
      </c>
      <c r="O38" s="356">
        <v>5.0999999999999996</v>
      </c>
      <c r="P38" s="267">
        <v>0.66</v>
      </c>
      <c r="Q38" s="269">
        <v>32.76</v>
      </c>
      <c r="R38" s="266">
        <v>11.475</v>
      </c>
      <c r="S38" s="268">
        <v>0</v>
      </c>
      <c r="T38" s="268">
        <v>0</v>
      </c>
      <c r="U38" s="268">
        <v>0</v>
      </c>
      <c r="V38" s="268">
        <v>0</v>
      </c>
      <c r="W38" s="266">
        <v>44.234999999999999</v>
      </c>
      <c r="X38" s="344">
        <v>43.061999999999998</v>
      </c>
      <c r="Y38" s="344">
        <v>4056009.9</v>
      </c>
      <c r="Z38" s="344">
        <v>1551478.325</v>
      </c>
      <c r="AB38" s="205" t="str">
        <f t="shared" si="1"/>
        <v>UPDATE mill_levy SET cert_per_hb201418 = 27,cert_hb201418_tax_credit = 0,certified_catbuy_mill_levy = 0,cert_tot_prog_reserve_fund = 0,certified_hh_mill_levy = 0,certified_override_mill_levy = 5.1,certified_abate_mill_levy = 0.66,certified_bond_mill_levy = 11.475,certified_transport_mill_levy = 0,certified_sbt_mill_levy = 0,cert_supp_cap_construction = 0,certified_other_mill_levy = 0,full_funding_mill_levy = 43.062,state_funding = 1551478.325 WHERE district_number = '0740' AND fiscal_year = 20222023;</v>
      </c>
    </row>
    <row r="39" spans="1:28" x14ac:dyDescent="0.25">
      <c r="A39" s="262" t="s">
        <v>168</v>
      </c>
      <c r="B39" s="263" t="s">
        <v>169</v>
      </c>
      <c r="C39" s="264" t="s">
        <v>169</v>
      </c>
      <c r="D39" s="344">
        <v>57646688</v>
      </c>
      <c r="E39" s="344">
        <v>0</v>
      </c>
      <c r="F39" s="344">
        <v>57646688</v>
      </c>
      <c r="G39" s="343">
        <v>0</v>
      </c>
      <c r="H39" s="265">
        <v>27</v>
      </c>
      <c r="I39" s="266">
        <v>7.5510000000000002</v>
      </c>
      <c r="J39" s="264">
        <v>19.449000000000002</v>
      </c>
      <c r="K39" s="267">
        <v>0</v>
      </c>
      <c r="L39" s="268">
        <v>0</v>
      </c>
      <c r="M39" s="267">
        <v>0</v>
      </c>
      <c r="N39" s="264">
        <v>0</v>
      </c>
      <c r="O39" s="356">
        <v>6</v>
      </c>
      <c r="P39" s="267">
        <v>0</v>
      </c>
      <c r="Q39" s="269">
        <v>25.449000000000002</v>
      </c>
      <c r="R39" s="266">
        <v>0</v>
      </c>
      <c r="S39" s="268">
        <v>0</v>
      </c>
      <c r="T39" s="268">
        <v>0</v>
      </c>
      <c r="U39" s="268">
        <v>0</v>
      </c>
      <c r="V39" s="268">
        <v>0</v>
      </c>
      <c r="W39" s="266">
        <v>25.449000000000002</v>
      </c>
      <c r="X39" s="344">
        <v>80.918999999999997</v>
      </c>
      <c r="Y39" s="344">
        <v>4918353.97</v>
      </c>
      <c r="Z39" s="344">
        <v>3688429.1250879997</v>
      </c>
      <c r="AB39" s="205" t="str">
        <f t="shared" si="1"/>
        <v>UPDATE mill_levy SET cert_per_hb201418 = 27,cert_hb201418_tax_credit = 7.551,certified_catbuy_mill_levy = 0,cert_tot_prog_reserve_fund = 0,certified_hh_mill_levy = 0,certified_override_mill_levy = 6,certified_abate_mill_levy = 0,certified_bond_mill_levy = 0,certified_transport_mill_levy = 0,certified_sbt_mill_levy = 0,cert_supp_cap_construction = 0,certified_other_mill_levy = 0,full_funding_mill_levy = 80.919,state_funding = 3688429.125088 WHERE district_number = '0770' AND fiscal_year = 20222023;</v>
      </c>
    </row>
    <row r="40" spans="1:28" x14ac:dyDescent="0.25">
      <c r="A40" s="262" t="s">
        <v>170</v>
      </c>
      <c r="B40" s="263" t="s">
        <v>171</v>
      </c>
      <c r="C40" s="263" t="s">
        <v>172</v>
      </c>
      <c r="D40" s="344">
        <v>149275444</v>
      </c>
      <c r="E40" s="344">
        <v>0</v>
      </c>
      <c r="F40" s="344">
        <v>149275444</v>
      </c>
      <c r="G40" s="343">
        <v>149</v>
      </c>
      <c r="H40" s="265">
        <v>27</v>
      </c>
      <c r="I40" s="266">
        <v>1.097</v>
      </c>
      <c r="J40" s="264">
        <v>25.902999999999999</v>
      </c>
      <c r="K40" s="267">
        <v>0</v>
      </c>
      <c r="L40" s="268">
        <v>0</v>
      </c>
      <c r="M40" s="267">
        <v>0</v>
      </c>
      <c r="N40" s="264">
        <v>0</v>
      </c>
      <c r="O40" s="356">
        <v>0</v>
      </c>
      <c r="P40" s="267">
        <v>1E-3</v>
      </c>
      <c r="Q40" s="269">
        <v>25.904</v>
      </c>
      <c r="R40" s="266">
        <v>2.0099999999999998</v>
      </c>
      <c r="S40" s="268">
        <v>0</v>
      </c>
      <c r="T40" s="268">
        <v>0</v>
      </c>
      <c r="U40" s="268">
        <v>0</v>
      </c>
      <c r="V40" s="268">
        <v>0</v>
      </c>
      <c r="W40" s="266">
        <v>27.914000000000001</v>
      </c>
      <c r="X40" s="344">
        <v>25.754000000000001</v>
      </c>
      <c r="Y40" s="344">
        <v>4524592.1900000004</v>
      </c>
      <c r="Z40" s="344">
        <v>267685.0140680006</v>
      </c>
      <c r="AB40" s="205" t="str">
        <f t="shared" si="1"/>
        <v>UPDATE mill_levy SET cert_per_hb201418 = 27,cert_hb201418_tax_credit = 1.097,certified_catbuy_mill_levy = 0,cert_tot_prog_reserve_fund = 0,certified_hh_mill_levy = 0,certified_override_mill_levy = 0,certified_abate_mill_levy = 0.001,certified_bond_mill_levy = 2.01,certified_transport_mill_levy = 0,certified_sbt_mill_levy = 0,cert_supp_cap_construction = 0,certified_other_mill_levy = 0,full_funding_mill_levy = 25.754,state_funding = 267685.014068001 WHERE district_number = '0860' AND fiscal_year = 20222023;</v>
      </c>
    </row>
    <row r="41" spans="1:28" x14ac:dyDescent="0.25">
      <c r="A41" s="262" t="s">
        <v>173</v>
      </c>
      <c r="B41" s="270" t="s">
        <v>174</v>
      </c>
      <c r="C41" s="270" t="s">
        <v>174</v>
      </c>
      <c r="D41" s="344">
        <v>506587950</v>
      </c>
      <c r="E41" s="344">
        <v>655768</v>
      </c>
      <c r="F41" s="344">
        <v>505932182</v>
      </c>
      <c r="G41" s="343">
        <v>18061</v>
      </c>
      <c r="H41" s="265">
        <v>27</v>
      </c>
      <c r="I41" s="266">
        <v>1.3440000000000001</v>
      </c>
      <c r="J41" s="264">
        <v>25.655999999999999</v>
      </c>
      <c r="K41" s="267">
        <v>0</v>
      </c>
      <c r="L41" s="268">
        <v>0</v>
      </c>
      <c r="M41" s="267">
        <v>0</v>
      </c>
      <c r="N41" s="264">
        <v>0</v>
      </c>
      <c r="O41" s="356">
        <v>0</v>
      </c>
      <c r="P41" s="267">
        <v>3.5999999999999997E-2</v>
      </c>
      <c r="Q41" s="269">
        <v>25.692</v>
      </c>
      <c r="R41" s="266">
        <v>3.9239999999999999</v>
      </c>
      <c r="S41" s="268">
        <v>0</v>
      </c>
      <c r="T41" s="268">
        <v>0</v>
      </c>
      <c r="U41" s="268">
        <v>0</v>
      </c>
      <c r="V41" s="268">
        <v>0</v>
      </c>
      <c r="W41" s="266">
        <v>29.616</v>
      </c>
      <c r="X41" s="344">
        <v>83.001999999999995</v>
      </c>
      <c r="Y41" s="344">
        <v>46543916.140000001</v>
      </c>
      <c r="Z41" s="344">
        <v>31983046.658607997</v>
      </c>
      <c r="AB41" s="205" t="str">
        <f t="shared" si="1"/>
        <v>UPDATE mill_levy SET cert_per_hb201418 = 27,cert_hb201418_tax_credit = 1.344,certified_catbuy_mill_levy = 0,cert_tot_prog_reserve_fund = 0,certified_hh_mill_levy = 0,certified_override_mill_levy = 0,certified_abate_mill_levy = 0.036,certified_bond_mill_levy = 3.924,certified_transport_mill_levy = 0,certified_sbt_mill_levy = 0,cert_supp_cap_construction = 0,certified_other_mill_levy = 0,full_funding_mill_levy = 83.002,state_funding = 31983046.658608 WHERE district_number = '0870' AND fiscal_year = 20222023;</v>
      </c>
    </row>
    <row r="42" spans="1:28" x14ac:dyDescent="0.25">
      <c r="A42" s="277" t="s">
        <v>175</v>
      </c>
      <c r="B42" s="263" t="s">
        <v>176</v>
      </c>
      <c r="C42" s="264" t="s">
        <v>176</v>
      </c>
      <c r="D42" s="344">
        <v>26952552320</v>
      </c>
      <c r="E42" s="344">
        <v>1773179409</v>
      </c>
      <c r="F42" s="344">
        <v>25179372911</v>
      </c>
      <c r="G42" s="343">
        <v>10700425</v>
      </c>
      <c r="H42" s="265">
        <v>27</v>
      </c>
      <c r="I42" s="266">
        <v>0</v>
      </c>
      <c r="J42" s="264">
        <v>27</v>
      </c>
      <c r="K42" s="267">
        <v>0</v>
      </c>
      <c r="L42" s="268">
        <v>0</v>
      </c>
      <c r="M42" s="267">
        <v>0</v>
      </c>
      <c r="N42" s="264">
        <v>0</v>
      </c>
      <c r="O42" s="356">
        <v>10.27</v>
      </c>
      <c r="P42" s="267">
        <v>0.42499999999999999</v>
      </c>
      <c r="Q42" s="269">
        <v>37.695</v>
      </c>
      <c r="R42" s="266">
        <v>9.843</v>
      </c>
      <c r="S42" s="268">
        <v>0</v>
      </c>
      <c r="T42" s="268">
        <v>3.173</v>
      </c>
      <c r="U42" s="268">
        <v>0</v>
      </c>
      <c r="V42" s="268">
        <v>0</v>
      </c>
      <c r="W42" s="266">
        <v>50.710999999999999</v>
      </c>
      <c r="X42" s="344">
        <v>34.933</v>
      </c>
      <c r="Y42" s="344">
        <v>931535279.69000006</v>
      </c>
      <c r="Z42" s="344">
        <v>216156220.60300004</v>
      </c>
      <c r="AB42" s="205" t="str">
        <f t="shared" si="1"/>
        <v>UPDATE mill_levy SET cert_per_hb201418 = 27,cert_hb201418_tax_credit = 0,certified_catbuy_mill_levy = 0,cert_tot_prog_reserve_fund = 0,certified_hh_mill_levy = 0,certified_override_mill_levy = 10.27,certified_abate_mill_levy = 0.425,certified_bond_mill_levy = 9.843,certified_transport_mill_levy = 0,certified_sbt_mill_levy = 3.173,cert_supp_cap_construction = 0,certified_other_mill_levy = 0,full_funding_mill_levy = 34.933,state_funding = 216156220.603 WHERE district_number = '0880' AND fiscal_year = 20222023;</v>
      </c>
    </row>
    <row r="43" spans="1:28" x14ac:dyDescent="0.25">
      <c r="A43" s="262" t="s">
        <v>177</v>
      </c>
      <c r="B43" s="272" t="s">
        <v>178</v>
      </c>
      <c r="C43" s="273" t="s">
        <v>178</v>
      </c>
      <c r="D43" s="344">
        <v>113920489</v>
      </c>
      <c r="E43" s="344">
        <v>0</v>
      </c>
      <c r="F43" s="344">
        <v>113920489</v>
      </c>
      <c r="G43" s="343">
        <v>2110</v>
      </c>
      <c r="H43" s="265">
        <v>18.684999999999999</v>
      </c>
      <c r="I43" s="266">
        <v>0.126</v>
      </c>
      <c r="J43" s="264">
        <v>18.559000000000001</v>
      </c>
      <c r="K43" s="267">
        <v>0</v>
      </c>
      <c r="L43" s="268">
        <v>0</v>
      </c>
      <c r="M43" s="267">
        <v>0</v>
      </c>
      <c r="N43" s="264">
        <v>0</v>
      </c>
      <c r="O43" s="356">
        <v>3</v>
      </c>
      <c r="P43" s="267">
        <v>1.9E-2</v>
      </c>
      <c r="Q43" s="269">
        <v>21.577999999999999</v>
      </c>
      <c r="R43" s="266">
        <v>7.593</v>
      </c>
      <c r="S43" s="268">
        <v>0</v>
      </c>
      <c r="T43" s="268">
        <v>0</v>
      </c>
      <c r="U43" s="268">
        <v>0</v>
      </c>
      <c r="V43" s="268">
        <v>0</v>
      </c>
      <c r="W43" s="266">
        <v>29.170999999999999</v>
      </c>
      <c r="X43" s="344">
        <v>33.027999999999999</v>
      </c>
      <c r="Y43" s="344">
        <v>3893302.56</v>
      </c>
      <c r="Z43" s="344">
        <v>1687216.444649</v>
      </c>
      <c r="AB43" s="205" t="str">
        <f t="shared" si="1"/>
        <v>UPDATE mill_levy SET cert_per_hb201418 = 18.685,cert_hb201418_tax_credit = 0.126,certified_catbuy_mill_levy = 0,cert_tot_prog_reserve_fund = 0,certified_hh_mill_levy = 0,certified_override_mill_levy = 3,certified_abate_mill_levy = 0.019,certified_bond_mill_levy = 7.593,certified_transport_mill_levy = 0,certified_sbt_mill_levy = 0,cert_supp_cap_construction = 0,certified_other_mill_levy = 0,full_funding_mill_levy = 33.028,state_funding = 1687216.444649 WHERE district_number = '0890' AND fiscal_year = 20222023;</v>
      </c>
    </row>
    <row r="44" spans="1:28" x14ac:dyDescent="0.25">
      <c r="A44" s="262" t="s">
        <v>179</v>
      </c>
      <c r="B44" s="263" t="s">
        <v>180</v>
      </c>
      <c r="C44" s="264" t="s">
        <v>180</v>
      </c>
      <c r="D44" s="344">
        <v>10459497895</v>
      </c>
      <c r="E44" s="344">
        <v>98510571</v>
      </c>
      <c r="F44" s="344">
        <v>10360987324</v>
      </c>
      <c r="G44" s="343">
        <v>2535298.58</v>
      </c>
      <c r="H44" s="265">
        <v>27</v>
      </c>
      <c r="I44" s="266">
        <v>0</v>
      </c>
      <c r="J44" s="264">
        <v>27</v>
      </c>
      <c r="K44" s="267">
        <v>0</v>
      </c>
      <c r="L44" s="268">
        <v>0</v>
      </c>
      <c r="M44" s="267">
        <v>0</v>
      </c>
      <c r="N44" s="264">
        <v>0</v>
      </c>
      <c r="O44" s="356">
        <v>13.484999999999999</v>
      </c>
      <c r="P44" s="267">
        <v>0.245</v>
      </c>
      <c r="Q44" s="269">
        <v>40.729999999999997</v>
      </c>
      <c r="R44" s="266">
        <v>5.2039999999999997</v>
      </c>
      <c r="S44" s="268">
        <v>0</v>
      </c>
      <c r="T44" s="268">
        <v>0</v>
      </c>
      <c r="U44" s="268">
        <v>0</v>
      </c>
      <c r="V44" s="268">
        <v>0</v>
      </c>
      <c r="W44" s="266">
        <v>45.933999999999997</v>
      </c>
      <c r="X44" s="344">
        <v>59.542000000000002</v>
      </c>
      <c r="Y44" s="344">
        <v>632307388.16200006</v>
      </c>
      <c r="Z44" s="344">
        <v>331935821.19399995</v>
      </c>
      <c r="AB44" s="205" t="str">
        <f t="shared" si="1"/>
        <v>UPDATE mill_levy SET cert_per_hb201418 = 27,cert_hb201418_tax_credit = 0,certified_catbuy_mill_levy = 0,cert_tot_prog_reserve_fund = 0,certified_hh_mill_levy = 0,certified_override_mill_levy = 13.485,certified_abate_mill_levy = 0.245,certified_bond_mill_levy = 5.204,certified_transport_mill_levy = 0,certified_sbt_mill_levy = 0,cert_supp_cap_construction = 0,certified_other_mill_levy = 0,full_funding_mill_levy = 59.542,state_funding = 331935821.194 WHERE district_number = '0900' AND fiscal_year = 20222023;</v>
      </c>
    </row>
    <row r="45" spans="1:28" x14ac:dyDescent="0.25">
      <c r="A45" s="262" t="s">
        <v>181</v>
      </c>
      <c r="B45" s="263" t="s">
        <v>182</v>
      </c>
      <c r="C45" s="264" t="s">
        <v>182</v>
      </c>
      <c r="D45" s="344">
        <v>4762708440</v>
      </c>
      <c r="E45" s="344">
        <v>182628230</v>
      </c>
      <c r="F45" s="344">
        <v>4580080210</v>
      </c>
      <c r="G45" s="343">
        <v>129868.81</v>
      </c>
      <c r="H45" s="265">
        <v>12.138</v>
      </c>
      <c r="I45" s="266">
        <v>0</v>
      </c>
      <c r="J45" s="264">
        <v>12.138</v>
      </c>
      <c r="K45" s="267">
        <v>0</v>
      </c>
      <c r="L45" s="268">
        <v>0</v>
      </c>
      <c r="M45" s="267">
        <v>0.46200000000000002</v>
      </c>
      <c r="N45" s="264">
        <v>0</v>
      </c>
      <c r="O45" s="356">
        <v>3.512</v>
      </c>
      <c r="P45" s="267">
        <v>2.8000000000000001E-2</v>
      </c>
      <c r="Q45" s="269">
        <v>16.14</v>
      </c>
      <c r="R45" s="266">
        <v>5.9589999999999996</v>
      </c>
      <c r="S45" s="268">
        <v>0.218</v>
      </c>
      <c r="T45" s="268">
        <v>0</v>
      </c>
      <c r="U45" s="268">
        <v>0</v>
      </c>
      <c r="V45" s="268">
        <v>0</v>
      </c>
      <c r="W45" s="266">
        <v>22.317</v>
      </c>
      <c r="X45" s="344">
        <v>15.615</v>
      </c>
      <c r="Y45" s="344">
        <v>71249343.34799999</v>
      </c>
      <c r="Z45" s="344">
        <v>13287338.909019999</v>
      </c>
      <c r="AB45" s="205" t="str">
        <f t="shared" si="1"/>
        <v>UPDATE mill_levy SET cert_per_hb201418 = 12.138,cert_hb201418_tax_credit = 0,certified_catbuy_mill_levy = 0,cert_tot_prog_reserve_fund = 0,certified_hh_mill_levy = 0.462,certified_override_mill_levy = 3.512,certified_abate_mill_levy = 0.028,certified_bond_mill_levy = 5.959,certified_transport_mill_levy = 0.218,certified_sbt_mill_levy = 0,cert_supp_cap_construction = 0,certified_other_mill_levy = 0,full_funding_mill_levy = 15.615,state_funding = 13287338.90902 WHERE district_number = '0910' AND fiscal_year = 20222023;</v>
      </c>
    </row>
    <row r="46" spans="1:28" x14ac:dyDescent="0.25">
      <c r="A46" s="262" t="s">
        <v>183</v>
      </c>
      <c r="B46" s="270" t="s">
        <v>184</v>
      </c>
      <c r="C46" s="271" t="s">
        <v>185</v>
      </c>
      <c r="D46" s="344">
        <v>367330061</v>
      </c>
      <c r="E46" s="344">
        <v>0</v>
      </c>
      <c r="F46" s="344">
        <v>367330061</v>
      </c>
      <c r="G46" s="343">
        <v>8815.24</v>
      </c>
      <c r="H46" s="265">
        <v>27</v>
      </c>
      <c r="I46" s="266">
        <v>0</v>
      </c>
      <c r="J46" s="264">
        <v>27</v>
      </c>
      <c r="K46" s="267">
        <v>0</v>
      </c>
      <c r="L46" s="268">
        <v>0</v>
      </c>
      <c r="M46" s="267">
        <v>0</v>
      </c>
      <c r="N46" s="264">
        <v>0</v>
      </c>
      <c r="O46" s="356">
        <v>4.3289999999999997</v>
      </c>
      <c r="P46" s="267">
        <v>2.4E-2</v>
      </c>
      <c r="Q46" s="269">
        <v>31.353000000000002</v>
      </c>
      <c r="R46" s="266">
        <v>0</v>
      </c>
      <c r="S46" s="268">
        <v>0</v>
      </c>
      <c r="T46" s="268">
        <v>0</v>
      </c>
      <c r="U46" s="268">
        <v>0</v>
      </c>
      <c r="V46" s="268">
        <v>0</v>
      </c>
      <c r="W46" s="266">
        <v>31.353000000000002</v>
      </c>
      <c r="X46" s="344">
        <v>61.298000000000002</v>
      </c>
      <c r="Y46" s="344">
        <v>24494571.780000001</v>
      </c>
      <c r="Z46" s="344">
        <v>13476549.513</v>
      </c>
      <c r="AB46" s="205" t="str">
        <f t="shared" si="1"/>
        <v>UPDATE mill_levy SET cert_per_hb201418 = 27,cert_hb201418_tax_credit = 0,certified_catbuy_mill_levy = 0,cert_tot_prog_reserve_fund = 0,certified_hh_mill_levy = 0,certified_override_mill_levy = 4.329,certified_abate_mill_levy = 0.024,certified_bond_mill_levy = 0,certified_transport_mill_levy = 0,certified_sbt_mill_levy = 0,cert_supp_cap_construction = 0,certified_other_mill_levy = 0,full_funding_mill_levy = 61.298,state_funding = 13476549.513 WHERE district_number = '0920' AND fiscal_year = 20222023;</v>
      </c>
    </row>
    <row r="47" spans="1:28" x14ac:dyDescent="0.25">
      <c r="A47" s="262" t="s">
        <v>186</v>
      </c>
      <c r="B47" s="263" t="s">
        <v>184</v>
      </c>
      <c r="C47" s="264" t="s">
        <v>187</v>
      </c>
      <c r="D47" s="344">
        <v>67234108</v>
      </c>
      <c r="E47" s="344">
        <v>0</v>
      </c>
      <c r="F47" s="344">
        <v>67234108</v>
      </c>
      <c r="G47" s="343">
        <v>4451.4799999999996</v>
      </c>
      <c r="H47" s="265">
        <v>27</v>
      </c>
      <c r="I47" s="266">
        <v>4.8120000000000003</v>
      </c>
      <c r="J47" s="264">
        <v>22.187999999999999</v>
      </c>
      <c r="K47" s="267">
        <v>0</v>
      </c>
      <c r="L47" s="268">
        <v>0</v>
      </c>
      <c r="M47" s="267">
        <v>0</v>
      </c>
      <c r="N47" s="264">
        <v>0</v>
      </c>
      <c r="O47" s="356">
        <v>0</v>
      </c>
      <c r="P47" s="267">
        <v>6.6000000000000003E-2</v>
      </c>
      <c r="Q47" s="269">
        <v>22.254000000000001</v>
      </c>
      <c r="R47" s="266">
        <v>0</v>
      </c>
      <c r="S47" s="268">
        <v>0</v>
      </c>
      <c r="T47" s="268">
        <v>0</v>
      </c>
      <c r="U47" s="268">
        <v>0</v>
      </c>
      <c r="V47" s="268">
        <v>0</v>
      </c>
      <c r="W47" s="266">
        <v>22.254000000000001</v>
      </c>
      <c r="X47" s="344">
        <v>58.634999999999998</v>
      </c>
      <c r="Y47" s="344">
        <v>4345187.4000000004</v>
      </c>
      <c r="Z47" s="344">
        <v>2684858.4416960008</v>
      </c>
      <c r="AB47" s="205" t="str">
        <f t="shared" si="1"/>
        <v>UPDATE mill_levy SET cert_per_hb201418 = 27,cert_hb201418_tax_credit = 4.812,certified_catbuy_mill_levy = 0,cert_tot_prog_reserve_fund = 0,certified_hh_mill_levy = 0,certified_override_mill_levy = 0,certified_abate_mill_levy = 0.066,certified_bond_mill_levy = 0,certified_transport_mill_levy = 0,certified_sbt_mill_levy = 0,cert_supp_cap_construction = 0,certified_other_mill_levy = 0,full_funding_mill_levy = 58.635,state_funding = 2684858.441696 WHERE district_number = '0930' AND fiscal_year = 20222023;</v>
      </c>
    </row>
    <row r="48" spans="1:28" x14ac:dyDescent="0.25">
      <c r="A48" s="262" t="s">
        <v>188</v>
      </c>
      <c r="B48" s="263" t="s">
        <v>184</v>
      </c>
      <c r="C48" s="264" t="s">
        <v>189</v>
      </c>
      <c r="D48" s="344">
        <v>43488050</v>
      </c>
      <c r="E48" s="344">
        <v>0</v>
      </c>
      <c r="F48" s="344">
        <v>43488050</v>
      </c>
      <c r="G48" s="343">
        <v>1714.01</v>
      </c>
      <c r="H48" s="265">
        <v>27</v>
      </c>
      <c r="I48" s="266">
        <v>0</v>
      </c>
      <c r="J48" s="264">
        <v>27</v>
      </c>
      <c r="K48" s="267">
        <v>0</v>
      </c>
      <c r="L48" s="268">
        <v>0</v>
      </c>
      <c r="M48" s="267">
        <v>0</v>
      </c>
      <c r="N48" s="264">
        <v>0</v>
      </c>
      <c r="O48" s="356">
        <v>0</v>
      </c>
      <c r="P48" s="267">
        <v>3.9E-2</v>
      </c>
      <c r="Q48" s="269">
        <v>27.039000000000001</v>
      </c>
      <c r="R48" s="266">
        <v>4.577</v>
      </c>
      <c r="S48" s="268">
        <v>0</v>
      </c>
      <c r="T48" s="268">
        <v>0</v>
      </c>
      <c r="U48" s="268">
        <v>0</v>
      </c>
      <c r="V48" s="268">
        <v>0</v>
      </c>
      <c r="W48" s="266">
        <v>31.616</v>
      </c>
      <c r="X48" s="344">
        <v>104.253</v>
      </c>
      <c r="Y48" s="344">
        <v>4601232.26</v>
      </c>
      <c r="Z48" s="344">
        <v>3258296.5399999996</v>
      </c>
      <c r="AB48" s="205" t="str">
        <f t="shared" si="1"/>
        <v>UPDATE mill_levy SET cert_per_hb201418 = 27,cert_hb201418_tax_credit = 0,certified_catbuy_mill_levy = 0,cert_tot_prog_reserve_fund = 0,certified_hh_mill_levy = 0,certified_override_mill_levy = 0,certified_abate_mill_levy = 0.039,certified_bond_mill_levy = 4.577,certified_transport_mill_levy = 0,certified_sbt_mill_levy = 0,cert_supp_cap_construction = 0,certified_other_mill_levy = 0,full_funding_mill_levy = 104.253,state_funding = 3258296.54 WHERE district_number = '0940' AND fiscal_year = 20222023;</v>
      </c>
    </row>
    <row r="49" spans="1:28" x14ac:dyDescent="0.25">
      <c r="A49" s="262" t="s">
        <v>190</v>
      </c>
      <c r="B49" s="263" t="s">
        <v>184</v>
      </c>
      <c r="C49" s="264" t="s">
        <v>184</v>
      </c>
      <c r="D49" s="344">
        <v>36779971</v>
      </c>
      <c r="E49" s="344">
        <v>0</v>
      </c>
      <c r="F49" s="344">
        <v>36779971</v>
      </c>
      <c r="G49" s="343">
        <v>3035</v>
      </c>
      <c r="H49" s="265">
        <v>24.431000000000001</v>
      </c>
      <c r="I49" s="266">
        <v>0.83499999999999996</v>
      </c>
      <c r="J49" s="264">
        <v>23.596</v>
      </c>
      <c r="K49" s="267">
        <v>0</v>
      </c>
      <c r="L49" s="268">
        <v>0</v>
      </c>
      <c r="M49" s="267">
        <v>0</v>
      </c>
      <c r="N49" s="264">
        <v>0</v>
      </c>
      <c r="O49" s="356">
        <v>0</v>
      </c>
      <c r="P49" s="267">
        <v>8.3000000000000004E-2</v>
      </c>
      <c r="Q49" s="269">
        <v>23.678999999999998</v>
      </c>
      <c r="R49" s="266">
        <v>5.4119999999999999</v>
      </c>
      <c r="S49" s="268">
        <v>0</v>
      </c>
      <c r="T49" s="268">
        <v>0</v>
      </c>
      <c r="U49" s="268">
        <v>0</v>
      </c>
      <c r="V49" s="268">
        <v>0</v>
      </c>
      <c r="W49" s="266">
        <v>29.091000000000001</v>
      </c>
      <c r="X49" s="344">
        <v>99.86</v>
      </c>
      <c r="Y49" s="344">
        <v>4028531.57</v>
      </c>
      <c r="Z49" s="344">
        <v>3063970.524284</v>
      </c>
      <c r="AB49" s="205" t="str">
        <f t="shared" si="1"/>
        <v>UPDATE mill_levy SET cert_per_hb201418 = 24.431,cert_hb201418_tax_credit = 0.835,certified_catbuy_mill_levy = 0,cert_tot_prog_reserve_fund = 0,certified_hh_mill_levy = 0,certified_override_mill_levy = 0,certified_abate_mill_levy = 0.083,certified_bond_mill_levy = 5.412,certified_transport_mill_levy = 0,certified_sbt_mill_levy = 0,cert_supp_cap_construction = 0,certified_other_mill_levy = 0,full_funding_mill_levy = 99.86,state_funding = 3063970.524284 WHERE district_number = '0950' AND fiscal_year = 20222023;</v>
      </c>
    </row>
    <row r="50" spans="1:28" x14ac:dyDescent="0.25">
      <c r="A50" s="262" t="s">
        <v>191</v>
      </c>
      <c r="B50" s="270" t="s">
        <v>184</v>
      </c>
      <c r="C50" s="271" t="s">
        <v>192</v>
      </c>
      <c r="D50" s="344">
        <v>29731915</v>
      </c>
      <c r="E50" s="344">
        <v>0</v>
      </c>
      <c r="F50" s="344">
        <v>29731915</v>
      </c>
      <c r="G50" s="343">
        <v>481.71</v>
      </c>
      <c r="H50" s="265">
        <v>27</v>
      </c>
      <c r="I50" s="266">
        <v>7.202</v>
      </c>
      <c r="J50" s="264">
        <v>19.797999999999998</v>
      </c>
      <c r="K50" s="267">
        <v>0</v>
      </c>
      <c r="L50" s="268">
        <v>0</v>
      </c>
      <c r="M50" s="267">
        <v>0</v>
      </c>
      <c r="N50" s="264">
        <v>0</v>
      </c>
      <c r="O50" s="356">
        <v>0</v>
      </c>
      <c r="P50" s="267">
        <v>1.6E-2</v>
      </c>
      <c r="Q50" s="269">
        <v>19.814</v>
      </c>
      <c r="R50" s="266">
        <v>0</v>
      </c>
      <c r="S50" s="268">
        <v>0</v>
      </c>
      <c r="T50" s="268">
        <v>0</v>
      </c>
      <c r="U50" s="268">
        <v>0</v>
      </c>
      <c r="V50" s="268">
        <v>0</v>
      </c>
      <c r="W50" s="266">
        <v>19.814</v>
      </c>
      <c r="X50" s="344">
        <v>47.862000000000002</v>
      </c>
      <c r="Y50" s="344">
        <v>1529552.85</v>
      </c>
      <c r="Z50" s="344">
        <v>867024.45683000004</v>
      </c>
      <c r="AB50" s="205" t="str">
        <f t="shared" si="1"/>
        <v>UPDATE mill_levy SET cert_per_hb201418 = 27,cert_hb201418_tax_credit = 7.202,certified_catbuy_mill_levy = 0,cert_tot_prog_reserve_fund = 0,certified_hh_mill_levy = 0,certified_override_mill_levy = 0,certified_abate_mill_levy = 0.016,certified_bond_mill_levy = 0,certified_transport_mill_levy = 0,certified_sbt_mill_levy = 0,cert_supp_cap_construction = 0,certified_other_mill_levy = 0,full_funding_mill_levy = 47.862,state_funding = 867024.45683 WHERE district_number = '0960' AND fiscal_year = 20222023;</v>
      </c>
    </row>
    <row r="51" spans="1:28" x14ac:dyDescent="0.25">
      <c r="A51" s="262" t="s">
        <v>193</v>
      </c>
      <c r="B51" s="270" t="s">
        <v>194</v>
      </c>
      <c r="C51" s="271" t="s">
        <v>195</v>
      </c>
      <c r="D51" s="344">
        <v>57486290</v>
      </c>
      <c r="E51" s="344">
        <v>0</v>
      </c>
      <c r="F51" s="344">
        <v>57486290</v>
      </c>
      <c r="G51" s="343">
        <v>7305.69</v>
      </c>
      <c r="H51" s="265">
        <v>27</v>
      </c>
      <c r="I51" s="266">
        <v>0</v>
      </c>
      <c r="J51" s="264">
        <v>27</v>
      </c>
      <c r="K51" s="267">
        <v>0</v>
      </c>
      <c r="L51" s="268">
        <v>0</v>
      </c>
      <c r="M51" s="267">
        <v>0</v>
      </c>
      <c r="N51" s="264">
        <v>0</v>
      </c>
      <c r="O51" s="356">
        <v>0</v>
      </c>
      <c r="P51" s="267">
        <v>0.127</v>
      </c>
      <c r="Q51" s="269">
        <v>27.126999999999999</v>
      </c>
      <c r="R51" s="266">
        <v>9.5</v>
      </c>
      <c r="S51" s="268">
        <v>0</v>
      </c>
      <c r="T51" s="268">
        <v>0</v>
      </c>
      <c r="U51" s="268">
        <v>0</v>
      </c>
      <c r="V51" s="268">
        <v>0</v>
      </c>
      <c r="W51" s="266">
        <v>36.627000000000002</v>
      </c>
      <c r="X51" s="344">
        <v>90.491</v>
      </c>
      <c r="Y51" s="344">
        <v>5495979.2699999996</v>
      </c>
      <c r="Z51" s="344">
        <v>3823907.9199999995</v>
      </c>
      <c r="AB51" s="205" t="str">
        <f t="shared" si="1"/>
        <v>UPDATE mill_levy SET cert_per_hb201418 = 27,cert_hb201418_tax_credit = 0,certified_catbuy_mill_levy = 0,cert_tot_prog_reserve_fund = 0,certified_hh_mill_levy = 0,certified_override_mill_levy = 0,certified_abate_mill_levy = 0.127,certified_bond_mill_levy = 9.5,certified_transport_mill_levy = 0,certified_sbt_mill_levy = 0,cert_supp_cap_construction = 0,certified_other_mill_levy = 0,full_funding_mill_levy = 90.491,state_funding = 3823907.92 WHERE district_number = '0970' AND fiscal_year = 20222023;</v>
      </c>
    </row>
    <row r="52" spans="1:28" x14ac:dyDescent="0.25">
      <c r="A52" s="262" t="s">
        <v>196</v>
      </c>
      <c r="B52" s="263" t="s">
        <v>194</v>
      </c>
      <c r="C52" s="264" t="s">
        <v>197</v>
      </c>
      <c r="D52" s="344">
        <v>997365410</v>
      </c>
      <c r="E52" s="344">
        <v>11318430</v>
      </c>
      <c r="F52" s="344">
        <v>986046980</v>
      </c>
      <c r="G52" s="343">
        <v>303718</v>
      </c>
      <c r="H52" s="265">
        <v>15.72</v>
      </c>
      <c r="I52" s="266">
        <v>0</v>
      </c>
      <c r="J52" s="264">
        <v>15.72</v>
      </c>
      <c r="K52" s="267">
        <v>0</v>
      </c>
      <c r="L52" s="268">
        <v>0</v>
      </c>
      <c r="M52" s="267">
        <v>0</v>
      </c>
      <c r="N52" s="264">
        <v>0</v>
      </c>
      <c r="O52" s="356">
        <v>5.8319999999999999</v>
      </c>
      <c r="P52" s="267">
        <v>0.308</v>
      </c>
      <c r="Q52" s="269">
        <v>21.86</v>
      </c>
      <c r="R52" s="266">
        <v>14.757999999999999</v>
      </c>
      <c r="S52" s="268">
        <v>0</v>
      </c>
      <c r="T52" s="268">
        <v>0</v>
      </c>
      <c r="U52" s="268">
        <v>0</v>
      </c>
      <c r="V52" s="268">
        <v>0</v>
      </c>
      <c r="W52" s="266">
        <v>36.618000000000002</v>
      </c>
      <c r="X52" s="344">
        <v>127.13800000000001</v>
      </c>
      <c r="Y52" s="344">
        <v>135078960.16</v>
      </c>
      <c r="Z52" s="344">
        <v>118152732.09439999</v>
      </c>
      <c r="AB52" s="205" t="str">
        <f t="shared" si="1"/>
        <v>UPDATE mill_levy SET cert_per_hb201418 = 15.72,cert_hb201418_tax_credit = 0,certified_catbuy_mill_levy = 0,cert_tot_prog_reserve_fund = 0,certified_hh_mill_levy = 0,certified_override_mill_levy = 5.832,certified_abate_mill_levy = 0.308,certified_bond_mill_levy = 14.758,certified_transport_mill_levy = 0,certified_sbt_mill_levy = 0,cert_supp_cap_construction = 0,certified_other_mill_levy = 0,full_funding_mill_levy = 127.138,state_funding = 118152732.0944 WHERE district_number = '0980' AND fiscal_year = 20222023;</v>
      </c>
    </row>
    <row r="53" spans="1:28" x14ac:dyDescent="0.25">
      <c r="A53" s="263" t="s">
        <v>198</v>
      </c>
      <c r="B53" s="270" t="s">
        <v>194</v>
      </c>
      <c r="C53" s="271" t="s">
        <v>199</v>
      </c>
      <c r="D53" s="344">
        <v>855646760</v>
      </c>
      <c r="E53" s="344">
        <v>2070940</v>
      </c>
      <c r="F53" s="344">
        <v>853575820</v>
      </c>
      <c r="G53" s="343">
        <v>47462.94</v>
      </c>
      <c r="H53" s="265">
        <v>27</v>
      </c>
      <c r="I53" s="266">
        <v>2.1059999999999999</v>
      </c>
      <c r="J53" s="264">
        <v>24.893999999999998</v>
      </c>
      <c r="K53" s="267">
        <v>0</v>
      </c>
      <c r="L53" s="268">
        <v>0</v>
      </c>
      <c r="M53" s="267">
        <v>0</v>
      </c>
      <c r="N53" s="264">
        <v>0</v>
      </c>
      <c r="O53" s="356">
        <v>11.135</v>
      </c>
      <c r="P53" s="267">
        <v>5.6000000000000001E-2</v>
      </c>
      <c r="Q53" s="269">
        <v>36.085000000000001</v>
      </c>
      <c r="R53" s="266">
        <v>4.7</v>
      </c>
      <c r="S53" s="268">
        <v>0</v>
      </c>
      <c r="T53" s="268">
        <v>0</v>
      </c>
      <c r="U53" s="268">
        <v>0</v>
      </c>
      <c r="V53" s="268">
        <v>6.3120000000000003</v>
      </c>
      <c r="W53" s="266">
        <v>47.097000000000001</v>
      </c>
      <c r="X53" s="344">
        <v>101.90900000000001</v>
      </c>
      <c r="Y53" s="344">
        <v>93604949.049999997</v>
      </c>
      <c r="Z53" s="344">
        <v>70293691.596919999</v>
      </c>
      <c r="AB53" s="205" t="str">
        <f t="shared" si="1"/>
        <v>UPDATE mill_levy SET cert_per_hb201418 = 27,cert_hb201418_tax_credit = 2.106,certified_catbuy_mill_levy = 0,cert_tot_prog_reserve_fund = 0,certified_hh_mill_levy = 0,certified_override_mill_levy = 11.135,certified_abate_mill_levy = 0.056,certified_bond_mill_levy = 4.7,certified_transport_mill_levy = 0,certified_sbt_mill_levy = 0,cert_supp_cap_construction = 0,certified_other_mill_levy = 6.312,full_funding_mill_levy = 101.909,state_funding = 70293691.59692 WHERE district_number = '0990' AND fiscal_year = 20222023;</v>
      </c>
    </row>
    <row r="54" spans="1:28" x14ac:dyDescent="0.25">
      <c r="A54" s="262" t="s">
        <v>200</v>
      </c>
      <c r="B54" s="263" t="s">
        <v>194</v>
      </c>
      <c r="C54" s="264" t="s">
        <v>201</v>
      </c>
      <c r="D54" s="344">
        <v>247559830</v>
      </c>
      <c r="E54" s="344">
        <v>4900420</v>
      </c>
      <c r="F54" s="344">
        <v>242659410</v>
      </c>
      <c r="G54" s="343">
        <v>11438.12</v>
      </c>
      <c r="H54" s="265">
        <v>27</v>
      </c>
      <c r="I54" s="266">
        <v>4.3159999999999998</v>
      </c>
      <c r="J54" s="264">
        <v>22.684000000000001</v>
      </c>
      <c r="K54" s="267">
        <v>0</v>
      </c>
      <c r="L54" s="268">
        <v>0</v>
      </c>
      <c r="M54" s="267">
        <v>0</v>
      </c>
      <c r="N54" s="264">
        <v>0</v>
      </c>
      <c r="O54" s="356">
        <v>5</v>
      </c>
      <c r="P54" s="267">
        <v>4.7E-2</v>
      </c>
      <c r="Q54" s="269">
        <v>27.731000000000002</v>
      </c>
      <c r="R54" s="266">
        <v>0</v>
      </c>
      <c r="S54" s="268">
        <v>0</v>
      </c>
      <c r="T54" s="268">
        <v>0</v>
      </c>
      <c r="U54" s="268">
        <v>0</v>
      </c>
      <c r="V54" s="268">
        <v>0</v>
      </c>
      <c r="W54" s="266">
        <v>27.731000000000002</v>
      </c>
      <c r="X54" s="344">
        <v>307.363</v>
      </c>
      <c r="Y54" s="344">
        <v>79326664.150000006</v>
      </c>
      <c r="Z54" s="344">
        <v>73364291.823560014</v>
      </c>
      <c r="AB54" s="205" t="str">
        <f t="shared" si="1"/>
        <v>UPDATE mill_levy SET cert_per_hb201418 = 27,cert_hb201418_tax_credit = 4.316,certified_catbuy_mill_levy = 0,cert_tot_prog_reserve_fund = 0,certified_hh_mill_levy = 0,certified_override_mill_levy = 5,certified_abate_mill_levy = 0.047,certified_bond_mill_levy = 0,certified_transport_mill_levy = 0,certified_sbt_mill_levy = 0,cert_supp_cap_construction = 0,certified_other_mill_levy = 0,full_funding_mill_levy = 307.363,state_funding = 73364291.82356 WHERE district_number = '1000' AND fiscal_year = 20222023;</v>
      </c>
    </row>
    <row r="55" spans="1:28" x14ac:dyDescent="0.25">
      <c r="A55" s="262" t="s">
        <v>202</v>
      </c>
      <c r="B55" s="263" t="s">
        <v>194</v>
      </c>
      <c r="C55" s="264" t="s">
        <v>203</v>
      </c>
      <c r="D55" s="344">
        <v>4233689670</v>
      </c>
      <c r="E55" s="344">
        <v>111823160</v>
      </c>
      <c r="F55" s="344">
        <v>4121866510</v>
      </c>
      <c r="G55" s="343">
        <v>960274.44</v>
      </c>
      <c r="H55" s="265">
        <v>20.715</v>
      </c>
      <c r="I55" s="266">
        <v>0</v>
      </c>
      <c r="J55" s="264">
        <v>20.715</v>
      </c>
      <c r="K55" s="267">
        <v>0</v>
      </c>
      <c r="L55" s="268">
        <v>0</v>
      </c>
      <c r="M55" s="267">
        <v>0</v>
      </c>
      <c r="N55" s="264">
        <v>0</v>
      </c>
      <c r="O55" s="356">
        <v>19.120999999999999</v>
      </c>
      <c r="P55" s="267">
        <v>0.23300000000000001</v>
      </c>
      <c r="Q55" s="269">
        <v>40.069000000000003</v>
      </c>
      <c r="R55" s="266">
        <v>0</v>
      </c>
      <c r="S55" s="268">
        <v>0</v>
      </c>
      <c r="T55" s="268">
        <v>0</v>
      </c>
      <c r="U55" s="268">
        <v>0</v>
      </c>
      <c r="V55" s="268">
        <v>0</v>
      </c>
      <c r="W55" s="266">
        <v>40.069000000000003</v>
      </c>
      <c r="X55" s="344">
        <v>61.637</v>
      </c>
      <c r="Y55" s="344">
        <v>237754218.27000001</v>
      </c>
      <c r="Z55" s="344">
        <v>144320281.79535002</v>
      </c>
      <c r="AB55" s="205" t="str">
        <f t="shared" si="1"/>
        <v>UPDATE mill_levy SET cert_per_hb201418 = 20.715,cert_hb201418_tax_credit = 0,certified_catbuy_mill_levy = 0,cert_tot_prog_reserve_fund = 0,certified_hh_mill_levy = 0,certified_override_mill_levy = 19.121,certified_abate_mill_levy = 0.233,certified_bond_mill_levy = 0,certified_transport_mill_levy = 0,certified_sbt_mill_levy = 0,cert_supp_cap_construction = 0,certified_other_mill_levy = 0,full_funding_mill_levy = 61.637,state_funding = 144320281.79535 WHERE district_number = '1010' AND fiscal_year = 20222023;</v>
      </c>
    </row>
    <row r="56" spans="1:28" x14ac:dyDescent="0.25">
      <c r="A56" s="262" t="s">
        <v>204</v>
      </c>
      <c r="B56" s="270" t="s">
        <v>194</v>
      </c>
      <c r="C56" s="271" t="s">
        <v>205</v>
      </c>
      <c r="D56" s="344">
        <v>535684470</v>
      </c>
      <c r="E56" s="344">
        <v>0</v>
      </c>
      <c r="F56" s="344">
        <v>535684470</v>
      </c>
      <c r="G56" s="343">
        <v>23835.360000000001</v>
      </c>
      <c r="H56" s="265">
        <v>27</v>
      </c>
      <c r="I56" s="266">
        <v>0</v>
      </c>
      <c r="J56" s="264">
        <v>27</v>
      </c>
      <c r="K56" s="267">
        <v>0</v>
      </c>
      <c r="L56" s="268">
        <v>0</v>
      </c>
      <c r="M56" s="267">
        <v>0</v>
      </c>
      <c r="N56" s="264">
        <v>0</v>
      </c>
      <c r="O56" s="356">
        <v>17.355</v>
      </c>
      <c r="P56" s="267">
        <v>4.4999999999999998E-2</v>
      </c>
      <c r="Q56" s="269">
        <v>44.4</v>
      </c>
      <c r="R56" s="266">
        <v>10.6</v>
      </c>
      <c r="S56" s="268">
        <v>0</v>
      </c>
      <c r="T56" s="268">
        <v>0</v>
      </c>
      <c r="U56" s="268">
        <v>0</v>
      </c>
      <c r="V56" s="268">
        <v>0</v>
      </c>
      <c r="W56" s="266">
        <v>55</v>
      </c>
      <c r="X56" s="344">
        <v>63.027000000000001</v>
      </c>
      <c r="Y56" s="344">
        <v>36543997.630000003</v>
      </c>
      <c r="Z56" s="344">
        <v>20752100.750000004</v>
      </c>
      <c r="AB56" s="205" t="str">
        <f t="shared" si="1"/>
        <v>UPDATE mill_levy SET cert_per_hb201418 = 27,cert_hb201418_tax_credit = 0,certified_catbuy_mill_levy = 0,cert_tot_prog_reserve_fund = 0,certified_hh_mill_levy = 0,certified_override_mill_levy = 17.355,certified_abate_mill_levy = 0.045,certified_bond_mill_levy = 10.6,certified_transport_mill_levy = 0,certified_sbt_mill_levy = 0,cert_supp_cap_construction = 0,certified_other_mill_levy = 0,full_funding_mill_levy = 63.027,state_funding = 20752100.75 WHERE district_number = '1020' AND fiscal_year = 20222023;</v>
      </c>
    </row>
    <row r="57" spans="1:28" x14ac:dyDescent="0.25">
      <c r="A57" s="262" t="s">
        <v>206</v>
      </c>
      <c r="B57" s="263" t="s">
        <v>194</v>
      </c>
      <c r="C57" s="264" t="s">
        <v>207</v>
      </c>
      <c r="D57" s="344">
        <v>185536830</v>
      </c>
      <c r="E57" s="344">
        <v>2613580</v>
      </c>
      <c r="F57" s="344">
        <v>182923250</v>
      </c>
      <c r="G57" s="343">
        <v>39586.47</v>
      </c>
      <c r="H57" s="265">
        <v>27</v>
      </c>
      <c r="I57" s="266">
        <v>1.1839999999999999</v>
      </c>
      <c r="J57" s="264">
        <v>25.815999999999999</v>
      </c>
      <c r="K57" s="267">
        <v>0</v>
      </c>
      <c r="L57" s="268">
        <v>0</v>
      </c>
      <c r="M57" s="267">
        <v>0</v>
      </c>
      <c r="N57" s="264">
        <v>0</v>
      </c>
      <c r="O57" s="356">
        <v>23.175999999999998</v>
      </c>
      <c r="P57" s="267">
        <v>0.216</v>
      </c>
      <c r="Q57" s="269">
        <v>49.207999999999998</v>
      </c>
      <c r="R57" s="266">
        <v>0</v>
      </c>
      <c r="S57" s="268">
        <v>0</v>
      </c>
      <c r="T57" s="268">
        <v>0</v>
      </c>
      <c r="U57" s="268">
        <v>0</v>
      </c>
      <c r="V57" s="268">
        <v>0</v>
      </c>
      <c r="W57" s="266">
        <v>49.207999999999998</v>
      </c>
      <c r="X57" s="344">
        <v>70.730999999999995</v>
      </c>
      <c r="Y57" s="344">
        <v>14108796.050000001</v>
      </c>
      <c r="Z57" s="344">
        <v>8985753.4580000006</v>
      </c>
      <c r="AB57" s="205" t="str">
        <f t="shared" si="1"/>
        <v>UPDATE mill_levy SET cert_per_hb201418 = 27,cert_hb201418_tax_credit = 1.184,certified_catbuy_mill_levy = 0,cert_tot_prog_reserve_fund = 0,certified_hh_mill_levy = 0,certified_override_mill_levy = 23.176,certified_abate_mill_levy = 0.216,certified_bond_mill_levy = 0,certified_transport_mill_levy = 0,certified_sbt_mill_levy = 0,cert_supp_cap_construction = 0,certified_other_mill_levy = 0,full_funding_mill_levy = 70.731,state_funding = 8985753.458 WHERE district_number = '1030' AND fiscal_year = 20222023;</v>
      </c>
    </row>
    <row r="58" spans="1:28" x14ac:dyDescent="0.25">
      <c r="A58" s="262" t="s">
        <v>208</v>
      </c>
      <c r="B58" s="263" t="s">
        <v>194</v>
      </c>
      <c r="C58" s="264" t="s">
        <v>209</v>
      </c>
      <c r="D58" s="344">
        <v>2811399640</v>
      </c>
      <c r="E58" s="344">
        <v>47166200</v>
      </c>
      <c r="F58" s="344">
        <v>2764233440</v>
      </c>
      <c r="G58" s="343">
        <v>1886059.97</v>
      </c>
      <c r="H58" s="265">
        <v>27</v>
      </c>
      <c r="I58" s="266">
        <v>0</v>
      </c>
      <c r="J58" s="264">
        <v>27</v>
      </c>
      <c r="K58" s="267">
        <v>0</v>
      </c>
      <c r="L58" s="268">
        <v>0</v>
      </c>
      <c r="M58" s="267">
        <v>0</v>
      </c>
      <c r="N58" s="264">
        <v>0</v>
      </c>
      <c r="O58" s="356">
        <v>9.6760000000000002</v>
      </c>
      <c r="P58" s="267">
        <v>0.67900000000000005</v>
      </c>
      <c r="Q58" s="269">
        <v>37.354999999999997</v>
      </c>
      <c r="R58" s="266">
        <v>10.512</v>
      </c>
      <c r="S58" s="268">
        <v>0</v>
      </c>
      <c r="T58" s="268">
        <v>0</v>
      </c>
      <c r="U58" s="268">
        <v>0</v>
      </c>
      <c r="V58" s="268">
        <v>0</v>
      </c>
      <c r="W58" s="266">
        <v>47.866999999999997</v>
      </c>
      <c r="X58" s="344">
        <v>87.867999999999995</v>
      </c>
      <c r="Y58" s="344">
        <v>257850264.52000001</v>
      </c>
      <c r="Z58" s="344">
        <v>176637182.24000001</v>
      </c>
      <c r="AB58" s="205" t="str">
        <f t="shared" si="1"/>
        <v>UPDATE mill_levy SET cert_per_hb201418 = 27,cert_hb201418_tax_credit = 0,certified_catbuy_mill_levy = 0,cert_tot_prog_reserve_fund = 0,certified_hh_mill_levy = 0,certified_override_mill_levy = 9.676,certified_abate_mill_levy = 0.679,certified_bond_mill_levy = 10.512,certified_transport_mill_levy = 0,certified_sbt_mill_levy = 0,cert_supp_cap_construction = 0,certified_other_mill_levy = 0,full_funding_mill_levy = 87.868,state_funding = 176637182.24 WHERE district_number = '1040' AND fiscal_year = 20222023;</v>
      </c>
    </row>
    <row r="59" spans="1:28" x14ac:dyDescent="0.25">
      <c r="A59" s="262" t="s">
        <v>210</v>
      </c>
      <c r="B59" s="270" t="s">
        <v>194</v>
      </c>
      <c r="C59" s="271" t="s">
        <v>211</v>
      </c>
      <c r="D59" s="344">
        <v>60675680</v>
      </c>
      <c r="E59" s="344">
        <v>0</v>
      </c>
      <c r="F59" s="344">
        <v>60675680</v>
      </c>
      <c r="G59" s="343">
        <v>215.54</v>
      </c>
      <c r="H59" s="265">
        <v>27</v>
      </c>
      <c r="I59" s="266">
        <v>0</v>
      </c>
      <c r="J59" s="264">
        <v>27</v>
      </c>
      <c r="K59" s="267">
        <v>0</v>
      </c>
      <c r="L59" s="268">
        <v>0</v>
      </c>
      <c r="M59" s="267">
        <v>0</v>
      </c>
      <c r="N59" s="264">
        <v>0</v>
      </c>
      <c r="O59" s="356">
        <v>0</v>
      </c>
      <c r="P59" s="267">
        <v>0</v>
      </c>
      <c r="Q59" s="269">
        <v>27</v>
      </c>
      <c r="R59" s="266">
        <v>0</v>
      </c>
      <c r="S59" s="268">
        <v>0</v>
      </c>
      <c r="T59" s="268">
        <v>0</v>
      </c>
      <c r="U59" s="268">
        <v>0</v>
      </c>
      <c r="V59" s="268">
        <v>0</v>
      </c>
      <c r="W59" s="266">
        <v>27</v>
      </c>
      <c r="X59" s="344">
        <v>170.589</v>
      </c>
      <c r="Y59" s="344">
        <v>10696792.92</v>
      </c>
      <c r="Z59" s="344">
        <v>8949604.7400000002</v>
      </c>
      <c r="AB59" s="205" t="str">
        <f t="shared" si="1"/>
        <v>UPDATE mill_levy SET cert_per_hb201418 = 27,cert_hb201418_tax_credit = 0,certified_catbuy_mill_levy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170.589,state_funding = 8949604.74 WHERE district_number = '1050' AND fiscal_year = 20222023;</v>
      </c>
    </row>
    <row r="60" spans="1:28" x14ac:dyDescent="0.25">
      <c r="A60" s="262" t="s">
        <v>212</v>
      </c>
      <c r="B60" s="270" t="s">
        <v>194</v>
      </c>
      <c r="C60" s="271" t="s">
        <v>213</v>
      </c>
      <c r="D60" s="344">
        <v>74566440</v>
      </c>
      <c r="E60" s="344">
        <v>0</v>
      </c>
      <c r="F60" s="344">
        <v>74566440</v>
      </c>
      <c r="G60" s="343">
        <v>0</v>
      </c>
      <c r="H60" s="265">
        <v>27</v>
      </c>
      <c r="I60" s="266">
        <v>2.581</v>
      </c>
      <c r="J60" s="264">
        <v>24.419</v>
      </c>
      <c r="K60" s="267">
        <v>0</v>
      </c>
      <c r="L60" s="268">
        <v>0</v>
      </c>
      <c r="M60" s="267">
        <v>0</v>
      </c>
      <c r="N60" s="264">
        <v>0</v>
      </c>
      <c r="O60" s="356">
        <v>0</v>
      </c>
      <c r="P60" s="267">
        <v>0</v>
      </c>
      <c r="Q60" s="269">
        <v>0</v>
      </c>
      <c r="R60" s="266">
        <v>0</v>
      </c>
      <c r="S60" s="268">
        <v>0</v>
      </c>
      <c r="T60" s="268">
        <v>0</v>
      </c>
      <c r="U60" s="268">
        <v>0</v>
      </c>
      <c r="V60" s="268">
        <v>0</v>
      </c>
      <c r="W60" s="266">
        <v>24.419</v>
      </c>
      <c r="X60" s="344">
        <v>90.34</v>
      </c>
      <c r="Y60" s="344">
        <v>6954190.8700000001</v>
      </c>
      <c r="Z60" s="344">
        <v>4994166.3216399997</v>
      </c>
      <c r="AB60" s="205" t="str">
        <f t="shared" si="1"/>
        <v>UPDATE mill_levy SET cert_per_hb201418 = 27,cert_hb201418_tax_credit = 2.581,certified_catbuy_mill_levy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90.34,state_funding = 4994166.32164 WHERE district_number = '1060' AND fiscal_year = 20222023;</v>
      </c>
    </row>
    <row r="61" spans="1:28" x14ac:dyDescent="0.25">
      <c r="A61" s="262" t="s">
        <v>214</v>
      </c>
      <c r="B61" s="263" t="s">
        <v>194</v>
      </c>
      <c r="C61" s="264" t="s">
        <v>215</v>
      </c>
      <c r="D61" s="344">
        <v>53617430</v>
      </c>
      <c r="E61" s="344">
        <v>0</v>
      </c>
      <c r="F61" s="344">
        <v>53617430</v>
      </c>
      <c r="G61" s="343">
        <v>138922.21</v>
      </c>
      <c r="H61" s="265">
        <v>26.128</v>
      </c>
      <c r="I61" s="266">
        <v>14.695</v>
      </c>
      <c r="J61" s="264">
        <v>11.433</v>
      </c>
      <c r="K61" s="267">
        <v>0</v>
      </c>
      <c r="L61" s="268">
        <v>0</v>
      </c>
      <c r="M61" s="267">
        <v>0</v>
      </c>
      <c r="N61" s="264">
        <v>0</v>
      </c>
      <c r="O61" s="356">
        <v>0</v>
      </c>
      <c r="P61" s="267">
        <v>2.5910000000000002</v>
      </c>
      <c r="Q61" s="269">
        <v>14.023999999999999</v>
      </c>
      <c r="R61" s="266">
        <v>17.5</v>
      </c>
      <c r="S61" s="268">
        <v>0</v>
      </c>
      <c r="T61" s="268">
        <v>0</v>
      </c>
      <c r="U61" s="268">
        <v>0</v>
      </c>
      <c r="V61" s="268">
        <v>0</v>
      </c>
      <c r="W61" s="266">
        <v>31.524000000000001</v>
      </c>
      <c r="X61" s="344">
        <v>77.001000000000005</v>
      </c>
      <c r="Y61" s="344">
        <v>4162297.37</v>
      </c>
      <c r="Z61" s="344">
        <v>3496628.1928099999</v>
      </c>
      <c r="AB61" s="205" t="str">
        <f t="shared" si="1"/>
        <v>UPDATE mill_levy SET cert_per_hb201418 = 26.128,cert_hb201418_tax_credit = 14.695,certified_catbuy_mill_levy = 0,cert_tot_prog_reserve_fund = 0,certified_hh_mill_levy = 0,certified_override_mill_levy = 0,certified_abate_mill_levy = 2.591,certified_bond_mill_levy = 17.5,certified_transport_mill_levy = 0,certified_sbt_mill_levy = 0,cert_supp_cap_construction = 0,certified_other_mill_levy = 0,full_funding_mill_levy = 77.001,state_funding = 3496628.19281 WHERE district_number = '1070' AND fiscal_year = 20222023;</v>
      </c>
    </row>
    <row r="62" spans="1:28" x14ac:dyDescent="0.25">
      <c r="A62" s="262" t="s">
        <v>216</v>
      </c>
      <c r="B62" s="270" t="s">
        <v>194</v>
      </c>
      <c r="C62" s="271" t="s">
        <v>217</v>
      </c>
      <c r="D62" s="344">
        <v>916053740</v>
      </c>
      <c r="E62" s="344">
        <v>0</v>
      </c>
      <c r="F62" s="344">
        <v>916053740</v>
      </c>
      <c r="G62" s="343">
        <v>23183.8</v>
      </c>
      <c r="H62" s="265">
        <v>27</v>
      </c>
      <c r="I62" s="266">
        <v>0.83599999999999997</v>
      </c>
      <c r="J62" s="264">
        <v>26.164000000000001</v>
      </c>
      <c r="K62" s="267">
        <v>0</v>
      </c>
      <c r="L62" s="268">
        <v>0</v>
      </c>
      <c r="M62" s="267">
        <v>0</v>
      </c>
      <c r="N62" s="264">
        <v>0</v>
      </c>
      <c r="O62" s="356">
        <v>4.3659999999999997</v>
      </c>
      <c r="P62" s="267">
        <v>2.1999999999999999E-2</v>
      </c>
      <c r="Q62" s="269">
        <v>30.552</v>
      </c>
      <c r="R62" s="266">
        <v>6.9480000000000004</v>
      </c>
      <c r="S62" s="268">
        <v>0</v>
      </c>
      <c r="T62" s="268">
        <v>0</v>
      </c>
      <c r="U62" s="268">
        <v>0</v>
      </c>
      <c r="V62" s="268">
        <v>0</v>
      </c>
      <c r="W62" s="266">
        <v>37.5</v>
      </c>
      <c r="X62" s="344">
        <v>65.173000000000002</v>
      </c>
      <c r="Y62" s="344">
        <v>63752532.170000002</v>
      </c>
      <c r="Z62" s="344">
        <v>37961746.056639999</v>
      </c>
      <c r="AB62" s="205" t="str">
        <f t="shared" si="1"/>
        <v>UPDATE mill_levy SET cert_per_hb201418 = 27,cert_hb201418_tax_credit = 0.836,certified_catbuy_mill_levy = 0,cert_tot_prog_reserve_fund = 0,certified_hh_mill_levy = 0,certified_override_mill_levy = 4.366,certified_abate_mill_levy = 0.022,certified_bond_mill_levy = 6.948,certified_transport_mill_levy = 0,certified_sbt_mill_levy = 0,cert_supp_cap_construction = 0,certified_other_mill_levy = 0,full_funding_mill_levy = 65.173,state_funding = 37961746.05664 WHERE district_number = '1080' AND fiscal_year = 20222023;</v>
      </c>
    </row>
    <row r="63" spans="1:28" x14ac:dyDescent="0.25">
      <c r="A63" s="262" t="s">
        <v>218</v>
      </c>
      <c r="B63" s="270" t="s">
        <v>194</v>
      </c>
      <c r="C63" s="271" t="s">
        <v>219</v>
      </c>
      <c r="D63" s="344">
        <v>1665259940</v>
      </c>
      <c r="E63" s="344">
        <v>0</v>
      </c>
      <c r="F63" s="344">
        <v>1665259940</v>
      </c>
      <c r="G63" s="343">
        <v>128394</v>
      </c>
      <c r="H63" s="265">
        <v>27</v>
      </c>
      <c r="I63" s="266">
        <v>0</v>
      </c>
      <c r="J63" s="264">
        <v>27</v>
      </c>
      <c r="K63" s="267">
        <v>0</v>
      </c>
      <c r="L63" s="268">
        <v>0</v>
      </c>
      <c r="M63" s="267">
        <v>0</v>
      </c>
      <c r="N63" s="264">
        <v>0</v>
      </c>
      <c r="O63" s="356">
        <v>18.5</v>
      </c>
      <c r="P63" s="267">
        <v>7.6999999999999999E-2</v>
      </c>
      <c r="Q63" s="269">
        <v>45.576999999999998</v>
      </c>
      <c r="R63" s="266">
        <v>0</v>
      </c>
      <c r="S63" s="268">
        <v>0</v>
      </c>
      <c r="T63" s="268">
        <v>0</v>
      </c>
      <c r="U63" s="268">
        <v>0</v>
      </c>
      <c r="V63" s="268">
        <v>0</v>
      </c>
      <c r="W63" s="266">
        <v>45.576999999999998</v>
      </c>
      <c r="X63" s="344">
        <v>166.73099999999999</v>
      </c>
      <c r="Y63" s="344">
        <v>309743989.64999998</v>
      </c>
      <c r="Z63" s="344">
        <v>263809991.78999999</v>
      </c>
      <c r="AB63" s="205" t="str">
        <f t="shared" si="1"/>
        <v>UPDATE mill_levy SET cert_per_hb201418 = 27,cert_hb201418_tax_credit = 0,certified_catbuy_mill_levy = 0,cert_tot_prog_reserve_fund = 0,certified_hh_mill_levy = 0,certified_override_mill_levy = 18.5,certified_abate_mill_levy = 0.077,certified_bond_mill_levy = 0,certified_transport_mill_levy = 0,certified_sbt_mill_levy = 0,cert_supp_cap_construction = 0,certified_other_mill_levy = 0,full_funding_mill_levy = 166.731,state_funding = 263809991.79 WHERE district_number = '1110' AND fiscal_year = 20222023;</v>
      </c>
    </row>
    <row r="64" spans="1:28" x14ac:dyDescent="0.25">
      <c r="A64" s="263" t="s">
        <v>220</v>
      </c>
      <c r="B64" s="263" t="s">
        <v>194</v>
      </c>
      <c r="C64" s="264" t="s">
        <v>221</v>
      </c>
      <c r="D64" s="344">
        <v>7678008</v>
      </c>
      <c r="E64" s="344">
        <v>0</v>
      </c>
      <c r="F64" s="344">
        <v>7678008</v>
      </c>
      <c r="G64" s="343">
        <v>1152.93</v>
      </c>
      <c r="H64" s="265">
        <v>27</v>
      </c>
      <c r="I64" s="266">
        <v>0</v>
      </c>
      <c r="J64" s="264">
        <v>27</v>
      </c>
      <c r="K64" s="267">
        <v>0</v>
      </c>
      <c r="L64" s="268">
        <v>0</v>
      </c>
      <c r="M64" s="267">
        <v>0</v>
      </c>
      <c r="N64" s="264">
        <v>0</v>
      </c>
      <c r="O64" s="356">
        <v>0</v>
      </c>
      <c r="P64" s="267">
        <v>0</v>
      </c>
      <c r="Q64" s="269">
        <v>27</v>
      </c>
      <c r="R64" s="266">
        <v>0</v>
      </c>
      <c r="S64" s="268">
        <v>0</v>
      </c>
      <c r="T64" s="268">
        <v>0</v>
      </c>
      <c r="U64" s="268">
        <v>0</v>
      </c>
      <c r="V64" s="268">
        <v>0</v>
      </c>
      <c r="W64" s="266">
        <v>27</v>
      </c>
      <c r="X64" s="344">
        <v>315.25900000000001</v>
      </c>
      <c r="Y64" s="344">
        <v>2412955.16</v>
      </c>
      <c r="Z64" s="344">
        <v>2188498.1040000003</v>
      </c>
      <c r="AB64" s="205" t="str">
        <f t="shared" si="1"/>
        <v>UPDATE mill_levy SET cert_per_hb201418 = 27,cert_hb201418_tax_credit = 0,certified_catbuy_mill_levy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315.259,state_funding = 2188498.104 WHERE district_number = '1120' AND fiscal_year = 20222023;</v>
      </c>
    </row>
    <row r="65" spans="1:28" x14ac:dyDescent="0.25">
      <c r="A65" s="262" t="s">
        <v>222</v>
      </c>
      <c r="B65" s="270" t="s">
        <v>194</v>
      </c>
      <c r="C65" s="271" t="s">
        <v>223</v>
      </c>
      <c r="D65" s="344">
        <v>41063028</v>
      </c>
      <c r="E65" s="344">
        <v>0</v>
      </c>
      <c r="F65" s="344">
        <v>41063028</v>
      </c>
      <c r="G65" s="343">
        <v>379.09</v>
      </c>
      <c r="H65" s="265">
        <v>27</v>
      </c>
      <c r="I65" s="266">
        <v>3.1659999999999999</v>
      </c>
      <c r="J65" s="264">
        <v>23.834</v>
      </c>
      <c r="K65" s="267">
        <v>0</v>
      </c>
      <c r="L65" s="268">
        <v>0</v>
      </c>
      <c r="M65" s="267">
        <v>0.98799999999999999</v>
      </c>
      <c r="N65" s="264">
        <v>0</v>
      </c>
      <c r="O65" s="356">
        <v>0</v>
      </c>
      <c r="P65" s="267">
        <v>8.9999999999999993E-3</v>
      </c>
      <c r="Q65" s="269">
        <v>24.831</v>
      </c>
      <c r="R65" s="266">
        <v>3.8450000000000002</v>
      </c>
      <c r="S65" s="268">
        <v>0</v>
      </c>
      <c r="T65" s="268">
        <v>0</v>
      </c>
      <c r="U65" s="268">
        <v>0</v>
      </c>
      <c r="V65" s="268">
        <v>0</v>
      </c>
      <c r="W65" s="266">
        <v>28.675999999999998</v>
      </c>
      <c r="X65" s="344">
        <v>104.01300000000001</v>
      </c>
      <c r="Y65" s="344">
        <v>4988684.32</v>
      </c>
      <c r="Z65" s="344">
        <v>3923273.160648</v>
      </c>
      <c r="AB65" s="205" t="str">
        <f t="shared" si="1"/>
        <v>UPDATE mill_levy SET cert_per_hb201418 = 27,cert_hb201418_tax_credit = 3.166,certified_catbuy_mill_levy = 0,cert_tot_prog_reserve_fund = 0,certified_hh_mill_levy = 0.988,certified_override_mill_levy = 0,certified_abate_mill_levy = 0.009,certified_bond_mill_levy = 3.845,certified_transport_mill_levy = 0,certified_sbt_mill_levy = 0,cert_supp_cap_construction = 0,certified_other_mill_levy = 0,full_funding_mill_levy = 104.013,state_funding = 3923273.160648 WHERE district_number = '1130' AND fiscal_year = 20222023;</v>
      </c>
    </row>
    <row r="66" spans="1:28" x14ac:dyDescent="0.25">
      <c r="A66" s="262" t="s">
        <v>224</v>
      </c>
      <c r="B66" s="263" t="s">
        <v>225</v>
      </c>
      <c r="C66" s="264" t="s">
        <v>226</v>
      </c>
      <c r="D66" s="344">
        <v>331418736</v>
      </c>
      <c r="E66" s="344">
        <v>1824853</v>
      </c>
      <c r="F66" s="344">
        <v>329593883</v>
      </c>
      <c r="G66" s="343">
        <v>32048.34</v>
      </c>
      <c r="H66" s="265">
        <v>27</v>
      </c>
      <c r="I66" s="266">
        <v>0</v>
      </c>
      <c r="J66" s="264">
        <v>27</v>
      </c>
      <c r="K66" s="267">
        <v>0</v>
      </c>
      <c r="L66" s="268">
        <v>0</v>
      </c>
      <c r="M66" s="267">
        <v>0</v>
      </c>
      <c r="N66" s="264">
        <v>0</v>
      </c>
      <c r="O66" s="356">
        <v>4.202</v>
      </c>
      <c r="P66" s="267">
        <v>9.7000000000000003E-2</v>
      </c>
      <c r="Q66" s="269">
        <v>31.298999999999999</v>
      </c>
      <c r="R66" s="266">
        <v>11.680999999999999</v>
      </c>
      <c r="S66" s="268">
        <v>0</v>
      </c>
      <c r="T66" s="268">
        <v>0</v>
      </c>
      <c r="U66" s="268">
        <v>0</v>
      </c>
      <c r="V66" s="268">
        <v>0</v>
      </c>
      <c r="W66" s="266">
        <v>42.98</v>
      </c>
      <c r="X66" s="344">
        <v>91.67</v>
      </c>
      <c r="Y66" s="344">
        <v>33387700.920000002</v>
      </c>
      <c r="Z66" s="344">
        <v>23414239.869000003</v>
      </c>
      <c r="AB66" s="205" t="str">
        <f t="shared" si="1"/>
        <v>UPDATE mill_levy SET cert_per_hb201418 = 27,cert_hb201418_tax_credit = 0,certified_catbuy_mill_levy = 0,cert_tot_prog_reserve_fund = 0,certified_hh_mill_levy = 0,certified_override_mill_levy = 4.202,certified_abate_mill_levy = 0.097,certified_bond_mill_levy = 11.681,certified_transport_mill_levy = 0,certified_sbt_mill_levy = 0,cert_supp_cap_construction = 0,certified_other_mill_levy = 0,full_funding_mill_levy = 91.67,state_funding = 23414239.869 WHERE district_number = '1140' AND fiscal_year = 20222023;</v>
      </c>
    </row>
    <row r="67" spans="1:28" x14ac:dyDescent="0.25">
      <c r="A67" s="262" t="s">
        <v>227</v>
      </c>
      <c r="B67" s="263" t="s">
        <v>225</v>
      </c>
      <c r="C67" s="264" t="s">
        <v>228</v>
      </c>
      <c r="D67" s="344">
        <v>185269010</v>
      </c>
      <c r="E67" s="344">
        <v>0</v>
      </c>
      <c r="F67" s="344">
        <v>185269010</v>
      </c>
      <c r="G67" s="343">
        <v>5778.29</v>
      </c>
      <c r="H67" s="265">
        <v>27</v>
      </c>
      <c r="I67" s="266">
        <v>8.7970000000000006</v>
      </c>
      <c r="J67" s="264">
        <v>18.202999999999999</v>
      </c>
      <c r="K67" s="267">
        <v>0</v>
      </c>
      <c r="L67" s="268">
        <v>0</v>
      </c>
      <c r="M67" s="267">
        <v>0</v>
      </c>
      <c r="N67" s="264">
        <v>0</v>
      </c>
      <c r="O67" s="356">
        <v>1.889</v>
      </c>
      <c r="P67" s="267">
        <v>3.1E-2</v>
      </c>
      <c r="Q67" s="269">
        <v>20.123000000000001</v>
      </c>
      <c r="R67" s="266">
        <v>10.189</v>
      </c>
      <c r="S67" s="268">
        <v>0</v>
      </c>
      <c r="T67" s="268">
        <v>0</v>
      </c>
      <c r="U67" s="268">
        <v>0</v>
      </c>
      <c r="V67" s="268">
        <v>0</v>
      </c>
      <c r="W67" s="266">
        <v>30.312000000000001</v>
      </c>
      <c r="X67" s="344">
        <v>68.623999999999995</v>
      </c>
      <c r="Y67" s="344">
        <v>13689413.07</v>
      </c>
      <c r="Z67" s="344">
        <v>9961530.0109700002</v>
      </c>
      <c r="AB67" s="205" t="str">
        <f t="shared" si="1"/>
        <v>UPDATE mill_levy SET cert_per_hb201418 = 27,cert_hb201418_tax_credit = 8.797,certified_catbuy_mill_levy = 0,cert_tot_prog_reserve_fund = 0,certified_hh_mill_levy = 0,certified_override_mill_levy = 1.889,certified_abate_mill_levy = 0.031,certified_bond_mill_levy = 10.189,certified_transport_mill_levy = 0,certified_sbt_mill_levy = 0,cert_supp_cap_construction = 0,certified_other_mill_levy = 0,full_funding_mill_levy = 68.624,state_funding = 9961530.01097 WHERE district_number = '1150' AND fiscal_year = 20222023;</v>
      </c>
    </row>
    <row r="68" spans="1:28" x14ac:dyDescent="0.25">
      <c r="A68" s="262" t="s">
        <v>229</v>
      </c>
      <c r="B68" s="270" t="s">
        <v>225</v>
      </c>
      <c r="C68" s="271" t="s">
        <v>230</v>
      </c>
      <c r="D68" s="344">
        <v>89570320</v>
      </c>
      <c r="E68" s="344">
        <v>0</v>
      </c>
      <c r="F68" s="344">
        <v>89570320</v>
      </c>
      <c r="G68" s="343">
        <v>143.1</v>
      </c>
      <c r="H68" s="265">
        <v>27</v>
      </c>
      <c r="I68" s="266">
        <v>2.298</v>
      </c>
      <c r="J68" s="264">
        <v>24.702000000000002</v>
      </c>
      <c r="K68" s="267">
        <v>0</v>
      </c>
      <c r="L68" s="268">
        <v>0</v>
      </c>
      <c r="M68" s="267">
        <v>0</v>
      </c>
      <c r="N68" s="264">
        <v>0</v>
      </c>
      <c r="O68" s="356">
        <v>2</v>
      </c>
      <c r="P68" s="267">
        <v>1E-3</v>
      </c>
      <c r="Q68" s="269">
        <v>26.702999999999999</v>
      </c>
      <c r="R68" s="266">
        <v>0</v>
      </c>
      <c r="S68" s="268">
        <v>0</v>
      </c>
      <c r="T68" s="268">
        <v>0</v>
      </c>
      <c r="U68" s="268">
        <v>0</v>
      </c>
      <c r="V68" s="268">
        <v>0</v>
      </c>
      <c r="W68" s="266">
        <v>26.702999999999999</v>
      </c>
      <c r="X68" s="344">
        <v>33.404000000000003</v>
      </c>
      <c r="Y68" s="344">
        <v>3244185.07</v>
      </c>
      <c r="Z68" s="344">
        <v>799743.02535999985</v>
      </c>
      <c r="AB68" s="205" t="str">
        <f t="shared" ref="AB68:AB131" si="2">CONCATENATE("UPDATE mill_levy SET cert_per_hb201418 = ",H68,",cert_hb201418_tax_credit = ",I68,",certified_catbuy_mill_levy = ",K68,",cert_tot_prog_reserve_fund = ",L68,",certified_hh_mill_levy = ",M68,",certified_override_mill_levy = ",O68,",certified_abate_mill_levy = ",P68,",certified_bond_mill_levy = ",R68,",certified_transport_mill_levy = ",S68,",certified_sbt_mill_levy = ",T68,",cert_supp_cap_construction = ",U68,",certified_other_mill_levy = ",V68,",full_funding_mill_levy = ",X68,",state_funding = ",Z68," WHERE district_number = '",A68,"' AND fiscal_year = 20222023;")</f>
        <v>UPDATE mill_levy SET cert_per_hb201418 = 27,cert_hb201418_tax_credit = 2.298,certified_catbuy_mill_levy = 0,cert_tot_prog_reserve_fund = 0,certified_hh_mill_levy = 0,certified_override_mill_levy = 2,certified_abate_mill_levy = 0.001,certified_bond_mill_levy = 0,certified_transport_mill_levy = 0,certified_sbt_mill_levy = 0,cert_supp_cap_construction = 0,certified_other_mill_levy = 0,full_funding_mill_levy = 33.404,state_funding = 799743.02536 WHERE district_number = '1160' AND fiscal_year = 20222023;</v>
      </c>
    </row>
    <row r="69" spans="1:28" x14ac:dyDescent="0.25">
      <c r="A69" s="262" t="s">
        <v>231</v>
      </c>
      <c r="B69" s="270" t="s">
        <v>232</v>
      </c>
      <c r="C69" s="271" t="s">
        <v>233</v>
      </c>
      <c r="D69" s="344">
        <v>1829767800</v>
      </c>
      <c r="E69" s="344">
        <v>1461470</v>
      </c>
      <c r="F69" s="344">
        <v>1828306330</v>
      </c>
      <c r="G69" s="343">
        <v>100685</v>
      </c>
      <c r="H69" s="265">
        <v>27</v>
      </c>
      <c r="I69" s="266">
        <v>2.2410000000000001</v>
      </c>
      <c r="J69" s="264">
        <v>24.759</v>
      </c>
      <c r="K69" s="267">
        <v>0</v>
      </c>
      <c r="L69" s="268">
        <v>0</v>
      </c>
      <c r="M69" s="267">
        <v>0</v>
      </c>
      <c r="N69" s="264">
        <v>0</v>
      </c>
      <c r="O69" s="356">
        <v>9.3230000000000004</v>
      </c>
      <c r="P69" s="267">
        <v>5.5E-2</v>
      </c>
      <c r="Q69" s="269">
        <v>34.137</v>
      </c>
      <c r="R69" s="266">
        <v>7.66</v>
      </c>
      <c r="S69" s="268">
        <v>0</v>
      </c>
      <c r="T69" s="268">
        <v>0</v>
      </c>
      <c r="U69" s="268">
        <v>0</v>
      </c>
      <c r="V69" s="268">
        <v>0</v>
      </c>
      <c r="W69" s="266">
        <v>41.796999999999997</v>
      </c>
      <c r="X69" s="344">
        <v>33.987000000000002</v>
      </c>
      <c r="Y69" s="344">
        <v>63559488.185999997</v>
      </c>
      <c r="Z69" s="344">
        <v>16658257.831529997</v>
      </c>
      <c r="AB69" s="205" t="str">
        <f t="shared" si="2"/>
        <v>UPDATE mill_levy SET cert_per_hb201418 = 27,cert_hb201418_tax_credit = 2.241,certified_catbuy_mill_levy = 0,cert_tot_prog_reserve_fund = 0,certified_hh_mill_levy = 0,certified_override_mill_levy = 9.323,certified_abate_mill_levy = 0.055,certified_bond_mill_levy = 7.66,certified_transport_mill_levy = 0,certified_sbt_mill_levy = 0,cert_supp_cap_construction = 0,certified_other_mill_levy = 0,full_funding_mill_levy = 33.987,state_funding = 16658257.83153 WHERE district_number = '1180' AND fiscal_year = 20222023;</v>
      </c>
    </row>
    <row r="70" spans="1:28" x14ac:dyDescent="0.25">
      <c r="A70" s="262" t="s">
        <v>234</v>
      </c>
      <c r="B70" s="270" t="s">
        <v>232</v>
      </c>
      <c r="C70" s="271" t="s">
        <v>235</v>
      </c>
      <c r="D70" s="344">
        <v>1344851270</v>
      </c>
      <c r="E70" s="344">
        <v>2298370</v>
      </c>
      <c r="F70" s="344">
        <v>1342552900</v>
      </c>
      <c r="G70" s="343">
        <v>27255.48</v>
      </c>
      <c r="H70" s="265">
        <v>16.282</v>
      </c>
      <c r="I70" s="266">
        <v>8.5820000000000007</v>
      </c>
      <c r="J70" s="264">
        <v>7.7</v>
      </c>
      <c r="K70" s="267">
        <v>0</v>
      </c>
      <c r="L70" s="268">
        <v>0</v>
      </c>
      <c r="M70" s="267">
        <v>0</v>
      </c>
      <c r="N70" s="264">
        <v>0</v>
      </c>
      <c r="O70" s="356">
        <v>6.8529999999999998</v>
      </c>
      <c r="P70" s="267">
        <v>0.02</v>
      </c>
      <c r="Q70" s="269">
        <v>14.573</v>
      </c>
      <c r="R70" s="266">
        <v>6.2830000000000004</v>
      </c>
      <c r="S70" s="268">
        <v>0</v>
      </c>
      <c r="T70" s="268">
        <v>0</v>
      </c>
      <c r="U70" s="268">
        <v>0</v>
      </c>
      <c r="V70" s="268">
        <v>0</v>
      </c>
      <c r="W70" s="266">
        <v>20.856000000000002</v>
      </c>
      <c r="X70" s="344">
        <v>34.317</v>
      </c>
      <c r="Y70" s="344">
        <v>46142093</v>
      </c>
      <c r="Z70" s="344">
        <v>35371767.910000004</v>
      </c>
      <c r="AB70" s="205" t="str">
        <f t="shared" si="2"/>
        <v>UPDATE mill_levy SET cert_per_hb201418 = 16.282,cert_hb201418_tax_credit = 8.582,certified_catbuy_mill_levy = 0,cert_tot_prog_reserve_fund = 0,certified_hh_mill_levy = 0,certified_override_mill_levy = 6.853,certified_abate_mill_levy = 0.02,certified_bond_mill_levy = 6.283,certified_transport_mill_levy = 0,certified_sbt_mill_levy = 0,cert_supp_cap_construction = 0,certified_other_mill_levy = 0,full_funding_mill_levy = 34.317,state_funding = 35371767.91 WHERE district_number = '1195' AND fiscal_year = 20222023;</v>
      </c>
    </row>
    <row r="71" spans="1:28" x14ac:dyDescent="0.25">
      <c r="A71" s="263" t="s">
        <v>236</v>
      </c>
      <c r="B71" s="263" t="s">
        <v>232</v>
      </c>
      <c r="C71" s="264" t="s">
        <v>237</v>
      </c>
      <c r="D71" s="344">
        <v>1246220490</v>
      </c>
      <c r="E71" s="344">
        <v>0</v>
      </c>
      <c r="F71" s="344">
        <v>1246220490</v>
      </c>
      <c r="G71" s="343">
        <v>491</v>
      </c>
      <c r="H71" s="265">
        <v>4.3949999999999996</v>
      </c>
      <c r="I71" s="266">
        <v>0</v>
      </c>
      <c r="J71" s="264">
        <v>4.3949999999999996</v>
      </c>
      <c r="K71" s="267">
        <v>0</v>
      </c>
      <c r="L71" s="268">
        <v>0</v>
      </c>
      <c r="M71" s="267">
        <v>0</v>
      </c>
      <c r="N71" s="264">
        <v>0</v>
      </c>
      <c r="O71" s="356">
        <v>1.7390000000000001</v>
      </c>
      <c r="P71" s="267">
        <v>0</v>
      </c>
      <c r="Q71" s="269">
        <v>6.1340000000000003</v>
      </c>
      <c r="R71" s="266">
        <v>4.34</v>
      </c>
      <c r="S71" s="268">
        <v>0</v>
      </c>
      <c r="T71" s="268">
        <v>0</v>
      </c>
      <c r="U71" s="268">
        <v>0</v>
      </c>
      <c r="V71" s="268">
        <v>0</v>
      </c>
      <c r="W71" s="266">
        <v>10.474</v>
      </c>
      <c r="X71" s="344">
        <v>10.247999999999999</v>
      </c>
      <c r="Y71" s="344">
        <v>13240531.16</v>
      </c>
      <c r="Z71" s="344">
        <v>7519312.4064500006</v>
      </c>
      <c r="AB71" s="205" t="str">
        <f t="shared" si="2"/>
        <v>UPDATE mill_levy SET cert_per_hb201418 = 4.395,cert_hb201418_tax_credit = 0,certified_catbuy_mill_levy = 0,cert_tot_prog_reserve_fund = 0,certified_hh_mill_levy = 0,certified_override_mill_levy = 1.739,certified_abate_mill_levy = 0,certified_bond_mill_levy = 4.34,certified_transport_mill_levy = 0,certified_sbt_mill_levy = 0,cert_supp_cap_construction = 0,certified_other_mill_levy = 0,full_funding_mill_levy = 10.248,state_funding = 7519312.40645 WHERE district_number = '1220' AND fiscal_year = 20222023;</v>
      </c>
    </row>
    <row r="72" spans="1:28" x14ac:dyDescent="0.25">
      <c r="A72" s="262" t="s">
        <v>238</v>
      </c>
      <c r="B72" s="263" t="s">
        <v>239</v>
      </c>
      <c r="C72" s="264" t="s">
        <v>239</v>
      </c>
      <c r="D72" s="344">
        <v>462134910</v>
      </c>
      <c r="E72" s="344">
        <v>0</v>
      </c>
      <c r="F72" s="344">
        <v>462134910</v>
      </c>
      <c r="G72" s="343">
        <v>73.790000000000006</v>
      </c>
      <c r="H72" s="265">
        <v>6.6509999999999998</v>
      </c>
      <c r="I72" s="266">
        <v>0</v>
      </c>
      <c r="J72" s="264">
        <v>6.6509999999999998</v>
      </c>
      <c r="K72" s="267">
        <v>0</v>
      </c>
      <c r="L72" s="374">
        <v>0</v>
      </c>
      <c r="M72" s="267">
        <v>0</v>
      </c>
      <c r="N72" s="264">
        <v>0</v>
      </c>
      <c r="O72" s="356">
        <v>2.464</v>
      </c>
      <c r="P72" s="267">
        <v>0</v>
      </c>
      <c r="Q72" s="269">
        <v>9.1150000000000002</v>
      </c>
      <c r="R72" s="266">
        <v>0</v>
      </c>
      <c r="S72" s="268">
        <v>0.36199999999999999</v>
      </c>
      <c r="T72" s="268">
        <v>0</v>
      </c>
      <c r="U72" s="268">
        <v>0</v>
      </c>
      <c r="V72" s="268">
        <v>0</v>
      </c>
      <c r="W72" s="266">
        <v>9.4770000000000003</v>
      </c>
      <c r="X72" s="344">
        <v>11.227</v>
      </c>
      <c r="Y72" s="344">
        <v>5339861.53</v>
      </c>
      <c r="Z72" s="344">
        <v>2125385.8235900006</v>
      </c>
      <c r="AB72" s="205" t="str">
        <f t="shared" si="2"/>
        <v>UPDATE mill_levy SET cert_per_hb201418 = 6.651,cert_hb201418_tax_credit = 0,certified_catbuy_mill_levy = 0,cert_tot_prog_reserve_fund = 0,certified_hh_mill_levy = 0,certified_override_mill_levy = 2.464,certified_abate_mill_levy = 0,certified_bond_mill_levy = 0,certified_transport_mill_levy = 0.362,certified_sbt_mill_levy = 0,cert_supp_cap_construction = 0,certified_other_mill_levy = 0,full_funding_mill_levy = 11.227,state_funding = 2125385.82359 WHERE district_number = '1330' AND fiscal_year = 20222023;</v>
      </c>
    </row>
    <row r="73" spans="1:28" x14ac:dyDescent="0.25">
      <c r="A73" s="262" t="s">
        <v>240</v>
      </c>
      <c r="B73" s="270" t="s">
        <v>241</v>
      </c>
      <c r="C73" s="271" t="s">
        <v>242</v>
      </c>
      <c r="D73" s="344">
        <v>156244360</v>
      </c>
      <c r="E73" s="344">
        <v>0</v>
      </c>
      <c r="F73" s="344">
        <v>156244360</v>
      </c>
      <c r="G73" s="343">
        <v>18243</v>
      </c>
      <c r="H73" s="265">
        <v>13.811</v>
      </c>
      <c r="I73" s="266">
        <v>0</v>
      </c>
      <c r="J73" s="264">
        <v>13.811</v>
      </c>
      <c r="K73" s="267">
        <v>0</v>
      </c>
      <c r="L73" s="268">
        <v>0</v>
      </c>
      <c r="M73" s="267">
        <v>0</v>
      </c>
      <c r="N73" s="264">
        <v>0</v>
      </c>
      <c r="O73" s="356">
        <v>7.05</v>
      </c>
      <c r="P73" s="267">
        <v>0.12</v>
      </c>
      <c r="Q73" s="269">
        <v>20.981000000000002</v>
      </c>
      <c r="R73" s="266">
        <v>5.85</v>
      </c>
      <c r="S73" s="268">
        <v>0</v>
      </c>
      <c r="T73" s="268">
        <v>0</v>
      </c>
      <c r="U73" s="268">
        <v>0</v>
      </c>
      <c r="V73" s="268">
        <v>0</v>
      </c>
      <c r="W73" s="266">
        <v>26.831</v>
      </c>
      <c r="X73" s="344">
        <v>32.755000000000003</v>
      </c>
      <c r="Y73" s="344">
        <v>5437531.4900000002</v>
      </c>
      <c r="Z73" s="344">
        <v>3176555.6740400004</v>
      </c>
      <c r="AB73" s="205" t="str">
        <f t="shared" si="2"/>
        <v>UPDATE mill_levy SET cert_per_hb201418 = 13.811,cert_hb201418_tax_credit = 0,certified_catbuy_mill_levy = 0,cert_tot_prog_reserve_fund = 0,certified_hh_mill_levy = 0,certified_override_mill_levy = 7.05,certified_abate_mill_levy = 0.12,certified_bond_mill_levy = 5.85,certified_transport_mill_levy = 0,certified_sbt_mill_levy = 0,cert_supp_cap_construction = 0,certified_other_mill_levy = 0,full_funding_mill_levy = 32.755,state_funding = 3176555.67404 WHERE district_number = '1340' AND fiscal_year = 20222023;</v>
      </c>
    </row>
    <row r="74" spans="1:28" x14ac:dyDescent="0.25">
      <c r="A74" s="262" t="s">
        <v>243</v>
      </c>
      <c r="B74" s="263" t="s">
        <v>241</v>
      </c>
      <c r="C74" s="264" t="s">
        <v>244</v>
      </c>
      <c r="D74" s="344">
        <v>1273662280</v>
      </c>
      <c r="E74" s="344">
        <v>0</v>
      </c>
      <c r="F74" s="344">
        <v>1273662280</v>
      </c>
      <c r="G74" s="343">
        <v>15483.81</v>
      </c>
      <c r="H74" s="265">
        <v>12.776999999999999</v>
      </c>
      <c r="I74" s="266">
        <v>0</v>
      </c>
      <c r="J74" s="264">
        <v>12.776999999999999</v>
      </c>
      <c r="K74" s="267">
        <v>0</v>
      </c>
      <c r="L74" s="268">
        <v>0</v>
      </c>
      <c r="M74" s="267">
        <v>0.61599999999999999</v>
      </c>
      <c r="N74" s="264">
        <v>0</v>
      </c>
      <c r="O74" s="356">
        <v>1.8129999999999999</v>
      </c>
      <c r="P74" s="267">
        <v>1.2E-2</v>
      </c>
      <c r="Q74" s="269">
        <v>15.218</v>
      </c>
      <c r="R74" s="266">
        <v>5.0720000000000001</v>
      </c>
      <c r="S74" s="268">
        <v>0.23599999999999999</v>
      </c>
      <c r="T74" s="268">
        <v>0</v>
      </c>
      <c r="U74" s="268">
        <v>0</v>
      </c>
      <c r="V74" s="268">
        <v>0</v>
      </c>
      <c r="W74" s="266">
        <v>20.526</v>
      </c>
      <c r="X74" s="344">
        <v>9.6159999999999997</v>
      </c>
      <c r="Y74" s="344">
        <v>13576068.109999999</v>
      </c>
      <c r="Z74" s="344">
        <v>0</v>
      </c>
      <c r="AB74" s="205" t="str">
        <f t="shared" si="2"/>
        <v>UPDATE mill_levy SET cert_per_hb201418 = 12.777,cert_hb201418_tax_credit = 0,certified_catbuy_mill_levy = 0,cert_tot_prog_reserve_fund = 0,certified_hh_mill_levy = 0.616,certified_override_mill_levy = 1.813,certified_abate_mill_levy = 0.012,certified_bond_mill_levy = 5.072,certified_transport_mill_levy = 0.236,certified_sbt_mill_levy = 0,cert_supp_cap_construction = 0,certified_other_mill_levy = 0,full_funding_mill_levy = 9.616,state_funding = 0 WHERE district_number = '1350' AND fiscal_year = 20222023;</v>
      </c>
    </row>
    <row r="75" spans="1:28" x14ac:dyDescent="0.25">
      <c r="A75" s="262" t="s">
        <v>245</v>
      </c>
      <c r="B75" s="263" t="s">
        <v>246</v>
      </c>
      <c r="C75" s="264" t="s">
        <v>246</v>
      </c>
      <c r="D75" s="344">
        <v>1083514765</v>
      </c>
      <c r="E75" s="344">
        <v>19612860</v>
      </c>
      <c r="F75" s="344">
        <v>1063901905</v>
      </c>
      <c r="G75" s="343">
        <v>52482</v>
      </c>
      <c r="H75" s="265">
        <v>15.736000000000001</v>
      </c>
      <c r="I75" s="266">
        <v>0</v>
      </c>
      <c r="J75" s="264">
        <v>15.736000000000001</v>
      </c>
      <c r="K75" s="267">
        <v>0</v>
      </c>
      <c r="L75" s="268">
        <v>0</v>
      </c>
      <c r="M75" s="267">
        <v>0</v>
      </c>
      <c r="N75" s="264">
        <v>0</v>
      </c>
      <c r="O75" s="356">
        <v>3.57</v>
      </c>
      <c r="P75" s="267">
        <v>4.9000000000000002E-2</v>
      </c>
      <c r="Q75" s="269">
        <v>19.355</v>
      </c>
      <c r="R75" s="266">
        <v>8.8350000000000009</v>
      </c>
      <c r="S75" s="268">
        <v>0</v>
      </c>
      <c r="T75" s="268">
        <v>0</v>
      </c>
      <c r="U75" s="268">
        <v>0</v>
      </c>
      <c r="V75" s="268">
        <v>0</v>
      </c>
      <c r="W75" s="266">
        <v>28.19</v>
      </c>
      <c r="X75" s="344">
        <v>18.443999999999999</v>
      </c>
      <c r="Y75" s="344">
        <v>21147860.199999999</v>
      </c>
      <c r="Z75" s="344">
        <v>3735497.4529200001</v>
      </c>
      <c r="AB75" s="205" t="str">
        <f t="shared" si="2"/>
        <v>UPDATE mill_levy SET cert_per_hb201418 = 15.736,cert_hb201418_tax_credit = 0,certified_catbuy_mill_levy = 0,cert_tot_prog_reserve_fund = 0,certified_hh_mill_levy = 0,certified_override_mill_levy = 3.57,certified_abate_mill_levy = 0.049,certified_bond_mill_levy = 8.835,certified_transport_mill_levy = 0,certified_sbt_mill_levy = 0,cert_supp_cap_construction = 0,certified_other_mill_levy = 0,full_funding_mill_levy = 18.444,state_funding = 3735497.45292 WHERE district_number = '1360' AND fiscal_year = 20222023;</v>
      </c>
    </row>
    <row r="76" spans="1:28" x14ac:dyDescent="0.25">
      <c r="A76" s="262" t="s">
        <v>247</v>
      </c>
      <c r="B76" s="263" t="s">
        <v>248</v>
      </c>
      <c r="C76" s="264" t="s">
        <v>248</v>
      </c>
      <c r="D76" s="344">
        <v>55639740</v>
      </c>
      <c r="E76" s="344">
        <v>0</v>
      </c>
      <c r="F76" s="344">
        <v>55639740</v>
      </c>
      <c r="G76" s="343">
        <v>44401.43</v>
      </c>
      <c r="H76" s="265">
        <v>19.067</v>
      </c>
      <c r="I76" s="266">
        <v>0</v>
      </c>
      <c r="J76" s="264">
        <v>19.067</v>
      </c>
      <c r="K76" s="267">
        <v>0</v>
      </c>
      <c r="L76" s="268">
        <v>0</v>
      </c>
      <c r="M76" s="267">
        <v>0</v>
      </c>
      <c r="N76" s="264">
        <v>0</v>
      </c>
      <c r="O76" s="356">
        <v>0</v>
      </c>
      <c r="P76" s="267">
        <v>0.79800000000000004</v>
      </c>
      <c r="Q76" s="269">
        <v>19.864999999999998</v>
      </c>
      <c r="R76" s="266">
        <v>5.3019999999999996</v>
      </c>
      <c r="S76" s="268">
        <v>0</v>
      </c>
      <c r="T76" s="268">
        <v>0</v>
      </c>
      <c r="U76" s="268">
        <v>0</v>
      </c>
      <c r="V76" s="268">
        <v>0</v>
      </c>
      <c r="W76" s="266">
        <v>25.167000000000002</v>
      </c>
      <c r="X76" s="344">
        <v>28.140999999999998</v>
      </c>
      <c r="Y76" s="344">
        <v>1595452.4</v>
      </c>
      <c r="Z76" s="344">
        <v>440362.88741999993</v>
      </c>
      <c r="AB76" s="205" t="str">
        <f t="shared" si="2"/>
        <v>UPDATE mill_levy SET cert_per_hb201418 = 19.067,cert_hb201418_tax_credit = 0,certified_catbuy_mill_levy = 0,cert_tot_prog_reserve_fund = 0,certified_hh_mill_levy = 0,certified_override_mill_levy = 0,certified_abate_mill_levy = 0.798,certified_bond_mill_levy = 5.302,certified_transport_mill_levy = 0,certified_sbt_mill_levy = 0,cert_supp_cap_construction = 0,certified_other_mill_levy = 0,full_funding_mill_levy = 28.141,state_funding = 440362.88742 WHERE district_number = '1380' AND fiscal_year = 20222023;</v>
      </c>
    </row>
    <row r="77" spans="1:28" x14ac:dyDescent="0.25">
      <c r="A77" s="262" t="s">
        <v>249</v>
      </c>
      <c r="B77" s="270" t="s">
        <v>250</v>
      </c>
      <c r="C77" s="271" t="s">
        <v>250</v>
      </c>
      <c r="D77" s="344">
        <v>121111027</v>
      </c>
      <c r="E77" s="344">
        <v>361073</v>
      </c>
      <c r="F77" s="344">
        <v>120749954</v>
      </c>
      <c r="G77" s="343">
        <v>4975.9799999999996</v>
      </c>
      <c r="H77" s="265">
        <v>27</v>
      </c>
      <c r="I77" s="266">
        <v>0.219</v>
      </c>
      <c r="J77" s="264">
        <v>26.780999999999999</v>
      </c>
      <c r="K77" s="267">
        <v>0</v>
      </c>
      <c r="L77" s="268">
        <v>0</v>
      </c>
      <c r="M77" s="267">
        <v>0</v>
      </c>
      <c r="N77" s="264">
        <v>0</v>
      </c>
      <c r="O77" s="356">
        <v>0</v>
      </c>
      <c r="P77" s="267">
        <v>4.1000000000000002E-2</v>
      </c>
      <c r="Q77" s="269">
        <v>26.821999999999999</v>
      </c>
      <c r="R77" s="266">
        <v>8.8699999999999992</v>
      </c>
      <c r="S77" s="268">
        <v>0</v>
      </c>
      <c r="T77" s="268">
        <v>0</v>
      </c>
      <c r="U77" s="268">
        <v>0</v>
      </c>
      <c r="V77" s="268">
        <v>0</v>
      </c>
      <c r="W77" s="266">
        <v>35.692</v>
      </c>
      <c r="X77" s="344">
        <v>41.325000000000003</v>
      </c>
      <c r="Y77" s="344">
        <v>5444055.4500000002</v>
      </c>
      <c r="Z77" s="344">
        <v>2027956.2019260004</v>
      </c>
      <c r="AB77" s="205" t="str">
        <f t="shared" si="2"/>
        <v>UPDATE mill_levy SET cert_per_hb201418 = 27,cert_hb201418_tax_credit = 0.219,certified_catbuy_mill_levy = 0,cert_tot_prog_reserve_fund = 0,certified_hh_mill_levy = 0,certified_override_mill_levy = 0,certified_abate_mill_levy = 0.041,certified_bond_mill_levy = 8.87,certified_transport_mill_levy = 0,certified_sbt_mill_levy = 0,cert_supp_cap_construction = 0,certified_other_mill_levy = 0,full_funding_mill_levy = 41.325,state_funding = 2027956.201926 WHERE district_number = '1390' AND fiscal_year = 20222023;</v>
      </c>
    </row>
    <row r="78" spans="1:28" x14ac:dyDescent="0.25">
      <c r="A78" s="262" t="s">
        <v>251</v>
      </c>
      <c r="B78" s="263" t="s">
        <v>250</v>
      </c>
      <c r="C78" s="264" t="s">
        <v>252</v>
      </c>
      <c r="D78" s="344">
        <v>35375681</v>
      </c>
      <c r="E78" s="344">
        <v>0</v>
      </c>
      <c r="F78" s="344">
        <v>35375681</v>
      </c>
      <c r="G78" s="343">
        <v>0</v>
      </c>
      <c r="H78" s="265">
        <v>27</v>
      </c>
      <c r="I78" s="266">
        <v>0</v>
      </c>
      <c r="J78" s="264">
        <v>27</v>
      </c>
      <c r="K78" s="267">
        <v>0</v>
      </c>
      <c r="L78" s="268">
        <v>0</v>
      </c>
      <c r="M78" s="267">
        <v>0</v>
      </c>
      <c r="N78" s="264">
        <v>0</v>
      </c>
      <c r="O78" s="356">
        <v>0</v>
      </c>
      <c r="P78" s="267">
        <v>0</v>
      </c>
      <c r="Q78" s="269">
        <v>27</v>
      </c>
      <c r="R78" s="266">
        <v>12.11</v>
      </c>
      <c r="S78" s="268">
        <v>0</v>
      </c>
      <c r="T78" s="268">
        <v>0</v>
      </c>
      <c r="U78" s="268">
        <v>0</v>
      </c>
      <c r="V78" s="268">
        <v>0</v>
      </c>
      <c r="W78" s="266">
        <v>39.11</v>
      </c>
      <c r="X78" s="344">
        <v>85.317999999999998</v>
      </c>
      <c r="Y78" s="344">
        <v>3355685.08</v>
      </c>
      <c r="Z78" s="344">
        <v>2306407.2930000001</v>
      </c>
      <c r="AB78" s="205" t="str">
        <f t="shared" si="2"/>
        <v>UPDATE mill_levy SET cert_per_hb201418 = 27,cert_hb201418_tax_credit = 0,certified_catbuy_mill_levy = 0,cert_tot_prog_reserve_fund = 0,certified_hh_mill_levy = 0,certified_override_mill_levy = 0,certified_abate_mill_levy = 0,certified_bond_mill_levy = 12.11,certified_transport_mill_levy = 0,certified_sbt_mill_levy = 0,cert_supp_cap_construction = 0,certified_other_mill_levy = 0,full_funding_mill_levy = 85.318,state_funding = 2306407.293 WHERE district_number = '1400' AND fiscal_year = 20222023;</v>
      </c>
    </row>
    <row r="79" spans="1:28" x14ac:dyDescent="0.25">
      <c r="A79" s="262" t="s">
        <v>253</v>
      </c>
      <c r="B79" s="263" t="s">
        <v>254</v>
      </c>
      <c r="C79" s="264" t="s">
        <v>255</v>
      </c>
      <c r="D79" s="344">
        <v>95163363</v>
      </c>
      <c r="E79" s="344">
        <v>0</v>
      </c>
      <c r="F79" s="344">
        <v>95163363</v>
      </c>
      <c r="G79" s="343">
        <v>5999.94</v>
      </c>
      <c r="H79" s="265">
        <v>23.041</v>
      </c>
      <c r="I79" s="266">
        <v>0</v>
      </c>
      <c r="J79" s="264">
        <v>23.041</v>
      </c>
      <c r="K79" s="267">
        <v>0</v>
      </c>
      <c r="L79" s="268">
        <v>0</v>
      </c>
      <c r="M79" s="267">
        <v>0</v>
      </c>
      <c r="N79" s="264">
        <v>0</v>
      </c>
      <c r="O79" s="356">
        <v>0</v>
      </c>
      <c r="P79" s="267">
        <v>6.2E-2</v>
      </c>
      <c r="Q79" s="269">
        <v>23.103000000000002</v>
      </c>
      <c r="R79" s="266">
        <v>0</v>
      </c>
      <c r="S79" s="268">
        <v>0</v>
      </c>
      <c r="T79" s="268">
        <v>0</v>
      </c>
      <c r="U79" s="268">
        <v>0</v>
      </c>
      <c r="V79" s="268">
        <v>0</v>
      </c>
      <c r="W79" s="266">
        <v>23.103000000000002</v>
      </c>
      <c r="X79" s="344">
        <v>28.21</v>
      </c>
      <c r="Y79" s="344">
        <v>2890901.54</v>
      </c>
      <c r="Z79" s="344">
        <v>326278.30311699997</v>
      </c>
      <c r="AB79" s="205" t="str">
        <f t="shared" si="2"/>
        <v>UPDATE mill_levy SET cert_per_hb201418 = 23.041,cert_hb201418_tax_credit = 0,certified_catbuy_mill_levy = 0,cert_tot_prog_reserve_fund = 0,certified_hh_mill_levy = 0,certified_override_mill_levy = 0,certified_abate_mill_levy = 0.062,certified_bond_mill_levy = 0,certified_transport_mill_levy = 0,certified_sbt_mill_levy = 0,cert_supp_cap_construction = 0,certified_other_mill_levy = 0,full_funding_mill_levy = 28.21,state_funding = 326278.303117 WHERE district_number = '1410' AND fiscal_year = 20222023;</v>
      </c>
    </row>
    <row r="80" spans="1:28" x14ac:dyDescent="0.25">
      <c r="A80" s="262" t="s">
        <v>256</v>
      </c>
      <c r="B80" s="270" t="s">
        <v>257</v>
      </c>
      <c r="C80" s="271" t="s">
        <v>257</v>
      </c>
      <c r="D80" s="344">
        <v>14134691021</v>
      </c>
      <c r="E80" s="344">
        <v>631656311</v>
      </c>
      <c r="F80" s="344">
        <v>13503034710</v>
      </c>
      <c r="G80" s="343">
        <v>4244355.55</v>
      </c>
      <c r="H80" s="265">
        <v>27</v>
      </c>
      <c r="I80" s="266">
        <v>0</v>
      </c>
      <c r="J80" s="264">
        <v>27</v>
      </c>
      <c r="K80" s="267">
        <v>0</v>
      </c>
      <c r="L80" s="268">
        <v>0</v>
      </c>
      <c r="M80" s="267">
        <v>0</v>
      </c>
      <c r="N80" s="264">
        <v>0</v>
      </c>
      <c r="O80" s="356">
        <v>11.305999999999999</v>
      </c>
      <c r="P80" s="267">
        <v>0.314</v>
      </c>
      <c r="Q80" s="269">
        <v>38.619999999999997</v>
      </c>
      <c r="R80" s="266">
        <v>5.9059999999999997</v>
      </c>
      <c r="S80" s="268">
        <v>0</v>
      </c>
      <c r="T80" s="268">
        <v>0</v>
      </c>
      <c r="U80" s="268">
        <v>0</v>
      </c>
      <c r="V80" s="268">
        <v>0</v>
      </c>
      <c r="W80" s="266">
        <v>44.526000000000003</v>
      </c>
      <c r="X80" s="344">
        <v>54.186999999999998</v>
      </c>
      <c r="Y80" s="344">
        <v>784142616.3160001</v>
      </c>
      <c r="Z80" s="344">
        <v>396213636.67600006</v>
      </c>
      <c r="AB80" s="205" t="str">
        <f t="shared" si="2"/>
        <v>UPDATE mill_levy SET cert_per_hb201418 = 27,cert_hb201418_tax_credit = 0,certified_catbuy_mill_levy = 0,cert_tot_prog_reserve_fund = 0,certified_hh_mill_levy = 0,certified_override_mill_levy = 11.306,certified_abate_mill_levy = 0.314,certified_bond_mill_levy = 5.906,certified_transport_mill_levy = 0,certified_sbt_mill_levy = 0,cert_supp_cap_construction = 0,certified_other_mill_levy = 0,full_funding_mill_levy = 54.187,state_funding = 396213636.676 WHERE district_number = '1420' AND fiscal_year = 20222023;</v>
      </c>
    </row>
    <row r="81" spans="1:28" x14ac:dyDescent="0.25">
      <c r="A81" s="262" t="s">
        <v>258</v>
      </c>
      <c r="B81" s="263" t="s">
        <v>187</v>
      </c>
      <c r="C81" s="264" t="s">
        <v>259</v>
      </c>
      <c r="D81" s="344">
        <v>20027980</v>
      </c>
      <c r="E81" s="344">
        <v>0</v>
      </c>
      <c r="F81" s="344">
        <v>20027980</v>
      </c>
      <c r="G81" s="343">
        <v>15805.29</v>
      </c>
      <c r="H81" s="265">
        <v>27</v>
      </c>
      <c r="I81" s="266">
        <v>1.8009999999999999</v>
      </c>
      <c r="J81" s="264">
        <v>25.199000000000002</v>
      </c>
      <c r="K81" s="267">
        <v>0</v>
      </c>
      <c r="L81" s="268">
        <v>0</v>
      </c>
      <c r="M81" s="267">
        <v>0</v>
      </c>
      <c r="N81" s="264">
        <v>0</v>
      </c>
      <c r="O81" s="356">
        <v>0</v>
      </c>
      <c r="P81" s="267">
        <v>0.78900000000000003</v>
      </c>
      <c r="Q81" s="269">
        <v>25.988</v>
      </c>
      <c r="R81" s="266">
        <v>0</v>
      </c>
      <c r="S81" s="268">
        <v>0</v>
      </c>
      <c r="T81" s="268">
        <v>0</v>
      </c>
      <c r="U81" s="268">
        <v>0</v>
      </c>
      <c r="V81" s="268">
        <v>0</v>
      </c>
      <c r="W81" s="266">
        <v>25.988</v>
      </c>
      <c r="X81" s="344">
        <v>148.029</v>
      </c>
      <c r="Y81" s="344">
        <v>3232044.13</v>
      </c>
      <c r="Z81" s="344">
        <v>2641524.2059599999</v>
      </c>
      <c r="AB81" s="205" t="str">
        <f t="shared" si="2"/>
        <v>UPDATE mill_levy SET cert_per_hb201418 = 27,cert_hb201418_tax_credit = 1.801,certified_catbuy_mill_levy = 0,cert_tot_prog_reserve_fund = 0,certified_hh_mill_levy = 0,certified_override_mill_levy = 0,certified_abate_mill_levy = 0.789,certified_bond_mill_levy = 0,certified_transport_mill_levy = 0,certified_sbt_mill_levy = 0,cert_supp_cap_construction = 0,certified_other_mill_levy = 0,full_funding_mill_levy = 148.029,state_funding = 2641524.20596 WHERE district_number = '1430' AND fiscal_year = 20222023;</v>
      </c>
    </row>
    <row r="82" spans="1:28" x14ac:dyDescent="0.25">
      <c r="A82" s="263" t="s">
        <v>260</v>
      </c>
      <c r="B82" s="270" t="s">
        <v>187</v>
      </c>
      <c r="C82" s="271" t="s">
        <v>261</v>
      </c>
      <c r="D82" s="344">
        <v>19570730</v>
      </c>
      <c r="E82" s="344">
        <v>0</v>
      </c>
      <c r="F82" s="344">
        <v>19570730</v>
      </c>
      <c r="G82" s="343">
        <v>10063.209999999999</v>
      </c>
      <c r="H82" s="265">
        <v>27</v>
      </c>
      <c r="I82" s="266">
        <v>4.4800000000000004</v>
      </c>
      <c r="J82" s="264">
        <v>22.52</v>
      </c>
      <c r="K82" s="267">
        <v>0</v>
      </c>
      <c r="L82" s="268">
        <v>0</v>
      </c>
      <c r="M82" s="267">
        <v>3.298</v>
      </c>
      <c r="N82" s="264">
        <v>0</v>
      </c>
      <c r="O82" s="356">
        <v>0</v>
      </c>
      <c r="P82" s="267">
        <v>0.51400000000000001</v>
      </c>
      <c r="Q82" s="269">
        <v>26.332000000000001</v>
      </c>
      <c r="R82" s="266">
        <v>0</v>
      </c>
      <c r="S82" s="268">
        <v>0</v>
      </c>
      <c r="T82" s="268">
        <v>0</v>
      </c>
      <c r="U82" s="268">
        <v>0</v>
      </c>
      <c r="V82" s="268">
        <v>0</v>
      </c>
      <c r="W82" s="266">
        <v>26.332000000000001</v>
      </c>
      <c r="X82" s="344">
        <v>167.149</v>
      </c>
      <c r="Y82" s="344">
        <v>3198150.4</v>
      </c>
      <c r="Z82" s="344">
        <v>2688683.7503999998</v>
      </c>
      <c r="AB82" s="205" t="str">
        <f t="shared" si="2"/>
        <v>UPDATE mill_levy SET cert_per_hb201418 = 27,cert_hb201418_tax_credit = 4.48,certified_catbuy_mill_levy = 0,cert_tot_prog_reserve_fund = 0,certified_hh_mill_levy = 3.298,certified_override_mill_levy = 0,certified_abate_mill_levy = 0.514,certified_bond_mill_levy = 0,certified_transport_mill_levy = 0,certified_sbt_mill_levy = 0,cert_supp_cap_construction = 0,certified_other_mill_levy = 0,full_funding_mill_levy = 167.149,state_funding = 2688683.7504 WHERE district_number = '1440' AND fiscal_year = 20222023;</v>
      </c>
    </row>
    <row r="83" spans="1:28" x14ac:dyDescent="0.25">
      <c r="A83" s="262" t="s">
        <v>262</v>
      </c>
      <c r="B83" s="263" t="s">
        <v>152</v>
      </c>
      <c r="C83" s="264" t="s">
        <v>263</v>
      </c>
      <c r="D83" s="344">
        <v>41779644</v>
      </c>
      <c r="E83" s="344">
        <v>0</v>
      </c>
      <c r="F83" s="344">
        <v>41779644</v>
      </c>
      <c r="G83" s="343">
        <v>2298</v>
      </c>
      <c r="H83" s="265">
        <v>27</v>
      </c>
      <c r="I83" s="266">
        <v>0</v>
      </c>
      <c r="J83" s="264">
        <v>27</v>
      </c>
      <c r="K83" s="267">
        <v>0</v>
      </c>
      <c r="L83" s="268">
        <v>0</v>
      </c>
      <c r="M83" s="267">
        <v>0</v>
      </c>
      <c r="N83" s="264">
        <v>0</v>
      </c>
      <c r="O83" s="356">
        <v>0</v>
      </c>
      <c r="P83" s="267">
        <v>5.5E-2</v>
      </c>
      <c r="Q83" s="269">
        <v>27.055</v>
      </c>
      <c r="R83" s="266">
        <v>0</v>
      </c>
      <c r="S83" s="268">
        <v>0</v>
      </c>
      <c r="T83" s="268">
        <v>0</v>
      </c>
      <c r="U83" s="268">
        <v>0</v>
      </c>
      <c r="V83" s="268">
        <v>0</v>
      </c>
      <c r="W83" s="266">
        <v>27.055</v>
      </c>
      <c r="X83" s="344">
        <v>61.994</v>
      </c>
      <c r="Y83" s="344">
        <v>2770736.56</v>
      </c>
      <c r="Z83" s="344">
        <v>1544196.402</v>
      </c>
      <c r="AB83" s="205" t="str">
        <f t="shared" si="2"/>
        <v>UPDATE mill_levy SET cert_per_hb201418 = 27,cert_hb201418_tax_credit = 0,certified_catbuy_mill_levy = 0,cert_tot_prog_reserve_fund = 0,certified_hh_mill_levy = 0,certified_override_mill_levy = 0,certified_abate_mill_levy = 0.055,certified_bond_mill_levy = 0,certified_transport_mill_levy = 0,certified_sbt_mill_levy = 0,cert_supp_cap_construction = 0,certified_other_mill_levy = 0,full_funding_mill_levy = 61.994,state_funding = 1544196.402 WHERE district_number = '1450' AND fiscal_year = 20222023;</v>
      </c>
    </row>
    <row r="84" spans="1:28" x14ac:dyDescent="0.25">
      <c r="A84" s="262" t="s">
        <v>264</v>
      </c>
      <c r="B84" s="270" t="s">
        <v>152</v>
      </c>
      <c r="C84" s="271" t="s">
        <v>265</v>
      </c>
      <c r="D84" s="344">
        <v>30076431</v>
      </c>
      <c r="E84" s="344">
        <v>0</v>
      </c>
      <c r="F84" s="344">
        <v>30076431</v>
      </c>
      <c r="G84" s="343">
        <v>79131.509999999995</v>
      </c>
      <c r="H84" s="265">
        <v>24.334</v>
      </c>
      <c r="I84" s="266">
        <v>0</v>
      </c>
      <c r="J84" s="264">
        <v>24.334</v>
      </c>
      <c r="K84" s="267">
        <v>0</v>
      </c>
      <c r="L84" s="268">
        <v>0</v>
      </c>
      <c r="M84" s="267">
        <v>4.6340000000000003</v>
      </c>
      <c r="N84" s="264">
        <v>0</v>
      </c>
      <c r="O84" s="356">
        <v>0</v>
      </c>
      <c r="P84" s="267">
        <v>0</v>
      </c>
      <c r="Q84" s="269">
        <v>28.968</v>
      </c>
      <c r="R84" s="266">
        <v>7.4809999999999999</v>
      </c>
      <c r="S84" s="268">
        <v>0</v>
      </c>
      <c r="T84" s="268">
        <v>0</v>
      </c>
      <c r="U84" s="268">
        <v>0</v>
      </c>
      <c r="V84" s="268">
        <v>0</v>
      </c>
      <c r="W84" s="266">
        <v>36.448999999999998</v>
      </c>
      <c r="X84" s="344">
        <v>75.546999999999997</v>
      </c>
      <c r="Y84" s="344">
        <v>2317143.08</v>
      </c>
      <c r="Z84" s="344">
        <v>1503965.0380460001</v>
      </c>
      <c r="AB84" s="205" t="str">
        <f t="shared" si="2"/>
        <v>UPDATE mill_levy SET cert_per_hb201418 = 24.334,cert_hb201418_tax_credit = 0,certified_catbuy_mill_levy = 0,cert_tot_prog_reserve_fund = 0,certified_hh_mill_levy = 4.634,certified_override_mill_levy = 0,certified_abate_mill_levy = 0,certified_bond_mill_levy = 7.481,certified_transport_mill_levy = 0,certified_sbt_mill_levy = 0,cert_supp_cap_construction = 0,certified_other_mill_levy = 0,full_funding_mill_levy = 75.547,state_funding = 1503965.038046 WHERE district_number = '1460' AND fiscal_year = 20222023;</v>
      </c>
    </row>
    <row r="85" spans="1:28" x14ac:dyDescent="0.25">
      <c r="A85" s="262" t="s">
        <v>266</v>
      </c>
      <c r="B85" s="263" t="s">
        <v>152</v>
      </c>
      <c r="C85" s="264" t="s">
        <v>267</v>
      </c>
      <c r="D85" s="344">
        <v>23627480</v>
      </c>
      <c r="E85" s="344">
        <v>0</v>
      </c>
      <c r="F85" s="344">
        <v>23627480</v>
      </c>
      <c r="G85" s="343">
        <v>4109</v>
      </c>
      <c r="H85" s="265">
        <v>27</v>
      </c>
      <c r="I85" s="266">
        <v>0</v>
      </c>
      <c r="J85" s="264">
        <v>27</v>
      </c>
      <c r="K85" s="267">
        <v>0</v>
      </c>
      <c r="L85" s="268">
        <v>0</v>
      </c>
      <c r="M85" s="267">
        <v>0</v>
      </c>
      <c r="N85" s="264">
        <v>0</v>
      </c>
      <c r="O85" s="356">
        <v>7.5</v>
      </c>
      <c r="P85" s="267">
        <v>0.17399999999999999</v>
      </c>
      <c r="Q85" s="269">
        <v>34.673999999999999</v>
      </c>
      <c r="R85" s="266">
        <v>0</v>
      </c>
      <c r="S85" s="268">
        <v>0</v>
      </c>
      <c r="T85" s="268">
        <v>0</v>
      </c>
      <c r="U85" s="268">
        <v>0</v>
      </c>
      <c r="V85" s="268">
        <v>0</v>
      </c>
      <c r="W85" s="266">
        <v>34.673999999999999</v>
      </c>
      <c r="X85" s="344">
        <v>134.22300000000001</v>
      </c>
      <c r="Y85" s="344">
        <v>3365052.69</v>
      </c>
      <c r="Z85" s="344">
        <v>2656956.4300000002</v>
      </c>
      <c r="AB85" s="205" t="str">
        <f t="shared" si="2"/>
        <v>UPDATE mill_levy SET cert_per_hb201418 = 27,cert_hb201418_tax_credit = 0,certified_catbuy_mill_levy = 0,cert_tot_prog_reserve_fund = 0,certified_hh_mill_levy = 0,certified_override_mill_levy = 7.5,certified_abate_mill_levy = 0.174,certified_bond_mill_levy = 0,certified_transport_mill_levy = 0,certified_sbt_mill_levy = 0,cert_supp_cap_construction = 0,certified_other_mill_levy = 0,full_funding_mill_levy = 134.223,state_funding = 2656956.43 WHERE district_number = '1480' AND fiscal_year = 20222023;</v>
      </c>
    </row>
    <row r="86" spans="1:28" x14ac:dyDescent="0.25">
      <c r="A86" s="263" t="s">
        <v>268</v>
      </c>
      <c r="B86" s="270" t="s">
        <v>152</v>
      </c>
      <c r="C86" s="271" t="s">
        <v>269</v>
      </c>
      <c r="D86" s="344">
        <v>17745502</v>
      </c>
      <c r="E86" s="344">
        <v>0</v>
      </c>
      <c r="F86" s="344">
        <v>17745502</v>
      </c>
      <c r="G86" s="343">
        <v>0</v>
      </c>
      <c r="H86" s="265">
        <v>27</v>
      </c>
      <c r="I86" s="266">
        <v>1.8120000000000001</v>
      </c>
      <c r="J86" s="264">
        <v>25.187999999999999</v>
      </c>
      <c r="K86" s="267">
        <v>0</v>
      </c>
      <c r="L86" s="268">
        <v>0</v>
      </c>
      <c r="M86" s="267">
        <v>0</v>
      </c>
      <c r="N86" s="264">
        <v>0</v>
      </c>
      <c r="O86" s="356">
        <v>13.7</v>
      </c>
      <c r="P86" s="267">
        <v>0</v>
      </c>
      <c r="Q86" s="269">
        <v>38.887999999999998</v>
      </c>
      <c r="R86" s="266">
        <v>0</v>
      </c>
      <c r="S86" s="268">
        <v>0</v>
      </c>
      <c r="T86" s="268">
        <v>0</v>
      </c>
      <c r="U86" s="268">
        <v>0</v>
      </c>
      <c r="V86" s="268">
        <v>0</v>
      </c>
      <c r="W86" s="266">
        <v>38.887999999999998</v>
      </c>
      <c r="X86" s="344">
        <v>117.13800000000001</v>
      </c>
      <c r="Y86" s="344">
        <v>2117222.92</v>
      </c>
      <c r="Z86" s="344">
        <v>1638724.9456239999</v>
      </c>
      <c r="AB86" s="205" t="str">
        <f t="shared" si="2"/>
        <v>UPDATE mill_levy SET cert_per_hb201418 = 27,cert_hb201418_tax_credit = 1.812,certified_catbuy_mill_levy = 0,cert_tot_prog_reserve_fund = 0,certified_hh_mill_levy = 0,certified_override_mill_levy = 13.7,certified_abate_mill_levy = 0,certified_bond_mill_levy = 0,certified_transport_mill_levy = 0,certified_sbt_mill_levy = 0,cert_supp_cap_construction = 0,certified_other_mill_levy = 0,full_funding_mill_levy = 117.138,state_funding = 1638724.945624 WHERE district_number = '1490' AND fiscal_year = 20222023;</v>
      </c>
    </row>
    <row r="87" spans="1:28" x14ac:dyDescent="0.25">
      <c r="A87" s="262" t="s">
        <v>270</v>
      </c>
      <c r="B87" s="263" t="s">
        <v>152</v>
      </c>
      <c r="C87" s="264" t="s">
        <v>271</v>
      </c>
      <c r="D87" s="344">
        <v>114213036</v>
      </c>
      <c r="E87" s="344">
        <v>0</v>
      </c>
      <c r="F87" s="344">
        <v>114213036</v>
      </c>
      <c r="G87" s="343">
        <v>2379.6</v>
      </c>
      <c r="H87" s="265">
        <v>27</v>
      </c>
      <c r="I87" s="266">
        <v>0</v>
      </c>
      <c r="J87" s="264">
        <v>27</v>
      </c>
      <c r="K87" s="267">
        <v>0</v>
      </c>
      <c r="L87" s="268">
        <v>0</v>
      </c>
      <c r="M87" s="267">
        <v>0</v>
      </c>
      <c r="N87" s="264">
        <v>0</v>
      </c>
      <c r="O87" s="356">
        <v>13.365</v>
      </c>
      <c r="P87" s="267">
        <v>2.1000000000000001E-2</v>
      </c>
      <c r="Q87" s="269">
        <v>40.386000000000003</v>
      </c>
      <c r="R87" s="266">
        <v>0</v>
      </c>
      <c r="S87" s="268">
        <v>0</v>
      </c>
      <c r="T87" s="268">
        <v>0</v>
      </c>
      <c r="U87" s="268">
        <v>0</v>
      </c>
      <c r="V87" s="268">
        <v>0</v>
      </c>
      <c r="W87" s="266">
        <v>40.386000000000003</v>
      </c>
      <c r="X87" s="344">
        <v>65.262</v>
      </c>
      <c r="Y87" s="344">
        <v>7791796.4900000002</v>
      </c>
      <c r="Z87" s="344">
        <v>4405668.5779999997</v>
      </c>
      <c r="AB87" s="205" t="str">
        <f t="shared" si="2"/>
        <v>UPDATE mill_levy SET cert_per_hb201418 = 27,cert_hb201418_tax_credit = 0,certified_catbuy_mill_levy = 0,cert_tot_prog_reserve_fund = 0,certified_hh_mill_levy = 0,certified_override_mill_levy = 13.365,certified_abate_mill_levy = 0.021,certified_bond_mill_levy = 0,certified_transport_mill_levy = 0,certified_sbt_mill_levy = 0,cert_supp_cap_construction = 0,certified_other_mill_levy = 0,full_funding_mill_levy = 65.262,state_funding = 4405668.578 WHERE district_number = '1500' AND fiscal_year = 20222023;</v>
      </c>
    </row>
    <row r="88" spans="1:28" x14ac:dyDescent="0.25">
      <c r="A88" s="262" t="s">
        <v>272</v>
      </c>
      <c r="B88" s="263" t="s">
        <v>273</v>
      </c>
      <c r="C88" s="264" t="s">
        <v>273</v>
      </c>
      <c r="D88" s="344">
        <v>369570189</v>
      </c>
      <c r="E88" s="344">
        <v>3795889</v>
      </c>
      <c r="F88" s="344">
        <v>365774300</v>
      </c>
      <c r="G88" s="343">
        <v>60201.48</v>
      </c>
      <c r="H88" s="265">
        <v>26.513999999999999</v>
      </c>
      <c r="I88" s="266">
        <v>4.4999999999999998E-2</v>
      </c>
      <c r="J88" s="264">
        <v>26.469000000000001</v>
      </c>
      <c r="K88" s="267">
        <v>0</v>
      </c>
      <c r="L88" s="268">
        <v>0</v>
      </c>
      <c r="M88" s="267">
        <v>0</v>
      </c>
      <c r="N88" s="264">
        <v>0</v>
      </c>
      <c r="O88" s="356">
        <v>1.8260000000000001</v>
      </c>
      <c r="P88" s="267">
        <v>0.16500000000000001</v>
      </c>
      <c r="Q88" s="269">
        <v>28.46</v>
      </c>
      <c r="R88" s="266">
        <v>5.2060000000000004</v>
      </c>
      <c r="S88" s="268">
        <v>0</v>
      </c>
      <c r="T88" s="268">
        <v>0</v>
      </c>
      <c r="U88" s="268">
        <v>0</v>
      </c>
      <c r="V88" s="268">
        <v>0</v>
      </c>
      <c r="W88" s="266">
        <v>33.665999999999997</v>
      </c>
      <c r="X88" s="344">
        <v>26.067</v>
      </c>
      <c r="Y88" s="344">
        <v>10515866.15</v>
      </c>
      <c r="Z88" s="344">
        <v>538344.14330000104</v>
      </c>
      <c r="AB88" s="205" t="str">
        <f t="shared" si="2"/>
        <v>UPDATE mill_levy SET cert_per_hb201418 = 26.514,cert_hb201418_tax_credit = 0.045,certified_catbuy_mill_levy = 0,cert_tot_prog_reserve_fund = 0,certified_hh_mill_levy = 0,certified_override_mill_levy = 1.826,certified_abate_mill_levy = 0.165,certified_bond_mill_levy = 5.206,certified_transport_mill_levy = 0,certified_sbt_mill_levy = 0,cert_supp_cap_construction = 0,certified_other_mill_levy = 0,full_funding_mill_levy = 26.067,state_funding = 538344.143300001 WHERE district_number = '1510' AND fiscal_year = 20222023;</v>
      </c>
    </row>
    <row r="89" spans="1:28" x14ac:dyDescent="0.25">
      <c r="A89" s="262" t="s">
        <v>274</v>
      </c>
      <c r="B89" s="263" t="s">
        <v>275</v>
      </c>
      <c r="C89" s="264" t="s">
        <v>276</v>
      </c>
      <c r="D89" s="344">
        <v>1658306490</v>
      </c>
      <c r="E89" s="344">
        <v>2894710</v>
      </c>
      <c r="F89" s="344">
        <v>1655411780</v>
      </c>
      <c r="G89" s="343">
        <v>43423</v>
      </c>
      <c r="H89" s="265">
        <v>12.747999999999999</v>
      </c>
      <c r="I89" s="266">
        <v>3.1469999999999998</v>
      </c>
      <c r="J89" s="264">
        <v>9.6010000000000009</v>
      </c>
      <c r="K89" s="267">
        <v>0</v>
      </c>
      <c r="L89" s="268">
        <v>0</v>
      </c>
      <c r="M89" s="267">
        <v>1.583</v>
      </c>
      <c r="N89" s="264">
        <v>0</v>
      </c>
      <c r="O89" s="356">
        <v>7.5990000000000002</v>
      </c>
      <c r="P89" s="267">
        <v>2.5999999999999999E-2</v>
      </c>
      <c r="Q89" s="269">
        <v>18.809000000000001</v>
      </c>
      <c r="R89" s="266">
        <v>5.7759999999999998</v>
      </c>
      <c r="S89" s="268">
        <v>0</v>
      </c>
      <c r="T89" s="268">
        <v>0</v>
      </c>
      <c r="U89" s="268">
        <v>0</v>
      </c>
      <c r="V89" s="268">
        <v>0</v>
      </c>
      <c r="W89" s="266">
        <v>24.585000000000001</v>
      </c>
      <c r="X89" s="344">
        <v>35.491999999999997</v>
      </c>
      <c r="Y89" s="344">
        <v>53703808.159999996</v>
      </c>
      <c r="Z89" s="344">
        <v>36377540.020219997</v>
      </c>
      <c r="AB89" s="205" t="str">
        <f t="shared" si="2"/>
        <v>UPDATE mill_levy SET cert_per_hb201418 = 12.748,cert_hb201418_tax_credit = 3.147,certified_catbuy_mill_levy = 0,cert_tot_prog_reserve_fund = 0,certified_hh_mill_levy = 1.583,certified_override_mill_levy = 7.599,certified_abate_mill_levy = 0.026,certified_bond_mill_levy = 5.776,certified_transport_mill_levy = 0,certified_sbt_mill_levy = 0,cert_supp_cap_construction = 0,certified_other_mill_levy = 0,full_funding_mill_levy = 35.492,state_funding = 36377540.02022 WHERE district_number = '1520' AND fiscal_year = 20222023;</v>
      </c>
    </row>
    <row r="90" spans="1:28" x14ac:dyDescent="0.25">
      <c r="A90" s="262" t="s">
        <v>277</v>
      </c>
      <c r="B90" s="270" t="s">
        <v>275</v>
      </c>
      <c r="C90" s="271" t="s">
        <v>278</v>
      </c>
      <c r="D90" s="344">
        <v>267440460</v>
      </c>
      <c r="E90" s="344">
        <v>0</v>
      </c>
      <c r="F90" s="344">
        <v>267440460</v>
      </c>
      <c r="G90" s="343">
        <v>3860.27</v>
      </c>
      <c r="H90" s="265">
        <v>19.138000000000002</v>
      </c>
      <c r="I90" s="266">
        <v>7.9090000000000025</v>
      </c>
      <c r="J90" s="264">
        <v>11.228999999999999</v>
      </c>
      <c r="K90" s="267">
        <v>0</v>
      </c>
      <c r="L90" s="268">
        <v>0</v>
      </c>
      <c r="M90" s="267">
        <v>0.129</v>
      </c>
      <c r="N90" s="264">
        <v>0</v>
      </c>
      <c r="O90" s="356">
        <v>7.7350000000000003</v>
      </c>
      <c r="P90" s="267">
        <v>1.4E-2</v>
      </c>
      <c r="Q90" s="269">
        <v>19.106999999999999</v>
      </c>
      <c r="R90" s="266">
        <v>12.47</v>
      </c>
      <c r="S90" s="268">
        <v>0</v>
      </c>
      <c r="T90" s="268">
        <v>0</v>
      </c>
      <c r="U90" s="268">
        <v>0</v>
      </c>
      <c r="V90" s="268">
        <v>0</v>
      </c>
      <c r="W90" s="266">
        <v>31.577000000000002</v>
      </c>
      <c r="X90" s="344">
        <v>51.720999999999997</v>
      </c>
      <c r="Y90" s="344">
        <v>14537944.470000001</v>
      </c>
      <c r="Z90" s="344">
        <v>11314648.144660002</v>
      </c>
      <c r="AB90" s="205" t="str">
        <f t="shared" si="2"/>
        <v>UPDATE mill_levy SET cert_per_hb201418 = 19.138,cert_hb201418_tax_credit = 7.909,certified_catbuy_mill_levy = 0,cert_tot_prog_reserve_fund = 0,certified_hh_mill_levy = 0.129,certified_override_mill_levy = 7.735,certified_abate_mill_levy = 0.014,certified_bond_mill_levy = 12.47,certified_transport_mill_levy = 0,certified_sbt_mill_levy = 0,cert_supp_cap_construction = 0,certified_other_mill_levy = 0,full_funding_mill_levy = 51.721,state_funding = 11314648.14466 WHERE district_number = '1530' AND fiscal_year = 20222023;</v>
      </c>
    </row>
    <row r="91" spans="1:28" x14ac:dyDescent="0.25">
      <c r="A91" s="262" t="s">
        <v>279</v>
      </c>
      <c r="B91" s="263" t="s">
        <v>275</v>
      </c>
      <c r="C91" s="264" t="s">
        <v>280</v>
      </c>
      <c r="D91" s="344">
        <v>351976130</v>
      </c>
      <c r="E91" s="344">
        <v>0</v>
      </c>
      <c r="F91" s="344">
        <v>351976130</v>
      </c>
      <c r="G91" s="343">
        <v>1760</v>
      </c>
      <c r="H91" s="265">
        <v>7.3310000000000004</v>
      </c>
      <c r="I91" s="266">
        <v>2.0569999999999999</v>
      </c>
      <c r="J91" s="264">
        <v>5.274</v>
      </c>
      <c r="K91" s="267">
        <v>0</v>
      </c>
      <c r="L91" s="268">
        <v>0</v>
      </c>
      <c r="M91" s="267">
        <v>0</v>
      </c>
      <c r="N91" s="264">
        <v>0</v>
      </c>
      <c r="O91" s="356">
        <v>3.125</v>
      </c>
      <c r="P91" s="267">
        <v>5.0000000000000001E-3</v>
      </c>
      <c r="Q91" s="269">
        <v>8.4039999999999999</v>
      </c>
      <c r="R91" s="266">
        <v>9</v>
      </c>
      <c r="S91" s="268">
        <v>0</v>
      </c>
      <c r="T91" s="268">
        <v>0</v>
      </c>
      <c r="U91" s="268">
        <v>0</v>
      </c>
      <c r="V91" s="268">
        <v>0</v>
      </c>
      <c r="W91" s="266">
        <v>17.404</v>
      </c>
      <c r="X91" s="344">
        <v>25.792000000000002</v>
      </c>
      <c r="Y91" s="344">
        <v>9038319.8100000005</v>
      </c>
      <c r="Z91" s="344">
        <v>7074642.0803800002</v>
      </c>
      <c r="AB91" s="205" t="str">
        <f t="shared" si="2"/>
        <v>UPDATE mill_levy SET cert_per_hb201418 = 7.331,cert_hb201418_tax_credit = 2.057,certified_catbuy_mill_levy = 0,cert_tot_prog_reserve_fund = 0,certified_hh_mill_levy = 0,certified_override_mill_levy = 3.125,certified_abate_mill_levy = 0.005,certified_bond_mill_levy = 9,certified_transport_mill_levy = 0,certified_sbt_mill_levy = 0,cert_supp_cap_construction = 0,certified_other_mill_levy = 0,full_funding_mill_levy = 25.792,state_funding = 7074642.08038 WHERE district_number = '1540' AND fiscal_year = 20222023;</v>
      </c>
    </row>
    <row r="92" spans="1:28" x14ac:dyDescent="0.25">
      <c r="A92" s="262" t="s">
        <v>281</v>
      </c>
      <c r="B92" s="263" t="s">
        <v>282</v>
      </c>
      <c r="C92" s="264" t="s">
        <v>283</v>
      </c>
      <c r="D92" s="344">
        <v>5164299905</v>
      </c>
      <c r="E92" s="344">
        <v>287073438</v>
      </c>
      <c r="F92" s="344">
        <v>4877226467</v>
      </c>
      <c r="G92" s="343">
        <v>932941</v>
      </c>
      <c r="H92" s="265">
        <v>27</v>
      </c>
      <c r="I92" s="266">
        <v>0</v>
      </c>
      <c r="J92" s="264">
        <v>27</v>
      </c>
      <c r="K92" s="267">
        <v>0</v>
      </c>
      <c r="L92" s="268">
        <v>0</v>
      </c>
      <c r="M92" s="267">
        <v>0</v>
      </c>
      <c r="N92" s="264">
        <v>0</v>
      </c>
      <c r="O92" s="356">
        <v>13.106</v>
      </c>
      <c r="P92" s="267">
        <v>0.191</v>
      </c>
      <c r="Q92" s="269">
        <v>40.296999999999997</v>
      </c>
      <c r="R92" s="266">
        <v>13.137</v>
      </c>
      <c r="S92" s="268">
        <v>0</v>
      </c>
      <c r="T92" s="268">
        <v>0</v>
      </c>
      <c r="U92" s="268">
        <v>0</v>
      </c>
      <c r="V92" s="268">
        <v>0</v>
      </c>
      <c r="W92" s="266">
        <v>53.433999999999997</v>
      </c>
      <c r="X92" s="344">
        <v>63.564</v>
      </c>
      <c r="Y92" s="344">
        <v>293283712.32639998</v>
      </c>
      <c r="Z92" s="344">
        <v>153487480.3574</v>
      </c>
      <c r="AB92" s="205" t="str">
        <f t="shared" si="2"/>
        <v>UPDATE mill_levy SET cert_per_hb201418 = 27,cert_hb201418_tax_credit = 0,certified_catbuy_mill_levy = 0,cert_tot_prog_reserve_fund = 0,certified_hh_mill_levy = 0,certified_override_mill_levy = 13.106,certified_abate_mill_levy = 0.191,certified_bond_mill_levy = 13.137,certified_transport_mill_levy = 0,certified_sbt_mill_levy = 0,cert_supp_cap_construction = 0,certified_other_mill_levy = 0,full_funding_mill_levy = 63.564,state_funding = 153487480.3574 WHERE district_number = '1550' AND fiscal_year = 20222023;</v>
      </c>
    </row>
    <row r="93" spans="1:28" x14ac:dyDescent="0.25">
      <c r="A93" s="262" t="s">
        <v>284</v>
      </c>
      <c r="B93" s="263" t="s">
        <v>282</v>
      </c>
      <c r="C93" s="264" t="s">
        <v>285</v>
      </c>
      <c r="D93" s="344">
        <v>3479769646</v>
      </c>
      <c r="E93" s="344">
        <v>192137133</v>
      </c>
      <c r="F93" s="344">
        <v>3287632513</v>
      </c>
      <c r="G93" s="343">
        <v>206406.78</v>
      </c>
      <c r="H93" s="265">
        <v>27</v>
      </c>
      <c r="I93" s="266">
        <v>1.64</v>
      </c>
      <c r="J93" s="264">
        <v>25.36</v>
      </c>
      <c r="K93" s="267">
        <v>0</v>
      </c>
      <c r="L93" s="268">
        <v>0</v>
      </c>
      <c r="M93" s="267">
        <v>0</v>
      </c>
      <c r="N93" s="264">
        <v>0</v>
      </c>
      <c r="O93" s="356">
        <v>11.513999999999999</v>
      </c>
      <c r="P93" s="267">
        <v>6.3E-2</v>
      </c>
      <c r="Q93" s="269">
        <v>36.936999999999998</v>
      </c>
      <c r="R93" s="266">
        <v>5.8230000000000004</v>
      </c>
      <c r="S93" s="268">
        <v>0</v>
      </c>
      <c r="T93" s="268">
        <v>0</v>
      </c>
      <c r="U93" s="268">
        <v>0</v>
      </c>
      <c r="V93" s="268">
        <v>0</v>
      </c>
      <c r="W93" s="266">
        <v>42.76</v>
      </c>
      <c r="X93" s="344">
        <v>42.564999999999998</v>
      </c>
      <c r="Y93" s="344">
        <v>149130687.49000001</v>
      </c>
      <c r="Z93" s="344">
        <v>60898758.780320011</v>
      </c>
      <c r="AB93" s="205" t="str">
        <f t="shared" si="2"/>
        <v>UPDATE mill_levy SET cert_per_hb201418 = 27,cert_hb201418_tax_credit = 1.64,certified_catbuy_mill_levy = 0,cert_tot_prog_reserve_fund = 0,certified_hh_mill_levy = 0,certified_override_mill_levy = 11.514,certified_abate_mill_levy = 0.063,certified_bond_mill_levy = 5.823,certified_transport_mill_levy = 0,certified_sbt_mill_levy = 0,cert_supp_cap_construction = 0,certified_other_mill_levy = 0,full_funding_mill_levy = 42.565,state_funding = 60898758.78032 WHERE district_number = '1560' AND fiscal_year = 20222023;</v>
      </c>
    </row>
    <row r="94" spans="1:28" x14ac:dyDescent="0.25">
      <c r="A94" s="262" t="s">
        <v>286</v>
      </c>
      <c r="B94" s="263" t="s">
        <v>282</v>
      </c>
      <c r="C94" s="264" t="s">
        <v>287</v>
      </c>
      <c r="D94" s="344">
        <v>623652817</v>
      </c>
      <c r="E94" s="344">
        <v>0</v>
      </c>
      <c r="F94" s="344">
        <v>623652817</v>
      </c>
      <c r="G94" s="343">
        <v>26456.21</v>
      </c>
      <c r="H94" s="265">
        <v>20.548999999999999</v>
      </c>
      <c r="I94" s="266">
        <v>0</v>
      </c>
      <c r="J94" s="264">
        <v>17.523</v>
      </c>
      <c r="K94" s="267">
        <v>0.75</v>
      </c>
      <c r="L94" s="268">
        <v>2.2759999999999998</v>
      </c>
      <c r="M94" s="267">
        <v>0</v>
      </c>
      <c r="N94" s="264">
        <v>0</v>
      </c>
      <c r="O94" s="356">
        <v>5.4359999999999999</v>
      </c>
      <c r="P94" s="267">
        <v>4.2999999999999997E-2</v>
      </c>
      <c r="Q94" s="269">
        <v>26.027999999999999</v>
      </c>
      <c r="R94" s="266">
        <v>2.7050000000000001</v>
      </c>
      <c r="S94" s="268">
        <v>0</v>
      </c>
      <c r="T94" s="268">
        <v>0</v>
      </c>
      <c r="U94" s="268">
        <v>0</v>
      </c>
      <c r="V94" s="268">
        <v>0</v>
      </c>
      <c r="W94" s="266">
        <v>28.733000000000001</v>
      </c>
      <c r="X94" s="344">
        <v>16.422000000000001</v>
      </c>
      <c r="Y94" s="344">
        <v>11619688.26</v>
      </c>
      <c r="Z94" s="344">
        <v>5.259994650259614E-4</v>
      </c>
      <c r="AB94" s="205" t="str">
        <f t="shared" si="2"/>
        <v>UPDATE mill_levy SET cert_per_hb201418 = 20.549,cert_hb201418_tax_credit = 0,certified_catbuy_mill_levy = 0.75,cert_tot_prog_reserve_fund = 2.276,certified_hh_mill_levy = 0,certified_override_mill_levy = 5.436,certified_abate_mill_levy = 0.043,certified_bond_mill_levy = 2.705,certified_transport_mill_levy = 0,certified_sbt_mill_levy = 0,cert_supp_cap_construction = 0,certified_other_mill_levy = 0,full_funding_mill_levy = 16.422,state_funding = 0.000525999465025961 WHERE district_number = '1570' AND fiscal_year = 20222023;</v>
      </c>
    </row>
    <row r="95" spans="1:28" x14ac:dyDescent="0.25">
      <c r="A95" s="262" t="s">
        <v>288</v>
      </c>
      <c r="B95" s="274" t="s">
        <v>138</v>
      </c>
      <c r="C95" s="275" t="s">
        <v>289</v>
      </c>
      <c r="D95" s="344">
        <v>166554555</v>
      </c>
      <c r="E95" s="344">
        <v>1428278</v>
      </c>
      <c r="F95" s="344">
        <v>165126277</v>
      </c>
      <c r="G95" s="343">
        <v>0</v>
      </c>
      <c r="H95" s="265">
        <v>27</v>
      </c>
      <c r="I95" s="266">
        <v>11.573</v>
      </c>
      <c r="J95" s="264">
        <v>15.427</v>
      </c>
      <c r="K95" s="267">
        <v>0</v>
      </c>
      <c r="L95" s="268">
        <v>0</v>
      </c>
      <c r="M95" s="267">
        <v>0</v>
      </c>
      <c r="N95" s="264">
        <v>0</v>
      </c>
      <c r="O95" s="356">
        <v>0</v>
      </c>
      <c r="P95" s="267">
        <v>0</v>
      </c>
      <c r="Q95" s="269">
        <v>15.427</v>
      </c>
      <c r="R95" s="266">
        <v>3.4420000000000002</v>
      </c>
      <c r="S95" s="268">
        <v>0</v>
      </c>
      <c r="T95" s="268">
        <v>0</v>
      </c>
      <c r="U95" s="268">
        <v>0</v>
      </c>
      <c r="V95" s="268">
        <v>0</v>
      </c>
      <c r="W95" s="266">
        <v>18.869</v>
      </c>
      <c r="X95" s="344">
        <v>53.576000000000001</v>
      </c>
      <c r="Y95" s="344">
        <v>9592094.6400000006</v>
      </c>
      <c r="Z95" s="344">
        <v>6680447.3747210009</v>
      </c>
      <c r="AB95" s="205" t="str">
        <f t="shared" si="2"/>
        <v>UPDATE mill_levy SET cert_per_hb201418 = 27,cert_hb201418_tax_credit = 11.573,certified_catbuy_mill_levy = 0,cert_tot_prog_reserve_fund = 0,certified_hh_mill_levy = 0,certified_override_mill_levy = 0,certified_abate_mill_levy = 0,certified_bond_mill_levy = 3.442,certified_transport_mill_levy = 0,certified_sbt_mill_levy = 0,cert_supp_cap_construction = 0,certified_other_mill_levy = 0,full_funding_mill_levy = 53.576,state_funding = 6680447.374721 WHERE district_number = '1580' AND fiscal_year = 20222023;</v>
      </c>
    </row>
    <row r="96" spans="1:28" x14ac:dyDescent="0.25">
      <c r="A96" s="262" t="s">
        <v>290</v>
      </c>
      <c r="B96" s="263" t="s">
        <v>138</v>
      </c>
      <c r="C96" s="264" t="s">
        <v>291</v>
      </c>
      <c r="D96" s="344">
        <v>170503569</v>
      </c>
      <c r="E96" s="344">
        <v>0</v>
      </c>
      <c r="F96" s="344">
        <v>170503569</v>
      </c>
      <c r="G96" s="343">
        <v>156.54</v>
      </c>
      <c r="H96" s="265">
        <v>4.1689999999999996</v>
      </c>
      <c r="I96" s="266">
        <v>0</v>
      </c>
      <c r="J96" s="264">
        <v>4.1689999999999996</v>
      </c>
      <c r="K96" s="267">
        <v>0</v>
      </c>
      <c r="L96" s="268">
        <v>0</v>
      </c>
      <c r="M96" s="267">
        <v>0.46200000000000002</v>
      </c>
      <c r="N96" s="264">
        <v>0</v>
      </c>
      <c r="O96" s="356">
        <v>2.0529999999999999</v>
      </c>
      <c r="P96" s="267">
        <v>1E-3</v>
      </c>
      <c r="Q96" s="269">
        <v>6.6849999999999996</v>
      </c>
      <c r="R96" s="266">
        <v>5.5129999999999999</v>
      </c>
      <c r="S96" s="268">
        <v>0.82099999999999995</v>
      </c>
      <c r="T96" s="268">
        <v>0</v>
      </c>
      <c r="U96" s="268">
        <v>0</v>
      </c>
      <c r="V96" s="268">
        <v>0</v>
      </c>
      <c r="W96" s="266">
        <v>13.019</v>
      </c>
      <c r="X96" s="344">
        <v>21.582999999999998</v>
      </c>
      <c r="Y96" s="344">
        <v>3700948.8</v>
      </c>
      <c r="Z96" s="344">
        <v>2914253.9008389995</v>
      </c>
      <c r="AB96" s="205" t="str">
        <f t="shared" si="2"/>
        <v>UPDATE mill_levy SET cert_per_hb201418 = 4.169,cert_hb201418_tax_credit = 0,certified_catbuy_mill_levy = 0,cert_tot_prog_reserve_fund = 0,certified_hh_mill_levy = 0.462,certified_override_mill_levy = 2.053,certified_abate_mill_levy = 0.001,certified_bond_mill_levy = 5.513,certified_transport_mill_levy = 0.821,certified_sbt_mill_levy = 0,cert_supp_cap_construction = 0,certified_other_mill_levy = 0,full_funding_mill_levy = 21.583,state_funding = 2914253.900839 WHERE district_number = '1590' AND fiscal_year = 20222023;</v>
      </c>
    </row>
    <row r="97" spans="1:28" x14ac:dyDescent="0.25">
      <c r="A97" s="262" t="s">
        <v>292</v>
      </c>
      <c r="B97" s="270" t="s">
        <v>138</v>
      </c>
      <c r="C97" s="271" t="s">
        <v>293</v>
      </c>
      <c r="D97" s="344">
        <v>55902757</v>
      </c>
      <c r="E97" s="344">
        <v>176529</v>
      </c>
      <c r="F97" s="344">
        <v>55726228</v>
      </c>
      <c r="G97" s="343">
        <v>0</v>
      </c>
      <c r="H97" s="265">
        <v>27</v>
      </c>
      <c r="I97" s="266">
        <v>1.3420000000000001</v>
      </c>
      <c r="J97" s="264">
        <v>25.658000000000001</v>
      </c>
      <c r="K97" s="267">
        <v>0</v>
      </c>
      <c r="L97" s="268">
        <v>0</v>
      </c>
      <c r="M97" s="267">
        <v>0</v>
      </c>
      <c r="N97" s="264">
        <v>0</v>
      </c>
      <c r="O97" s="356">
        <v>0</v>
      </c>
      <c r="P97" s="267">
        <v>0</v>
      </c>
      <c r="Q97" s="269">
        <v>25.658000000000001</v>
      </c>
      <c r="R97" s="266">
        <v>4.5</v>
      </c>
      <c r="S97" s="268">
        <v>0</v>
      </c>
      <c r="T97" s="268">
        <v>0</v>
      </c>
      <c r="U97" s="268">
        <v>0</v>
      </c>
      <c r="V97" s="268">
        <v>0</v>
      </c>
      <c r="W97" s="266">
        <v>30.158000000000001</v>
      </c>
      <c r="X97" s="344">
        <v>72.866</v>
      </c>
      <c r="Y97" s="344">
        <v>4323182.2</v>
      </c>
      <c r="Z97" s="344">
        <v>2659383.0819760002</v>
      </c>
      <c r="AB97" s="205" t="str">
        <f t="shared" si="2"/>
        <v>UPDATE mill_levy SET cert_per_hb201418 = 27,cert_hb201418_tax_credit = 1.342,certified_catbuy_mill_levy = 0,cert_tot_prog_reserve_fund = 0,certified_hh_mill_levy = 0,certified_override_mill_levy = 0,certified_abate_mill_levy = 0,certified_bond_mill_levy = 4.5,certified_transport_mill_levy = 0,certified_sbt_mill_levy = 0,cert_supp_cap_construction = 0,certified_other_mill_levy = 0,full_funding_mill_levy = 72.866,state_funding = 2659383.081976 WHERE district_number = '1600' AND fiscal_year = 20222023;</v>
      </c>
    </row>
    <row r="98" spans="1:28" x14ac:dyDescent="0.25">
      <c r="A98" s="262" t="s">
        <v>294</v>
      </c>
      <c r="B98" s="270" t="s">
        <v>138</v>
      </c>
      <c r="C98" s="271" t="s">
        <v>295</v>
      </c>
      <c r="D98" s="344">
        <v>62477957</v>
      </c>
      <c r="E98" s="344">
        <v>0</v>
      </c>
      <c r="F98" s="344">
        <v>62477957</v>
      </c>
      <c r="G98" s="343">
        <v>0</v>
      </c>
      <c r="H98" s="265">
        <v>23.288</v>
      </c>
      <c r="I98" s="266">
        <v>11.768000000000001</v>
      </c>
      <c r="J98" s="264">
        <v>11.52</v>
      </c>
      <c r="K98" s="267">
        <v>0</v>
      </c>
      <c r="L98" s="268">
        <v>0</v>
      </c>
      <c r="M98" s="267">
        <v>0.47399999999999998</v>
      </c>
      <c r="N98" s="264">
        <v>0</v>
      </c>
      <c r="O98" s="356">
        <v>0</v>
      </c>
      <c r="P98" s="267">
        <v>0</v>
      </c>
      <c r="Q98" s="269">
        <v>11.994</v>
      </c>
      <c r="R98" s="266">
        <v>0</v>
      </c>
      <c r="S98" s="268">
        <v>0</v>
      </c>
      <c r="T98" s="268">
        <v>0</v>
      </c>
      <c r="U98" s="268">
        <v>0</v>
      </c>
      <c r="V98" s="268">
        <v>0</v>
      </c>
      <c r="W98" s="266">
        <v>11.994</v>
      </c>
      <c r="X98" s="344">
        <v>32.253</v>
      </c>
      <c r="Y98" s="344">
        <v>2104918.67</v>
      </c>
      <c r="Z98" s="344">
        <v>1304148.14536</v>
      </c>
      <c r="AB98" s="205" t="str">
        <f t="shared" si="2"/>
        <v>UPDATE mill_levy SET cert_per_hb201418 = 23.288,cert_hb201418_tax_credit = 11.768,certified_catbuy_mill_levy = 0,cert_tot_prog_reserve_fund = 0,certified_hh_mill_levy = 0.474,certified_override_mill_levy = 0,certified_abate_mill_levy = 0,certified_bond_mill_levy = 0,certified_transport_mill_levy = 0,certified_sbt_mill_levy = 0,cert_supp_cap_construction = 0,certified_other_mill_levy = 0,full_funding_mill_levy = 32.253,state_funding = 1304148.14536 WHERE district_number = '1620' AND fiscal_year = 20222023;</v>
      </c>
    </row>
    <row r="99" spans="1:28" x14ac:dyDescent="0.25">
      <c r="A99" s="262" t="s">
        <v>296</v>
      </c>
      <c r="B99" s="263" t="s">
        <v>138</v>
      </c>
      <c r="C99" s="264" t="s">
        <v>297</v>
      </c>
      <c r="D99" s="344">
        <v>19599894</v>
      </c>
      <c r="E99" s="344">
        <v>0</v>
      </c>
      <c r="F99" s="344">
        <v>19599894</v>
      </c>
      <c r="G99" s="343">
        <v>0</v>
      </c>
      <c r="H99" s="265">
        <v>27</v>
      </c>
      <c r="I99" s="266">
        <v>4.3840000000000003</v>
      </c>
      <c r="J99" s="264">
        <v>22.616</v>
      </c>
      <c r="K99" s="267">
        <v>0</v>
      </c>
      <c r="L99" s="268">
        <v>0</v>
      </c>
      <c r="M99" s="267">
        <v>0</v>
      </c>
      <c r="N99" s="264">
        <v>0</v>
      </c>
      <c r="O99" s="356">
        <v>6.64</v>
      </c>
      <c r="P99" s="267">
        <v>0</v>
      </c>
      <c r="Q99" s="269">
        <v>29.256</v>
      </c>
      <c r="R99" s="266">
        <v>0</v>
      </c>
      <c r="S99" s="268">
        <v>0</v>
      </c>
      <c r="T99" s="268">
        <v>0</v>
      </c>
      <c r="U99" s="268">
        <v>0</v>
      </c>
      <c r="V99" s="268">
        <v>0</v>
      </c>
      <c r="W99" s="266">
        <v>29.256</v>
      </c>
      <c r="X99" s="344">
        <v>230.43199999999999</v>
      </c>
      <c r="Y99" s="344">
        <v>4206282.2</v>
      </c>
      <c r="Z99" s="344">
        <v>3708001.4872960006</v>
      </c>
      <c r="AB99" s="205" t="str">
        <f t="shared" si="2"/>
        <v>UPDATE mill_levy SET cert_per_hb201418 = 27,cert_hb201418_tax_credit = 4.384,certified_catbuy_mill_levy = 0,cert_tot_prog_reserve_fund = 0,certified_hh_mill_levy = 0,certified_override_mill_levy = 6.64,certified_abate_mill_levy = 0,certified_bond_mill_levy = 0,certified_transport_mill_levy = 0,certified_sbt_mill_levy = 0,cert_supp_cap_construction = 0,certified_other_mill_levy = 0,full_funding_mill_levy = 230.432,state_funding = 3708001.487296 WHERE district_number = '1750' AND fiscal_year = 20222023;</v>
      </c>
    </row>
    <row r="100" spans="1:28" x14ac:dyDescent="0.25">
      <c r="A100" s="263" t="s">
        <v>298</v>
      </c>
      <c r="B100" s="270" t="s">
        <v>138</v>
      </c>
      <c r="C100" s="271" t="s">
        <v>299</v>
      </c>
      <c r="D100" s="344">
        <v>24722948</v>
      </c>
      <c r="E100" s="344">
        <v>0</v>
      </c>
      <c r="F100" s="344">
        <v>24722948</v>
      </c>
      <c r="G100" s="343">
        <v>0</v>
      </c>
      <c r="H100" s="265">
        <v>27</v>
      </c>
      <c r="I100" s="266">
        <v>13.021000000000001</v>
      </c>
      <c r="J100" s="264">
        <v>13.978999999999999</v>
      </c>
      <c r="K100" s="267">
        <v>0</v>
      </c>
      <c r="L100" s="268">
        <v>0</v>
      </c>
      <c r="M100" s="267">
        <v>1.1459999999999999</v>
      </c>
      <c r="N100" s="264">
        <v>0</v>
      </c>
      <c r="O100" s="356">
        <v>6.9429999999999996</v>
      </c>
      <c r="P100" s="267">
        <v>0</v>
      </c>
      <c r="Q100" s="269">
        <v>22.068000000000001</v>
      </c>
      <c r="R100" s="266">
        <v>9.3030200000000001</v>
      </c>
      <c r="S100" s="268">
        <v>0</v>
      </c>
      <c r="T100" s="268">
        <v>0</v>
      </c>
      <c r="U100" s="268">
        <v>0</v>
      </c>
      <c r="V100" s="268">
        <v>0</v>
      </c>
      <c r="W100" s="266">
        <v>31.371020000000001</v>
      </c>
      <c r="X100" s="344">
        <v>37.186</v>
      </c>
      <c r="Y100" s="344">
        <v>981132.01</v>
      </c>
      <c r="Z100" s="344">
        <v>590418.50990799989</v>
      </c>
      <c r="AB100" s="205" t="str">
        <f t="shared" si="2"/>
        <v>UPDATE mill_levy SET cert_per_hb201418 = 27,cert_hb201418_tax_credit = 13.021,certified_catbuy_mill_levy = 0,cert_tot_prog_reserve_fund = 0,certified_hh_mill_levy = 1.146,certified_override_mill_levy = 6.943,certified_abate_mill_levy = 0,certified_bond_mill_levy = 9.30302,certified_transport_mill_levy = 0,certified_sbt_mill_levy = 0,cert_supp_cap_construction = 0,certified_other_mill_levy = 0,full_funding_mill_levy = 37.186,state_funding = 590418.509908 WHERE district_number = '1760' AND fiscal_year = 20222023;</v>
      </c>
    </row>
    <row r="101" spans="1:28" x14ac:dyDescent="0.25">
      <c r="A101" s="262" t="s">
        <v>300</v>
      </c>
      <c r="B101" s="263" t="s">
        <v>301</v>
      </c>
      <c r="C101" s="264" t="s">
        <v>302</v>
      </c>
      <c r="D101" s="344">
        <v>75461579</v>
      </c>
      <c r="E101" s="344">
        <v>0</v>
      </c>
      <c r="F101" s="344">
        <v>75461579</v>
      </c>
      <c r="G101" s="343">
        <v>2448.94</v>
      </c>
      <c r="H101" s="265">
        <v>17.379000000000001</v>
      </c>
      <c r="I101" s="266">
        <v>0</v>
      </c>
      <c r="J101" s="264">
        <v>17.379000000000001</v>
      </c>
      <c r="K101" s="267">
        <v>0</v>
      </c>
      <c r="L101" s="268">
        <v>0</v>
      </c>
      <c r="M101" s="267">
        <v>0</v>
      </c>
      <c r="N101" s="264">
        <v>0</v>
      </c>
      <c r="O101" s="356">
        <v>0</v>
      </c>
      <c r="P101" s="267">
        <v>0</v>
      </c>
      <c r="Q101" s="269">
        <v>17.379000000000001</v>
      </c>
      <c r="R101" s="266">
        <v>6.5860000000000003</v>
      </c>
      <c r="S101" s="268">
        <v>0</v>
      </c>
      <c r="T101" s="268">
        <v>0</v>
      </c>
      <c r="U101" s="268">
        <v>0</v>
      </c>
      <c r="V101" s="268">
        <v>0</v>
      </c>
      <c r="W101" s="266">
        <v>23.965</v>
      </c>
      <c r="X101" s="344">
        <v>41.472000000000001</v>
      </c>
      <c r="Y101" s="344">
        <v>3439071.71</v>
      </c>
      <c r="Z101" s="344">
        <v>2001208.0885590001</v>
      </c>
      <c r="AB101" s="205" t="str">
        <f t="shared" si="2"/>
        <v>UPDATE mill_levy SET cert_per_hb201418 = 17.379,cert_hb201418_tax_credit = 0,certified_catbuy_mill_levy = 0,cert_tot_prog_reserve_fund = 0,certified_hh_mill_levy = 0,certified_override_mill_levy = 0,certified_abate_mill_levy = 0,certified_bond_mill_levy = 6.586,certified_transport_mill_levy = 0,certified_sbt_mill_levy = 0,cert_supp_cap_construction = 0,certified_other_mill_levy = 0,full_funding_mill_levy = 41.472,state_funding = 2001208.088559 WHERE district_number = '1780' AND fiscal_year = 20222023;</v>
      </c>
    </row>
    <row r="102" spans="1:28" x14ac:dyDescent="0.25">
      <c r="A102" s="262" t="s">
        <v>303</v>
      </c>
      <c r="B102" s="263" t="s">
        <v>301</v>
      </c>
      <c r="C102" s="264" t="s">
        <v>304</v>
      </c>
      <c r="D102" s="344">
        <v>83321676</v>
      </c>
      <c r="E102" s="344">
        <v>0</v>
      </c>
      <c r="F102" s="344">
        <v>83321676</v>
      </c>
      <c r="G102" s="343">
        <v>4236.22</v>
      </c>
      <c r="H102" s="265">
        <v>27</v>
      </c>
      <c r="I102" s="266">
        <v>2.1760000000000002</v>
      </c>
      <c r="J102" s="264">
        <v>24.824000000000002</v>
      </c>
      <c r="K102" s="267">
        <v>0</v>
      </c>
      <c r="L102" s="268">
        <v>0</v>
      </c>
      <c r="M102" s="267">
        <v>0</v>
      </c>
      <c r="N102" s="264">
        <v>0</v>
      </c>
      <c r="O102" s="356">
        <v>0</v>
      </c>
      <c r="P102" s="267">
        <v>5.0999999999999997E-2</v>
      </c>
      <c r="Q102" s="269">
        <v>24.875</v>
      </c>
      <c r="R102" s="266">
        <v>6.4429999999999996</v>
      </c>
      <c r="S102" s="268">
        <v>0</v>
      </c>
      <c r="T102" s="268">
        <v>0</v>
      </c>
      <c r="U102" s="268">
        <v>0</v>
      </c>
      <c r="V102" s="268">
        <v>0</v>
      </c>
      <c r="W102" s="266">
        <v>31.318000000000001</v>
      </c>
      <c r="X102" s="344">
        <v>61.860999999999997</v>
      </c>
      <c r="Y102" s="344">
        <v>5539829.2800000003</v>
      </c>
      <c r="Z102" s="344">
        <v>3241728.8049760005</v>
      </c>
      <c r="AB102" s="205" t="str">
        <f t="shared" si="2"/>
        <v>UPDATE mill_levy SET cert_per_hb201418 = 27,cert_hb201418_tax_credit = 2.176,certified_catbuy_mill_levy = 0,cert_tot_prog_reserve_fund = 0,certified_hh_mill_levy = 0,certified_override_mill_levy = 0,certified_abate_mill_levy = 0.051,certified_bond_mill_levy = 6.443,certified_transport_mill_levy = 0,certified_sbt_mill_levy = 0,cert_supp_cap_construction = 0,certified_other_mill_levy = 0,full_funding_mill_levy = 61.861,state_funding = 3241728.804976 WHERE district_number = '1790' AND fiscal_year = 20222023;</v>
      </c>
    </row>
    <row r="103" spans="1:28" x14ac:dyDescent="0.25">
      <c r="A103" s="262" t="s">
        <v>305</v>
      </c>
      <c r="B103" s="263" t="s">
        <v>301</v>
      </c>
      <c r="C103" s="264" t="s">
        <v>306</v>
      </c>
      <c r="D103" s="344">
        <v>6201370</v>
      </c>
      <c r="E103" s="344">
        <v>0</v>
      </c>
      <c r="F103" s="344">
        <v>6201370</v>
      </c>
      <c r="G103" s="343">
        <v>0</v>
      </c>
      <c r="H103" s="265">
        <v>27</v>
      </c>
      <c r="I103" s="266">
        <v>0</v>
      </c>
      <c r="J103" s="264">
        <v>27</v>
      </c>
      <c r="K103" s="267">
        <v>0</v>
      </c>
      <c r="L103" s="268">
        <v>0</v>
      </c>
      <c r="M103" s="267">
        <v>0</v>
      </c>
      <c r="N103" s="264">
        <v>0</v>
      </c>
      <c r="O103" s="356">
        <v>0</v>
      </c>
      <c r="P103" s="267">
        <v>0</v>
      </c>
      <c r="Q103" s="269">
        <v>27</v>
      </c>
      <c r="R103" s="266">
        <v>0</v>
      </c>
      <c r="S103" s="268">
        <v>0</v>
      </c>
      <c r="T103" s="268">
        <v>0</v>
      </c>
      <c r="U103" s="268">
        <v>0</v>
      </c>
      <c r="V103" s="268">
        <v>0</v>
      </c>
      <c r="W103" s="266">
        <v>27</v>
      </c>
      <c r="X103" s="344">
        <v>163.48599999999999</v>
      </c>
      <c r="Y103" s="344">
        <v>1065555.32</v>
      </c>
      <c r="Z103" s="344">
        <v>880236.58000000007</v>
      </c>
      <c r="AB103" s="205" t="str">
        <f t="shared" si="2"/>
        <v>UPDATE mill_levy SET cert_per_hb201418 = 27,cert_hb201418_tax_credit = 0,certified_catbuy_mill_levy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163.486,state_funding = 880236.58 WHERE district_number = '1810' AND fiscal_year = 20222023;</v>
      </c>
    </row>
    <row r="104" spans="1:28" x14ac:dyDescent="0.25">
      <c r="A104" s="262" t="s">
        <v>307</v>
      </c>
      <c r="B104" s="270" t="s">
        <v>308</v>
      </c>
      <c r="C104" s="271" t="s">
        <v>309</v>
      </c>
      <c r="D104" s="344">
        <v>235396478</v>
      </c>
      <c r="E104" s="344">
        <v>6981968</v>
      </c>
      <c r="F104" s="344">
        <v>228414510</v>
      </c>
      <c r="G104" s="343">
        <v>7123.96</v>
      </c>
      <c r="H104" s="265">
        <v>27</v>
      </c>
      <c r="I104" s="266">
        <v>0</v>
      </c>
      <c r="J104" s="264">
        <v>27</v>
      </c>
      <c r="K104" s="267">
        <v>0</v>
      </c>
      <c r="L104" s="268">
        <v>0</v>
      </c>
      <c r="M104" s="267">
        <v>0</v>
      </c>
      <c r="N104" s="264">
        <v>0</v>
      </c>
      <c r="O104" s="356">
        <v>2.1890000000000001</v>
      </c>
      <c r="P104" s="267">
        <v>3.1E-2</v>
      </c>
      <c r="Q104" s="269">
        <v>29.22</v>
      </c>
      <c r="R104" s="266">
        <v>2.1070000000000002</v>
      </c>
      <c r="S104" s="268">
        <v>0</v>
      </c>
      <c r="T104" s="268">
        <v>0</v>
      </c>
      <c r="U104" s="268">
        <v>0</v>
      </c>
      <c r="V104" s="268">
        <v>0</v>
      </c>
      <c r="W104" s="266">
        <v>31.327000000000002</v>
      </c>
      <c r="X104" s="344">
        <v>80.578000000000003</v>
      </c>
      <c r="Y104" s="344">
        <v>19985172.489999998</v>
      </c>
      <c r="Z104" s="344">
        <v>13224240.129999999</v>
      </c>
      <c r="AB104" s="205" t="str">
        <f t="shared" si="2"/>
        <v>UPDATE mill_levy SET cert_per_hb201418 = 27,cert_hb201418_tax_credit = 0,certified_catbuy_mill_levy = 0,cert_tot_prog_reserve_fund = 0,certified_hh_mill_levy = 0,certified_override_mill_levy = 2.189,certified_abate_mill_levy = 0.031,certified_bond_mill_levy = 2.107,certified_transport_mill_levy = 0,certified_sbt_mill_levy = 0,cert_supp_cap_construction = 0,certified_other_mill_levy = 0,full_funding_mill_levy = 80.578,state_funding = 13224240.13 WHERE district_number = '1828' AND fiscal_year = 20222023;</v>
      </c>
    </row>
    <row r="105" spans="1:28" x14ac:dyDescent="0.25">
      <c r="A105" s="262" t="s">
        <v>310</v>
      </c>
      <c r="B105" s="263" t="s">
        <v>308</v>
      </c>
      <c r="C105" s="264" t="s">
        <v>311</v>
      </c>
      <c r="D105" s="344">
        <v>46413903</v>
      </c>
      <c r="E105" s="344">
        <v>0</v>
      </c>
      <c r="F105" s="344">
        <v>46413903</v>
      </c>
      <c r="G105" s="343">
        <v>4734</v>
      </c>
      <c r="H105" s="265">
        <v>27</v>
      </c>
      <c r="I105" s="266">
        <v>0</v>
      </c>
      <c r="J105" s="264">
        <v>27</v>
      </c>
      <c r="K105" s="267">
        <v>0</v>
      </c>
      <c r="L105" s="268">
        <v>0</v>
      </c>
      <c r="M105" s="267">
        <v>0.40100000000000002</v>
      </c>
      <c r="N105" s="264">
        <v>0</v>
      </c>
      <c r="O105" s="356">
        <v>0.63800000000000001</v>
      </c>
      <c r="P105" s="267">
        <v>0.10199999999999999</v>
      </c>
      <c r="Q105" s="269">
        <v>28.140999999999998</v>
      </c>
      <c r="R105" s="266">
        <v>0</v>
      </c>
      <c r="S105" s="268">
        <v>0</v>
      </c>
      <c r="T105" s="268">
        <v>0</v>
      </c>
      <c r="U105" s="268">
        <v>0</v>
      </c>
      <c r="V105" s="268">
        <v>0</v>
      </c>
      <c r="W105" s="266">
        <v>28.140999999999998</v>
      </c>
      <c r="X105" s="344">
        <v>68.177999999999997</v>
      </c>
      <c r="Y105" s="344">
        <v>3333815.34</v>
      </c>
      <c r="Z105" s="344">
        <v>1964229.4389999998</v>
      </c>
      <c r="AB105" s="205" t="str">
        <f t="shared" si="2"/>
        <v>UPDATE mill_levy SET cert_per_hb201418 = 27,cert_hb201418_tax_credit = 0,certified_catbuy_mill_levy = 0,cert_tot_prog_reserve_fund = 0,certified_hh_mill_levy = 0.401,certified_override_mill_levy = 0.638,certified_abate_mill_levy = 0.102,certified_bond_mill_levy = 0,certified_transport_mill_levy = 0,certified_sbt_mill_levy = 0,cert_supp_cap_construction = 0,certified_other_mill_levy = 0,full_funding_mill_levy = 68.178,state_funding = 1964229.439 WHERE district_number = '1850' AND fiscal_year = 20222023;</v>
      </c>
    </row>
    <row r="106" spans="1:28" x14ac:dyDescent="0.25">
      <c r="A106" s="262" t="s">
        <v>312</v>
      </c>
      <c r="B106" s="263" t="s">
        <v>308</v>
      </c>
      <c r="C106" s="264" t="s">
        <v>313</v>
      </c>
      <c r="D106" s="344">
        <v>41108249</v>
      </c>
      <c r="E106" s="344">
        <v>0</v>
      </c>
      <c r="F106" s="344">
        <v>41108249</v>
      </c>
      <c r="G106" s="343">
        <v>2179</v>
      </c>
      <c r="H106" s="265">
        <v>27</v>
      </c>
      <c r="I106" s="266">
        <v>0</v>
      </c>
      <c r="J106" s="264">
        <v>27</v>
      </c>
      <c r="K106" s="267">
        <v>0</v>
      </c>
      <c r="L106" s="268">
        <v>0</v>
      </c>
      <c r="M106" s="267">
        <v>0</v>
      </c>
      <c r="N106" s="264">
        <v>0</v>
      </c>
      <c r="O106" s="356">
        <v>0</v>
      </c>
      <c r="P106" s="267">
        <v>5.2999999999999999E-2</v>
      </c>
      <c r="Q106" s="269">
        <v>27.053000000000001</v>
      </c>
      <c r="R106" s="266">
        <v>3.9580000000000002</v>
      </c>
      <c r="S106" s="268">
        <v>0</v>
      </c>
      <c r="T106" s="268">
        <v>0</v>
      </c>
      <c r="U106" s="268">
        <v>0</v>
      </c>
      <c r="V106" s="268">
        <v>0</v>
      </c>
      <c r="W106" s="266">
        <v>31.010999999999999</v>
      </c>
      <c r="X106" s="344">
        <v>101.714</v>
      </c>
      <c r="Y106" s="344">
        <v>4406718.82</v>
      </c>
      <c r="Z106" s="344">
        <v>3201221.1770000001</v>
      </c>
      <c r="AB106" s="205" t="str">
        <f t="shared" si="2"/>
        <v>UPDATE mill_levy SET cert_per_hb201418 = 27,cert_hb201418_tax_credit = 0,certified_catbuy_mill_levy = 0,cert_tot_prog_reserve_fund = 0,certified_hh_mill_levy = 0,certified_override_mill_levy = 0,certified_abate_mill_levy = 0.053,certified_bond_mill_levy = 3.958,certified_transport_mill_levy = 0,certified_sbt_mill_levy = 0,cert_supp_cap_construction = 0,certified_other_mill_levy = 0,full_funding_mill_levy = 101.714,state_funding = 3201221.177 WHERE district_number = '1860' AND fiscal_year = 20222023;</v>
      </c>
    </row>
    <row r="107" spans="1:28" x14ac:dyDescent="0.25">
      <c r="A107" s="262" t="s">
        <v>314</v>
      </c>
      <c r="B107" s="263" t="s">
        <v>308</v>
      </c>
      <c r="C107" s="264" t="s">
        <v>315</v>
      </c>
      <c r="D107" s="344">
        <v>57826506</v>
      </c>
      <c r="E107" s="344">
        <v>0</v>
      </c>
      <c r="F107" s="344">
        <v>57826506</v>
      </c>
      <c r="G107" s="343">
        <v>13141.16</v>
      </c>
      <c r="H107" s="265">
        <v>25.81</v>
      </c>
      <c r="I107" s="266">
        <v>5.3920000000000003</v>
      </c>
      <c r="J107" s="264">
        <v>20.417999999999999</v>
      </c>
      <c r="K107" s="267">
        <v>0</v>
      </c>
      <c r="L107" s="268">
        <v>0</v>
      </c>
      <c r="M107" s="267">
        <v>0</v>
      </c>
      <c r="N107" s="264">
        <v>0</v>
      </c>
      <c r="O107" s="356">
        <v>7.6950000000000003</v>
      </c>
      <c r="P107" s="267">
        <v>0.23</v>
      </c>
      <c r="Q107" s="269">
        <v>28.343</v>
      </c>
      <c r="R107" s="266">
        <v>14.425000000000001</v>
      </c>
      <c r="S107" s="268">
        <v>0</v>
      </c>
      <c r="T107" s="268">
        <v>0</v>
      </c>
      <c r="U107" s="268">
        <v>0</v>
      </c>
      <c r="V107" s="268">
        <v>0</v>
      </c>
      <c r="W107" s="266">
        <v>42.768000000000001</v>
      </c>
      <c r="X107" s="344">
        <v>49.594000000000001</v>
      </c>
      <c r="Y107" s="344">
        <v>3136416.17</v>
      </c>
      <c r="Z107" s="344">
        <v>1850067.990492</v>
      </c>
      <c r="AB107" s="205" t="str">
        <f t="shared" si="2"/>
        <v>UPDATE mill_levy SET cert_per_hb201418 = 25.81,cert_hb201418_tax_credit = 5.392,certified_catbuy_mill_levy = 0,cert_tot_prog_reserve_fund = 0,certified_hh_mill_levy = 0,certified_override_mill_levy = 7.695,certified_abate_mill_levy = 0.23,certified_bond_mill_levy = 14.425,certified_transport_mill_levy = 0,certified_sbt_mill_levy = 0,cert_supp_cap_construction = 0,certified_other_mill_levy = 0,full_funding_mill_levy = 49.594,state_funding = 1850067.990492 WHERE district_number = '1870' AND fiscal_year = 20222023;</v>
      </c>
    </row>
    <row r="108" spans="1:28" x14ac:dyDescent="0.25">
      <c r="A108" s="272" t="s">
        <v>316</v>
      </c>
      <c r="B108" s="270" t="s">
        <v>317</v>
      </c>
      <c r="C108" s="271" t="s">
        <v>318</v>
      </c>
      <c r="D108" s="344">
        <v>386457150</v>
      </c>
      <c r="E108" s="344">
        <v>0</v>
      </c>
      <c r="F108" s="344">
        <v>386457150</v>
      </c>
      <c r="G108" s="343">
        <v>2330.4499999999998</v>
      </c>
      <c r="H108" s="265">
        <v>3.43</v>
      </c>
      <c r="I108" s="266">
        <v>0</v>
      </c>
      <c r="J108" s="264">
        <v>3.43</v>
      </c>
      <c r="K108" s="267">
        <v>0</v>
      </c>
      <c r="L108" s="268">
        <v>0</v>
      </c>
      <c r="M108" s="267">
        <v>1.4E-2</v>
      </c>
      <c r="N108" s="264">
        <v>0</v>
      </c>
      <c r="O108" s="356">
        <v>0</v>
      </c>
      <c r="P108" s="267">
        <v>6.0000000000000001E-3</v>
      </c>
      <c r="Q108" s="269">
        <v>3.45</v>
      </c>
      <c r="R108" s="266">
        <v>2.8149999999999999</v>
      </c>
      <c r="S108" s="268">
        <v>0</v>
      </c>
      <c r="T108" s="268">
        <v>0</v>
      </c>
      <c r="U108" s="268">
        <v>0</v>
      </c>
      <c r="V108" s="268">
        <v>0</v>
      </c>
      <c r="W108" s="266">
        <v>6.2649999999999997</v>
      </c>
      <c r="X108" s="344">
        <v>6.8719999999999999</v>
      </c>
      <c r="Y108" s="344">
        <v>2984407.69</v>
      </c>
      <c r="Z108" s="344">
        <v>1566537.1754999999</v>
      </c>
      <c r="AB108" s="205" t="str">
        <f t="shared" si="2"/>
        <v>UPDATE mill_levy SET cert_per_hb201418 = 3.43,cert_hb201418_tax_credit = 0,certified_catbuy_mill_levy = 0,cert_tot_prog_reserve_fund = 0,certified_hh_mill_levy = 0.014,certified_override_mill_levy = 0,certified_abate_mill_levy = 0.006,certified_bond_mill_levy = 2.815,certified_transport_mill_levy = 0,certified_sbt_mill_levy = 0,cert_supp_cap_construction = 0,certified_other_mill_levy = 0,full_funding_mill_levy = 6.872,state_funding = 1566537.1755 WHERE district_number = '1980' AND fiscal_year = 20222023;</v>
      </c>
    </row>
    <row r="109" spans="1:28" x14ac:dyDescent="0.25">
      <c r="A109" s="262" t="s">
        <v>319</v>
      </c>
      <c r="B109" s="270" t="s">
        <v>317</v>
      </c>
      <c r="C109" s="271" t="s">
        <v>320</v>
      </c>
      <c r="D109" s="344">
        <v>216075390</v>
      </c>
      <c r="E109" s="344">
        <v>0</v>
      </c>
      <c r="F109" s="344">
        <v>216075390</v>
      </c>
      <c r="G109" s="343">
        <v>703.65</v>
      </c>
      <c r="H109" s="265">
        <v>11.895</v>
      </c>
      <c r="I109" s="266">
        <v>0</v>
      </c>
      <c r="J109" s="264">
        <v>11.895</v>
      </c>
      <c r="K109" s="267">
        <v>0</v>
      </c>
      <c r="L109" s="268">
        <v>0</v>
      </c>
      <c r="M109" s="267">
        <v>0</v>
      </c>
      <c r="N109" s="264">
        <v>0</v>
      </c>
      <c r="O109" s="356">
        <v>1.62</v>
      </c>
      <c r="P109" s="267">
        <v>3.0000000000000001E-3</v>
      </c>
      <c r="Q109" s="269">
        <v>13.518000000000001</v>
      </c>
      <c r="R109" s="266">
        <v>12.478999999999999</v>
      </c>
      <c r="S109" s="268">
        <v>0</v>
      </c>
      <c r="T109" s="268">
        <v>0</v>
      </c>
      <c r="U109" s="268">
        <v>0</v>
      </c>
      <c r="V109" s="268">
        <v>0</v>
      </c>
      <c r="W109" s="266">
        <v>25.997</v>
      </c>
      <c r="X109" s="344">
        <v>18.114000000000001</v>
      </c>
      <c r="Y109" s="344">
        <v>4352093.1900000004</v>
      </c>
      <c r="Z109" s="344">
        <v>1510031.6259500005</v>
      </c>
      <c r="AB109" s="205" t="str">
        <f t="shared" si="2"/>
        <v>UPDATE mill_levy SET cert_per_hb201418 = 11.895,cert_hb201418_tax_credit = 0,certified_catbuy_mill_levy = 0,cert_tot_prog_reserve_fund = 0,certified_hh_mill_levy = 0,certified_override_mill_levy = 1.62,certified_abate_mill_levy = 0.003,certified_bond_mill_levy = 12.479,certified_transport_mill_levy = 0,certified_sbt_mill_levy = 0,cert_supp_cap_construction = 0,certified_other_mill_levy = 0,full_funding_mill_levy = 18.114,state_funding = 1510031.62595 WHERE district_number = '1990' AND fiscal_year = 20222023;</v>
      </c>
    </row>
    <row r="110" spans="1:28" x14ac:dyDescent="0.25">
      <c r="A110" s="262" t="s">
        <v>321</v>
      </c>
      <c r="B110" s="263" t="s">
        <v>317</v>
      </c>
      <c r="C110" s="264" t="s">
        <v>322</v>
      </c>
      <c r="D110" s="344">
        <v>2515714950</v>
      </c>
      <c r="E110" s="344">
        <v>31075520</v>
      </c>
      <c r="F110" s="344">
        <v>2484639430</v>
      </c>
      <c r="G110" s="343">
        <v>233297.73</v>
      </c>
      <c r="H110" s="265">
        <v>27</v>
      </c>
      <c r="I110" s="266">
        <v>0</v>
      </c>
      <c r="J110" s="264">
        <v>27</v>
      </c>
      <c r="K110" s="267">
        <v>0</v>
      </c>
      <c r="L110" s="268">
        <v>0</v>
      </c>
      <c r="M110" s="267">
        <v>0</v>
      </c>
      <c r="N110" s="264">
        <v>0</v>
      </c>
      <c r="O110" s="356">
        <v>6.6289999999999996</v>
      </c>
      <c r="P110" s="267">
        <v>9.4E-2</v>
      </c>
      <c r="Q110" s="269">
        <v>33.722999999999999</v>
      </c>
      <c r="R110" s="266">
        <v>11.353999999999999</v>
      </c>
      <c r="S110" s="268">
        <v>0</v>
      </c>
      <c r="T110" s="268">
        <v>0</v>
      </c>
      <c r="U110" s="268">
        <v>0</v>
      </c>
      <c r="V110" s="268">
        <v>0</v>
      </c>
      <c r="W110" s="266">
        <v>45.076999999999998</v>
      </c>
      <c r="X110" s="344">
        <v>80.358000000000004</v>
      </c>
      <c r="Y110" s="344">
        <v>204464063.31580001</v>
      </c>
      <c r="Z110" s="344">
        <v>130010006.33579999</v>
      </c>
      <c r="AB110" s="205" t="str">
        <f t="shared" si="2"/>
        <v>UPDATE mill_levy SET cert_per_hb201418 = 27,cert_hb201418_tax_credit = 0,certified_catbuy_mill_levy = 0,cert_tot_prog_reserve_fund = 0,certified_hh_mill_levy = 0,certified_override_mill_levy = 6.629,certified_abate_mill_levy = 0.094,certified_bond_mill_levy = 11.354,certified_transport_mill_levy = 0,certified_sbt_mill_levy = 0,cert_supp_cap_construction = 0,certified_other_mill_levy = 0,full_funding_mill_levy = 80.358,state_funding = 130010006.3358 WHERE district_number = '2000' AND fiscal_year = 20222023;</v>
      </c>
    </row>
    <row r="111" spans="1:28" x14ac:dyDescent="0.25">
      <c r="A111" s="262" t="s">
        <v>323</v>
      </c>
      <c r="B111" s="270" t="s">
        <v>324</v>
      </c>
      <c r="C111" s="271" t="s">
        <v>325</v>
      </c>
      <c r="D111" s="344">
        <v>54531889</v>
      </c>
      <c r="E111" s="344">
        <v>0</v>
      </c>
      <c r="F111" s="344">
        <v>54531889</v>
      </c>
      <c r="G111" s="343">
        <v>0</v>
      </c>
      <c r="H111" s="265">
        <v>27</v>
      </c>
      <c r="I111" s="266">
        <v>3.5470000000000002</v>
      </c>
      <c r="J111" s="264">
        <v>23.452999999999999</v>
      </c>
      <c r="K111" s="267">
        <v>0</v>
      </c>
      <c r="L111" s="268">
        <v>0</v>
      </c>
      <c r="M111" s="267">
        <v>0</v>
      </c>
      <c r="N111" s="264">
        <v>0</v>
      </c>
      <c r="O111" s="356">
        <v>1.284</v>
      </c>
      <c r="P111" s="267">
        <v>0</v>
      </c>
      <c r="Q111" s="269">
        <v>24.736999999999998</v>
      </c>
      <c r="R111" s="266">
        <v>9.5359999999999996</v>
      </c>
      <c r="S111" s="268">
        <v>0</v>
      </c>
      <c r="T111" s="268">
        <v>0</v>
      </c>
      <c r="U111" s="268">
        <v>0</v>
      </c>
      <c r="V111" s="268">
        <v>0</v>
      </c>
      <c r="W111" s="266">
        <v>34.273000000000003</v>
      </c>
      <c r="X111" s="344">
        <v>30.478999999999999</v>
      </c>
      <c r="Y111" s="344">
        <v>2016983.34</v>
      </c>
      <c r="Z111" s="344">
        <v>626656.56728299998</v>
      </c>
      <c r="AB111" s="205" t="str">
        <f t="shared" si="2"/>
        <v>UPDATE mill_levy SET cert_per_hb201418 = 27,cert_hb201418_tax_credit = 3.547,certified_catbuy_mill_levy = 0,cert_tot_prog_reserve_fund = 0,certified_hh_mill_levy = 0,certified_override_mill_levy = 1.284,certified_abate_mill_levy = 0,certified_bond_mill_levy = 9.536,certified_transport_mill_levy = 0,certified_sbt_mill_levy = 0,cert_supp_cap_construction = 0,certified_other_mill_levy = 0,full_funding_mill_levy = 30.479,state_funding = 626656.567283 WHERE district_number = '2010' AND fiscal_year = 20222023;</v>
      </c>
    </row>
    <row r="112" spans="1:28" x14ac:dyDescent="0.25">
      <c r="A112" s="262" t="s">
        <v>326</v>
      </c>
      <c r="B112" s="263" t="s">
        <v>327</v>
      </c>
      <c r="C112" s="264" t="s">
        <v>327</v>
      </c>
      <c r="D112" s="344">
        <v>411725505</v>
      </c>
      <c r="E112" s="344">
        <v>0</v>
      </c>
      <c r="F112" s="344">
        <v>411725505</v>
      </c>
      <c r="G112" s="343">
        <v>67130.62</v>
      </c>
      <c r="H112" s="265">
        <v>27</v>
      </c>
      <c r="I112" s="266">
        <v>3.484</v>
      </c>
      <c r="J112" s="264">
        <v>23.515999999999998</v>
      </c>
      <c r="K112" s="267">
        <v>0</v>
      </c>
      <c r="L112" s="268">
        <v>0</v>
      </c>
      <c r="M112" s="267">
        <v>0.67500000000000004</v>
      </c>
      <c r="N112" s="264">
        <v>0</v>
      </c>
      <c r="O112" s="356">
        <v>4.6150000000000002</v>
      </c>
      <c r="P112" s="267">
        <v>0.16300000000000001</v>
      </c>
      <c r="Q112" s="269">
        <v>28.969000000000001</v>
      </c>
      <c r="R112" s="266">
        <v>6.5270000000000001</v>
      </c>
      <c r="S112" s="268">
        <v>0</v>
      </c>
      <c r="T112" s="268">
        <v>0</v>
      </c>
      <c r="U112" s="268">
        <v>0</v>
      </c>
      <c r="V112" s="268">
        <v>0</v>
      </c>
      <c r="W112" s="266">
        <v>35.496000000000002</v>
      </c>
      <c r="X112" s="344">
        <v>44.606999999999999</v>
      </c>
      <c r="Y112" s="344">
        <v>19637476.870000001</v>
      </c>
      <c r="Z112" s="344">
        <v>9010345.1044200025</v>
      </c>
      <c r="AB112" s="205" t="str">
        <f t="shared" si="2"/>
        <v>UPDATE mill_levy SET cert_per_hb201418 = 27,cert_hb201418_tax_credit = 3.484,certified_catbuy_mill_levy = 0,cert_tot_prog_reserve_fund = 0,certified_hh_mill_levy = 0.675,certified_override_mill_levy = 4.615,certified_abate_mill_levy = 0.163,certified_bond_mill_levy = 6.527,certified_transport_mill_levy = 0,certified_sbt_mill_levy = 0,cert_supp_cap_construction = 0,certified_other_mill_levy = 0,full_funding_mill_levy = 44.607,state_funding = 9010345.10442 WHERE district_number = '2020' AND fiscal_year = 20222023;</v>
      </c>
    </row>
    <row r="113" spans="1:28" x14ac:dyDescent="0.25">
      <c r="A113" s="263" t="s">
        <v>328</v>
      </c>
      <c r="B113" s="270" t="s">
        <v>329</v>
      </c>
      <c r="C113" s="271" t="s">
        <v>329</v>
      </c>
      <c r="D113" s="344">
        <v>604219120</v>
      </c>
      <c r="E113" s="344">
        <v>0</v>
      </c>
      <c r="F113" s="344">
        <v>604219120</v>
      </c>
      <c r="G113" s="343">
        <v>0</v>
      </c>
      <c r="H113" s="265">
        <v>27</v>
      </c>
      <c r="I113" s="266">
        <v>5.1550000000000002</v>
      </c>
      <c r="J113" s="264">
        <v>21.844999999999999</v>
      </c>
      <c r="K113" s="267">
        <v>0</v>
      </c>
      <c r="L113" s="268">
        <v>0</v>
      </c>
      <c r="M113" s="267">
        <v>0</v>
      </c>
      <c r="N113" s="264">
        <v>0</v>
      </c>
      <c r="O113" s="356">
        <v>0</v>
      </c>
      <c r="P113" s="267">
        <v>0</v>
      </c>
      <c r="Q113" s="269">
        <v>21.844999999999999</v>
      </c>
      <c r="R113" s="266">
        <v>2.359</v>
      </c>
      <c r="S113" s="268">
        <v>0</v>
      </c>
      <c r="T113" s="268">
        <v>0</v>
      </c>
      <c r="U113" s="268">
        <v>0</v>
      </c>
      <c r="V113" s="268">
        <v>0</v>
      </c>
      <c r="W113" s="266">
        <v>24.204000000000001</v>
      </c>
      <c r="X113" s="344">
        <v>40.494999999999997</v>
      </c>
      <c r="Y113" s="344">
        <v>25511393.050000001</v>
      </c>
      <c r="Z113" s="344">
        <v>11209940.1536</v>
      </c>
      <c r="AB113" s="205" t="str">
        <f t="shared" si="2"/>
        <v>UPDATE mill_levy SET cert_per_hb201418 = 27,cert_hb201418_tax_credit = 5.155,certified_catbuy_mill_levy = 0,cert_tot_prog_reserve_fund = 0,certified_hh_mill_levy = 0,certified_override_mill_levy = 0,certified_abate_mill_levy = 0,certified_bond_mill_levy = 2.359,certified_transport_mill_levy = 0,certified_sbt_mill_levy = 0,cert_supp_cap_construction = 0,certified_other_mill_levy = 0,full_funding_mill_levy = 40.495,state_funding = 11209940.1536 WHERE district_number = '2035' AND fiscal_year = 20222023;</v>
      </c>
    </row>
    <row r="114" spans="1:28" x14ac:dyDescent="0.25">
      <c r="A114" s="263" t="s">
        <v>330</v>
      </c>
      <c r="B114" s="263" t="s">
        <v>329</v>
      </c>
      <c r="C114" s="264" t="s">
        <v>178</v>
      </c>
      <c r="D114" s="344">
        <v>62017240</v>
      </c>
      <c r="E114" s="344">
        <v>0</v>
      </c>
      <c r="F114" s="344">
        <v>62017240</v>
      </c>
      <c r="G114" s="343">
        <v>0</v>
      </c>
      <c r="H114" s="265">
        <v>27</v>
      </c>
      <c r="I114" s="266">
        <v>3.117</v>
      </c>
      <c r="J114" s="264">
        <v>23.882999999999999</v>
      </c>
      <c r="K114" s="267">
        <v>0</v>
      </c>
      <c r="L114" s="268">
        <v>0</v>
      </c>
      <c r="M114" s="267">
        <v>0</v>
      </c>
      <c r="N114" s="264">
        <v>0</v>
      </c>
      <c r="O114" s="356">
        <v>6.2889999999999997</v>
      </c>
      <c r="P114" s="267">
        <v>0</v>
      </c>
      <c r="Q114" s="269">
        <v>30.172000000000001</v>
      </c>
      <c r="R114" s="266">
        <v>3.7890000000000001</v>
      </c>
      <c r="S114" s="268">
        <v>0</v>
      </c>
      <c r="T114" s="268">
        <v>0</v>
      </c>
      <c r="U114" s="268">
        <v>0</v>
      </c>
      <c r="V114" s="268">
        <v>0</v>
      </c>
      <c r="W114" s="266">
        <v>33.960999999999999</v>
      </c>
      <c r="X114" s="344">
        <v>106.806</v>
      </c>
      <c r="Y114" s="344">
        <v>7335996.21</v>
      </c>
      <c r="Z114" s="344">
        <v>5694741.8570799995</v>
      </c>
      <c r="AB114" s="205" t="str">
        <f t="shared" si="2"/>
        <v>UPDATE mill_levy SET cert_per_hb201418 = 27,cert_hb201418_tax_credit = 3.117,certified_catbuy_mill_levy = 0,cert_tot_prog_reserve_fund = 0,certified_hh_mill_levy = 0,certified_override_mill_levy = 6.289,certified_abate_mill_levy = 0,certified_bond_mill_levy = 3.789,certified_transport_mill_levy = 0,certified_sbt_mill_levy = 0,cert_supp_cap_construction = 0,certified_other_mill_levy = 0,full_funding_mill_levy = 106.806,state_funding = 5694741.85708 WHERE district_number = '2055' AND fiscal_year = 20222023;</v>
      </c>
    </row>
    <row r="115" spans="1:28" x14ac:dyDescent="0.25">
      <c r="A115" s="263" t="s">
        <v>331</v>
      </c>
      <c r="B115" s="263" t="s">
        <v>329</v>
      </c>
      <c r="C115" s="264" t="s">
        <v>332</v>
      </c>
      <c r="D115" s="344">
        <v>54794750</v>
      </c>
      <c r="E115" s="344">
        <v>0</v>
      </c>
      <c r="F115" s="344">
        <v>54794750</v>
      </c>
      <c r="G115" s="343">
        <v>0</v>
      </c>
      <c r="H115" s="265">
        <v>27</v>
      </c>
      <c r="I115" s="266">
        <v>8.3420000000000005</v>
      </c>
      <c r="J115" s="264">
        <v>18.658000000000001</v>
      </c>
      <c r="K115" s="267">
        <v>0</v>
      </c>
      <c r="L115" s="268">
        <v>0</v>
      </c>
      <c r="M115" s="267">
        <v>0</v>
      </c>
      <c r="N115" s="264">
        <v>0</v>
      </c>
      <c r="O115" s="356">
        <v>1.0549999999999999</v>
      </c>
      <c r="P115" s="267">
        <v>0</v>
      </c>
      <c r="Q115" s="269">
        <v>19.713000000000001</v>
      </c>
      <c r="R115" s="266">
        <v>6.8440000000000003</v>
      </c>
      <c r="S115" s="268">
        <v>0</v>
      </c>
      <c r="T115" s="268">
        <v>0</v>
      </c>
      <c r="U115" s="268">
        <v>0</v>
      </c>
      <c r="V115" s="268">
        <v>0</v>
      </c>
      <c r="W115" s="266">
        <v>26.556999999999999</v>
      </c>
      <c r="X115" s="344">
        <v>93.137</v>
      </c>
      <c r="Y115" s="344">
        <v>5732204.0599999996</v>
      </c>
      <c r="Z115" s="344">
        <v>4626758.9744999995</v>
      </c>
      <c r="AB115" s="205" t="str">
        <f t="shared" si="2"/>
        <v>UPDATE mill_levy SET cert_per_hb201418 = 27,cert_hb201418_tax_credit = 8.342,certified_catbuy_mill_levy = 0,cert_tot_prog_reserve_fund = 0,certified_hh_mill_levy = 0,certified_override_mill_levy = 1.055,certified_abate_mill_levy = 0,certified_bond_mill_levy = 6.844,certified_transport_mill_levy = 0,certified_sbt_mill_levy = 0,cert_supp_cap_construction = 0,certified_other_mill_levy = 0,full_funding_mill_levy = 93.137,state_funding = 4626758.9745 WHERE district_number = '2070' AND fiscal_year = 20222023;</v>
      </c>
    </row>
    <row r="116" spans="1:28" x14ac:dyDescent="0.25">
      <c r="A116" s="262" t="s">
        <v>333</v>
      </c>
      <c r="B116" s="263" t="s">
        <v>334</v>
      </c>
      <c r="C116" s="264" t="s">
        <v>334</v>
      </c>
      <c r="D116" s="344">
        <v>822167120</v>
      </c>
      <c r="E116" s="344">
        <v>11231480</v>
      </c>
      <c r="F116" s="344">
        <v>810935640</v>
      </c>
      <c r="G116" s="343">
        <v>17773.349999999999</v>
      </c>
      <c r="H116" s="265">
        <v>27</v>
      </c>
      <c r="I116" s="266">
        <v>2.0329999999999999</v>
      </c>
      <c r="J116" s="264">
        <v>24.966999999999999</v>
      </c>
      <c r="K116" s="267">
        <v>0</v>
      </c>
      <c r="L116" s="374">
        <v>0</v>
      </c>
      <c r="M116" s="267">
        <v>0</v>
      </c>
      <c r="N116" s="264">
        <v>0</v>
      </c>
      <c r="O116" s="356">
        <v>0</v>
      </c>
      <c r="P116" s="267">
        <v>2.1999999999999999E-2</v>
      </c>
      <c r="Q116" s="269">
        <v>24.989000000000001</v>
      </c>
      <c r="R116" s="266">
        <v>2.4159999999999999</v>
      </c>
      <c r="S116" s="268">
        <v>0</v>
      </c>
      <c r="T116" s="268">
        <v>0</v>
      </c>
      <c r="U116" s="268">
        <v>0</v>
      </c>
      <c r="V116" s="268">
        <v>0</v>
      </c>
      <c r="W116" s="266">
        <v>27.405000000000001</v>
      </c>
      <c r="X116" s="344">
        <v>68.953000000000003</v>
      </c>
      <c r="Y116" s="344">
        <v>60911588.880000003</v>
      </c>
      <c r="Z116" s="344">
        <v>38383823.356120005</v>
      </c>
      <c r="AB116" s="205" t="str">
        <f t="shared" si="2"/>
        <v>UPDATE mill_levy SET cert_per_hb201418 = 27,cert_hb201418_tax_credit = 2.033,certified_catbuy_mill_levy = 0,cert_tot_prog_reserve_fund = 0,certified_hh_mill_levy = 0,certified_override_mill_levy = 0,certified_abate_mill_levy = 0.022,certified_bond_mill_levy = 2.416,certified_transport_mill_levy = 0,certified_sbt_mill_levy = 0,cert_supp_cap_construction = 0,certified_other_mill_levy = 0,full_funding_mill_levy = 68.953,state_funding = 38383823.35612 WHERE district_number = '2180' AND fiscal_year = 20222023;</v>
      </c>
    </row>
    <row r="117" spans="1:28" x14ac:dyDescent="0.25">
      <c r="A117" s="262" t="s">
        <v>335</v>
      </c>
      <c r="B117" s="263" t="s">
        <v>334</v>
      </c>
      <c r="C117" s="264" t="s">
        <v>336</v>
      </c>
      <c r="D117" s="344">
        <v>24571540</v>
      </c>
      <c r="E117" s="344">
        <v>0</v>
      </c>
      <c r="F117" s="344">
        <v>24571540</v>
      </c>
      <c r="G117" s="343">
        <v>2174</v>
      </c>
      <c r="H117" s="265">
        <v>27</v>
      </c>
      <c r="I117" s="266">
        <v>4.101</v>
      </c>
      <c r="J117" s="264">
        <v>22.899000000000001</v>
      </c>
      <c r="K117" s="267">
        <v>0</v>
      </c>
      <c r="L117" s="268">
        <v>0</v>
      </c>
      <c r="M117" s="267">
        <v>0</v>
      </c>
      <c r="N117" s="264">
        <v>0</v>
      </c>
      <c r="O117" s="356">
        <v>10.093</v>
      </c>
      <c r="P117" s="267">
        <v>8.7999999999999995E-2</v>
      </c>
      <c r="Q117" s="269">
        <v>33.08</v>
      </c>
      <c r="R117" s="266">
        <v>3.6629999999999998</v>
      </c>
      <c r="S117" s="268">
        <v>0</v>
      </c>
      <c r="T117" s="268">
        <v>0</v>
      </c>
      <c r="U117" s="268">
        <v>0</v>
      </c>
      <c r="V117" s="268">
        <v>0</v>
      </c>
      <c r="W117" s="266">
        <v>36.743000000000002</v>
      </c>
      <c r="X117" s="344">
        <v>153.51900000000001</v>
      </c>
      <c r="Y117" s="344">
        <v>3963213.02</v>
      </c>
      <c r="Z117" s="344">
        <v>3327224.2655400001</v>
      </c>
      <c r="AB117" s="205" t="str">
        <f t="shared" si="2"/>
        <v>UPDATE mill_levy SET cert_per_hb201418 = 27,cert_hb201418_tax_credit = 4.101,certified_catbuy_mill_levy = 0,cert_tot_prog_reserve_fund = 0,certified_hh_mill_levy = 0,certified_override_mill_levy = 10.093,certified_abate_mill_levy = 0.088,certified_bond_mill_levy = 3.663,certified_transport_mill_levy = 0,certified_sbt_mill_levy = 0,cert_supp_cap_construction = 0,certified_other_mill_levy = 0,full_funding_mill_levy = 153.519,state_funding = 3327224.26554 WHERE district_number = '2190' AND fiscal_year = 20222023;</v>
      </c>
    </row>
    <row r="118" spans="1:28" x14ac:dyDescent="0.25">
      <c r="A118" s="262" t="s">
        <v>337</v>
      </c>
      <c r="B118" s="270" t="s">
        <v>338</v>
      </c>
      <c r="C118" s="271" t="s">
        <v>339</v>
      </c>
      <c r="D118" s="344">
        <v>261062371</v>
      </c>
      <c r="E118" s="344">
        <v>0</v>
      </c>
      <c r="F118" s="344">
        <v>261062371</v>
      </c>
      <c r="G118" s="343">
        <v>0</v>
      </c>
      <c r="H118" s="265">
        <v>27</v>
      </c>
      <c r="I118" s="266">
        <v>0</v>
      </c>
      <c r="J118" s="264">
        <v>27</v>
      </c>
      <c r="K118" s="267">
        <v>0</v>
      </c>
      <c r="L118" s="268">
        <v>0</v>
      </c>
      <c r="M118" s="267">
        <v>0</v>
      </c>
      <c r="N118" s="264">
        <v>0</v>
      </c>
      <c r="O118" s="356">
        <v>9.1929999999999996</v>
      </c>
      <c r="P118" s="267">
        <v>0</v>
      </c>
      <c r="Q118" s="269">
        <v>36.192999999999998</v>
      </c>
      <c r="R118" s="266">
        <v>12.747</v>
      </c>
      <c r="S118" s="268">
        <v>0</v>
      </c>
      <c r="T118" s="268">
        <v>0</v>
      </c>
      <c r="U118" s="268">
        <v>0</v>
      </c>
      <c r="V118" s="268">
        <v>0</v>
      </c>
      <c r="W118" s="266">
        <v>48.94</v>
      </c>
      <c r="X118" s="344">
        <v>52.987000000000002</v>
      </c>
      <c r="Y118" s="344">
        <v>14579763.380000001</v>
      </c>
      <c r="Z118" s="344">
        <v>6938738.273000001</v>
      </c>
      <c r="AB118" s="205" t="str">
        <f t="shared" si="2"/>
        <v>UPDATE mill_levy SET cert_per_hb201418 = 27,cert_hb201418_tax_credit = 0,certified_catbuy_mill_levy = 0,cert_tot_prog_reserve_fund = 0,certified_hh_mill_levy = 0,certified_override_mill_levy = 9.193,certified_abate_mill_levy = 0,certified_bond_mill_levy = 12.747,certified_transport_mill_levy = 0,certified_sbt_mill_levy = 0,cert_supp_cap_construction = 0,certified_other_mill_levy = 0,full_funding_mill_levy = 52.987,state_funding = 6938738.273 WHERE district_number = '2395' AND fiscal_year = 20222023;</v>
      </c>
    </row>
    <row r="119" spans="1:28" x14ac:dyDescent="0.25">
      <c r="A119" s="262" t="s">
        <v>340</v>
      </c>
      <c r="B119" s="270" t="s">
        <v>338</v>
      </c>
      <c r="C119" s="271" t="s">
        <v>341</v>
      </c>
      <c r="D119" s="344">
        <v>347639190</v>
      </c>
      <c r="E119" s="344">
        <v>0</v>
      </c>
      <c r="F119" s="344">
        <v>347639190</v>
      </c>
      <c r="G119" s="343">
        <v>77370</v>
      </c>
      <c r="H119" s="265">
        <v>27</v>
      </c>
      <c r="I119" s="266">
        <v>0</v>
      </c>
      <c r="J119" s="264">
        <v>27</v>
      </c>
      <c r="K119" s="267">
        <v>0</v>
      </c>
      <c r="L119" s="268">
        <v>0</v>
      </c>
      <c r="M119" s="267">
        <v>0</v>
      </c>
      <c r="N119" s="264">
        <v>0</v>
      </c>
      <c r="O119" s="356">
        <v>1.58</v>
      </c>
      <c r="P119" s="267">
        <v>0.223</v>
      </c>
      <c r="Q119" s="269">
        <v>28.803000000000001</v>
      </c>
      <c r="R119" s="266">
        <v>8.0890000000000004</v>
      </c>
      <c r="S119" s="268">
        <v>0</v>
      </c>
      <c r="T119" s="268">
        <v>0</v>
      </c>
      <c r="U119" s="268">
        <v>0</v>
      </c>
      <c r="V119" s="268">
        <v>0</v>
      </c>
      <c r="W119" s="266">
        <v>36.892000000000003</v>
      </c>
      <c r="X119" s="344">
        <v>94.376999999999995</v>
      </c>
      <c r="Y119" s="344">
        <v>34633061.68</v>
      </c>
      <c r="Z119" s="344">
        <v>24529244.189999998</v>
      </c>
      <c r="AB119" s="205" t="str">
        <f t="shared" si="2"/>
        <v>UPDATE mill_levy SET cert_per_hb201418 = 27,cert_hb201418_tax_credit = 0,certified_catbuy_mill_levy = 0,cert_tot_prog_reserve_fund = 0,certified_hh_mill_levy = 0,certified_override_mill_levy = 1.58,certified_abate_mill_levy = 0.223,certified_bond_mill_levy = 8.089,certified_transport_mill_levy = 0,certified_sbt_mill_levy = 0,cert_supp_cap_construction = 0,certified_other_mill_levy = 0,full_funding_mill_levy = 94.377,state_funding = 24529244.19 WHERE district_number = '2405' AND fiscal_year = 20222023;</v>
      </c>
    </row>
    <row r="120" spans="1:28" x14ac:dyDescent="0.25">
      <c r="A120" s="262" t="s">
        <v>342</v>
      </c>
      <c r="B120" s="270" t="s">
        <v>338</v>
      </c>
      <c r="C120" s="271" t="s">
        <v>343</v>
      </c>
      <c r="D120" s="344">
        <v>31692710</v>
      </c>
      <c r="E120" s="344">
        <v>0</v>
      </c>
      <c r="F120" s="344">
        <v>31692710</v>
      </c>
      <c r="G120" s="343">
        <v>2754.34</v>
      </c>
      <c r="H120" s="265">
        <v>27</v>
      </c>
      <c r="I120" s="266">
        <v>0</v>
      </c>
      <c r="J120" s="264">
        <v>27</v>
      </c>
      <c r="K120" s="267">
        <v>0</v>
      </c>
      <c r="L120" s="268">
        <v>0</v>
      </c>
      <c r="M120" s="267">
        <v>0.30299999999999999</v>
      </c>
      <c r="N120" s="264">
        <v>0</v>
      </c>
      <c r="O120" s="356">
        <v>0</v>
      </c>
      <c r="P120" s="267">
        <v>8.6999999999999994E-2</v>
      </c>
      <c r="Q120" s="269">
        <v>27.39</v>
      </c>
      <c r="R120" s="266">
        <v>13.5</v>
      </c>
      <c r="S120" s="268">
        <v>0</v>
      </c>
      <c r="T120" s="268">
        <v>0</v>
      </c>
      <c r="U120" s="268">
        <v>0</v>
      </c>
      <c r="V120" s="268">
        <v>0</v>
      </c>
      <c r="W120" s="266">
        <v>40.89</v>
      </c>
      <c r="X120" s="344">
        <v>107.947</v>
      </c>
      <c r="Y120" s="344">
        <v>3509059.61</v>
      </c>
      <c r="Z120" s="344">
        <v>2580378.12</v>
      </c>
      <c r="AB120" s="205" t="str">
        <f t="shared" si="2"/>
        <v>UPDATE mill_levy SET cert_per_hb201418 = 27,cert_hb201418_tax_credit = 0,certified_catbuy_mill_levy = 0,cert_tot_prog_reserve_fund = 0,certified_hh_mill_levy = 0.303,certified_override_mill_levy = 0,certified_abate_mill_levy = 0.087,certified_bond_mill_levy = 13.5,certified_transport_mill_levy = 0,certified_sbt_mill_levy = 0,cert_supp_cap_construction = 0,certified_other_mill_levy = 0,full_funding_mill_levy = 107.947,state_funding = 2580378.12 WHERE district_number = '2505' AND fiscal_year = 20222023;</v>
      </c>
    </row>
    <row r="121" spans="1:28" x14ac:dyDescent="0.25">
      <c r="A121" s="262" t="s">
        <v>344</v>
      </c>
      <c r="B121" s="270" t="s">
        <v>338</v>
      </c>
      <c r="C121" s="271" t="s">
        <v>345</v>
      </c>
      <c r="D121" s="344">
        <v>516961960</v>
      </c>
      <c r="E121" s="344">
        <v>0</v>
      </c>
      <c r="F121" s="344">
        <v>516961960</v>
      </c>
      <c r="G121" s="343">
        <v>5769.75</v>
      </c>
      <c r="H121" s="265">
        <v>24.545000000000002</v>
      </c>
      <c r="I121" s="266">
        <v>0</v>
      </c>
      <c r="J121" s="264">
        <v>17.145</v>
      </c>
      <c r="K121" s="267">
        <v>0.69299999999999995</v>
      </c>
      <c r="L121" s="268">
        <v>6.7069999999999999</v>
      </c>
      <c r="M121" s="267">
        <v>0</v>
      </c>
      <c r="N121" s="264">
        <v>0</v>
      </c>
      <c r="O121" s="356">
        <v>0</v>
      </c>
      <c r="P121" s="267">
        <v>1.0999999999999999E-2</v>
      </c>
      <c r="Q121" s="269">
        <v>24.556000000000001</v>
      </c>
      <c r="R121" s="266">
        <v>12.5</v>
      </c>
      <c r="S121" s="268">
        <v>0</v>
      </c>
      <c r="T121" s="268">
        <v>0</v>
      </c>
      <c r="U121" s="268">
        <v>0</v>
      </c>
      <c r="V121" s="268">
        <v>0</v>
      </c>
      <c r="W121" s="266">
        <v>37.055999999999997</v>
      </c>
      <c r="X121" s="344">
        <v>17.305</v>
      </c>
      <c r="Y121" s="344">
        <v>9249359.6099999994</v>
      </c>
      <c r="Z121" s="344">
        <v>5.8207660913467407E-10</v>
      </c>
      <c r="AB121" s="205" t="str">
        <f t="shared" si="2"/>
        <v>UPDATE mill_levy SET cert_per_hb201418 = 24.545,cert_hb201418_tax_credit = 0,certified_catbuy_mill_levy = 0.693,cert_tot_prog_reserve_fund = 6.707,certified_hh_mill_levy = 0,certified_override_mill_levy = 0,certified_abate_mill_levy = 0.011,certified_bond_mill_levy = 12.5,certified_transport_mill_levy = 0,certified_sbt_mill_levy = 0,cert_supp_cap_construction = 0,certified_other_mill_levy = 0,full_funding_mill_levy = 17.305,state_funding = 5.82076609134674E-10 WHERE district_number = '2515' AND fiscal_year = 20222023;</v>
      </c>
    </row>
    <row r="122" spans="1:28" x14ac:dyDescent="0.25">
      <c r="A122" s="263" t="s">
        <v>346</v>
      </c>
      <c r="B122" s="263" t="s">
        <v>347</v>
      </c>
      <c r="C122" s="264" t="s">
        <v>348</v>
      </c>
      <c r="D122" s="344">
        <v>83433505</v>
      </c>
      <c r="E122" s="344">
        <v>2433227</v>
      </c>
      <c r="F122" s="344">
        <v>81000278</v>
      </c>
      <c r="G122" s="343">
        <v>29428.2</v>
      </c>
      <c r="H122" s="265">
        <v>27</v>
      </c>
      <c r="I122" s="266">
        <v>0</v>
      </c>
      <c r="J122" s="264">
        <v>27</v>
      </c>
      <c r="K122" s="267">
        <v>0</v>
      </c>
      <c r="L122" s="268">
        <v>0</v>
      </c>
      <c r="M122" s="267">
        <v>0</v>
      </c>
      <c r="N122" s="264">
        <v>0</v>
      </c>
      <c r="O122" s="356">
        <v>0</v>
      </c>
      <c r="P122" s="267">
        <v>0.36299999999999999</v>
      </c>
      <c r="Q122" s="269">
        <v>27.363</v>
      </c>
      <c r="R122" s="266">
        <v>5.4560000000000004</v>
      </c>
      <c r="S122" s="268">
        <v>0</v>
      </c>
      <c r="T122" s="268">
        <v>0</v>
      </c>
      <c r="U122" s="268">
        <v>0</v>
      </c>
      <c r="V122" s="268">
        <v>0</v>
      </c>
      <c r="W122" s="266">
        <v>32.819000000000003</v>
      </c>
      <c r="X122" s="344">
        <v>173.20099999999999</v>
      </c>
      <c r="Y122" s="344">
        <v>15230867.33</v>
      </c>
      <c r="Z122" s="344">
        <v>12595433.504000001</v>
      </c>
      <c r="AB122" s="205" t="str">
        <f t="shared" si="2"/>
        <v>UPDATE mill_levy SET cert_per_hb201418 = 27,cert_hb201418_tax_credit = 0,certified_catbuy_mill_levy = 0,cert_tot_prog_reserve_fund = 0,certified_hh_mill_levy = 0,certified_override_mill_levy = 0,certified_abate_mill_levy = 0.363,certified_bond_mill_levy = 5.456,certified_transport_mill_levy = 0,certified_sbt_mill_levy = 0,cert_supp_cap_construction = 0,certified_other_mill_levy = 0,full_funding_mill_levy = 173.201,state_funding = 12595433.504 WHERE district_number = '2520' AND fiscal_year = 20222023;</v>
      </c>
    </row>
    <row r="123" spans="1:28" x14ac:dyDescent="0.25">
      <c r="A123" s="262" t="s">
        <v>349</v>
      </c>
      <c r="B123" s="263" t="s">
        <v>347</v>
      </c>
      <c r="C123" s="264" t="s">
        <v>350</v>
      </c>
      <c r="D123" s="344">
        <v>36885639</v>
      </c>
      <c r="E123" s="344">
        <v>0</v>
      </c>
      <c r="F123" s="344">
        <v>36885639</v>
      </c>
      <c r="G123" s="343">
        <v>1106.19</v>
      </c>
      <c r="H123" s="265">
        <v>27</v>
      </c>
      <c r="I123" s="266">
        <v>0</v>
      </c>
      <c r="J123" s="264">
        <v>27</v>
      </c>
      <c r="K123" s="267">
        <v>0</v>
      </c>
      <c r="L123" s="268">
        <v>0</v>
      </c>
      <c r="M123" s="267">
        <v>0</v>
      </c>
      <c r="N123" s="264">
        <v>0</v>
      </c>
      <c r="O123" s="356">
        <v>0</v>
      </c>
      <c r="P123" s="267">
        <v>0.03</v>
      </c>
      <c r="Q123" s="269">
        <v>27.03</v>
      </c>
      <c r="R123" s="266">
        <v>8.1470000000000002</v>
      </c>
      <c r="S123" s="268">
        <v>0</v>
      </c>
      <c r="T123" s="268">
        <v>0</v>
      </c>
      <c r="U123" s="268">
        <v>0</v>
      </c>
      <c r="V123" s="268">
        <v>0</v>
      </c>
      <c r="W123" s="266">
        <v>35.177</v>
      </c>
      <c r="X123" s="344">
        <v>193.84200000000001</v>
      </c>
      <c r="Y123" s="344">
        <v>7974736.7599999998</v>
      </c>
      <c r="Z123" s="344">
        <v>6791729.5869999994</v>
      </c>
      <c r="AB123" s="205" t="str">
        <f t="shared" si="2"/>
        <v>UPDATE mill_levy SET cert_per_hb201418 = 27,cert_hb201418_tax_credit = 0,certified_catbuy_mill_levy = 0,cert_tot_prog_reserve_fund = 0,certified_hh_mill_levy = 0,certified_override_mill_levy = 0,certified_abate_mill_levy = 0.03,certified_bond_mill_levy = 8.147,certified_transport_mill_levy = 0,certified_sbt_mill_levy = 0,cert_supp_cap_construction = 0,certified_other_mill_levy = 0,full_funding_mill_levy = 193.842,state_funding = 6791729.587 WHERE district_number = '2530' AND fiscal_year = 20222023;</v>
      </c>
    </row>
    <row r="124" spans="1:28" x14ac:dyDescent="0.25">
      <c r="A124" s="262" t="s">
        <v>351</v>
      </c>
      <c r="B124" s="263" t="s">
        <v>347</v>
      </c>
      <c r="C124" s="264" t="s">
        <v>352</v>
      </c>
      <c r="D124" s="344">
        <v>11110891</v>
      </c>
      <c r="E124" s="344">
        <v>0</v>
      </c>
      <c r="F124" s="344">
        <v>11110891</v>
      </c>
      <c r="G124" s="343">
        <v>5</v>
      </c>
      <c r="H124" s="265">
        <v>27</v>
      </c>
      <c r="I124" s="266">
        <v>2.2709999999999999</v>
      </c>
      <c r="J124" s="264">
        <v>24.728999999999999</v>
      </c>
      <c r="K124" s="267">
        <v>0</v>
      </c>
      <c r="L124" s="268">
        <v>0</v>
      </c>
      <c r="M124" s="267">
        <v>0</v>
      </c>
      <c r="N124" s="264">
        <v>0</v>
      </c>
      <c r="O124" s="356">
        <v>0</v>
      </c>
      <c r="P124" s="267">
        <v>0</v>
      </c>
      <c r="Q124" s="269">
        <v>24.728999999999999</v>
      </c>
      <c r="R124" s="266">
        <v>0</v>
      </c>
      <c r="S124" s="268">
        <v>0</v>
      </c>
      <c r="T124" s="268">
        <v>0</v>
      </c>
      <c r="U124" s="268">
        <v>0</v>
      </c>
      <c r="V124" s="268">
        <v>0</v>
      </c>
      <c r="W124" s="266">
        <v>24.728999999999999</v>
      </c>
      <c r="X124" s="344">
        <v>276.50099999999998</v>
      </c>
      <c r="Y124" s="344">
        <v>3357526.29</v>
      </c>
      <c r="Z124" s="344">
        <v>3032727.3464609999</v>
      </c>
      <c r="AB124" s="205" t="str">
        <f t="shared" si="2"/>
        <v>UPDATE mill_levy SET cert_per_hb201418 = 27,cert_hb201418_tax_credit = 2.271,certified_catbuy_mill_levy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276.501,state_funding = 3032727.346461 WHERE district_number = '2535' AND fiscal_year = 20222023;</v>
      </c>
    </row>
    <row r="125" spans="1:28" x14ac:dyDescent="0.25">
      <c r="A125" s="262" t="s">
        <v>353</v>
      </c>
      <c r="B125" s="263" t="s">
        <v>347</v>
      </c>
      <c r="C125" s="264" t="s">
        <v>354</v>
      </c>
      <c r="D125" s="344">
        <v>28103258</v>
      </c>
      <c r="E125" s="344">
        <v>0</v>
      </c>
      <c r="F125" s="344">
        <v>28103258</v>
      </c>
      <c r="G125" s="343">
        <v>249.84</v>
      </c>
      <c r="H125" s="265">
        <v>27</v>
      </c>
      <c r="I125" s="266">
        <v>0</v>
      </c>
      <c r="J125" s="264">
        <v>27</v>
      </c>
      <c r="K125" s="267">
        <v>0</v>
      </c>
      <c r="L125" s="268">
        <v>0</v>
      </c>
      <c r="M125" s="267">
        <v>0</v>
      </c>
      <c r="N125" s="264">
        <v>0</v>
      </c>
      <c r="O125" s="356">
        <v>0</v>
      </c>
      <c r="P125" s="267">
        <v>8.9999999999999993E-3</v>
      </c>
      <c r="Q125" s="269">
        <v>27.009</v>
      </c>
      <c r="R125" s="266">
        <v>13.324999999999999</v>
      </c>
      <c r="S125" s="268">
        <v>0</v>
      </c>
      <c r="T125" s="268">
        <v>0</v>
      </c>
      <c r="U125" s="268">
        <v>0</v>
      </c>
      <c r="V125" s="268">
        <v>0</v>
      </c>
      <c r="W125" s="266">
        <v>40.334000000000003</v>
      </c>
      <c r="X125" s="344">
        <v>154.88999999999999</v>
      </c>
      <c r="Y125" s="344">
        <v>4741557.67</v>
      </c>
      <c r="Z125" s="344">
        <v>3861876.9440000001</v>
      </c>
      <c r="AB125" s="205" t="str">
        <f t="shared" si="2"/>
        <v>UPDATE mill_levy SET cert_per_hb201418 = 27,cert_hb201418_tax_credit = 0,certified_catbuy_mill_levy = 0,cert_tot_prog_reserve_fund = 0,certified_hh_mill_levy = 0,certified_override_mill_levy = 0,certified_abate_mill_levy = 0.009,certified_bond_mill_levy = 13.325,certified_transport_mill_levy = 0,certified_sbt_mill_levy = 0,cert_supp_cap_construction = 0,certified_other_mill_levy = 0,full_funding_mill_levy = 154.89,state_funding = 3861876.944 WHERE district_number = '2540' AND fiscal_year = 20222023;</v>
      </c>
    </row>
    <row r="126" spans="1:28" x14ac:dyDescent="0.25">
      <c r="A126" s="262" t="s">
        <v>355</v>
      </c>
      <c r="B126" s="270" t="s">
        <v>347</v>
      </c>
      <c r="C126" s="271" t="s">
        <v>356</v>
      </c>
      <c r="D126" s="344">
        <v>8571918</v>
      </c>
      <c r="E126" s="344">
        <v>0</v>
      </c>
      <c r="F126" s="344">
        <v>8571918</v>
      </c>
      <c r="G126" s="343">
        <v>1034</v>
      </c>
      <c r="H126" s="265">
        <v>27</v>
      </c>
      <c r="I126" s="266">
        <v>0</v>
      </c>
      <c r="J126" s="264">
        <v>27</v>
      </c>
      <c r="K126" s="267">
        <v>0</v>
      </c>
      <c r="L126" s="374">
        <v>0</v>
      </c>
      <c r="M126" s="267">
        <v>0</v>
      </c>
      <c r="N126" s="264">
        <v>0</v>
      </c>
      <c r="O126" s="356">
        <v>0</v>
      </c>
      <c r="P126" s="267">
        <v>0</v>
      </c>
      <c r="Q126" s="269">
        <v>27</v>
      </c>
      <c r="R126" s="266">
        <v>0</v>
      </c>
      <c r="S126" s="268">
        <v>0</v>
      </c>
      <c r="T126" s="268">
        <v>0</v>
      </c>
      <c r="U126" s="268">
        <v>0</v>
      </c>
      <c r="V126" s="268">
        <v>0</v>
      </c>
      <c r="W126" s="266">
        <v>27</v>
      </c>
      <c r="X126" s="344">
        <v>390.44499999999999</v>
      </c>
      <c r="Y126" s="344">
        <v>3526921.63</v>
      </c>
      <c r="Z126" s="344">
        <v>3249253.4040000001</v>
      </c>
      <c r="AB126" s="205" t="str">
        <f t="shared" si="2"/>
        <v>UPDATE mill_levy SET cert_per_hb201418 = 27,cert_hb201418_tax_credit = 0,certified_catbuy_mill_levy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390.445,state_funding = 3249253.404 WHERE district_number = '2560' AND fiscal_year = 20222023;</v>
      </c>
    </row>
    <row r="127" spans="1:28" x14ac:dyDescent="0.25">
      <c r="A127" s="262" t="s">
        <v>357</v>
      </c>
      <c r="B127" s="263" t="s">
        <v>347</v>
      </c>
      <c r="C127" s="264" t="s">
        <v>358</v>
      </c>
      <c r="D127" s="344">
        <v>21093909</v>
      </c>
      <c r="E127" s="344">
        <v>788267</v>
      </c>
      <c r="F127" s="344">
        <v>20305642</v>
      </c>
      <c r="G127" s="343">
        <v>0</v>
      </c>
      <c r="H127" s="265">
        <v>27</v>
      </c>
      <c r="I127" s="266">
        <v>2.0030000000000001</v>
      </c>
      <c r="J127" s="264">
        <v>24.997</v>
      </c>
      <c r="K127" s="267">
        <v>0</v>
      </c>
      <c r="L127" s="268">
        <v>0</v>
      </c>
      <c r="M127" s="267">
        <v>0</v>
      </c>
      <c r="N127" s="264">
        <v>0</v>
      </c>
      <c r="O127" s="356">
        <v>0.78100000000000003</v>
      </c>
      <c r="P127" s="267">
        <v>0</v>
      </c>
      <c r="Q127" s="269">
        <v>25.777999999999999</v>
      </c>
      <c r="R127" s="266">
        <v>9.2240000000000002</v>
      </c>
      <c r="S127" s="268">
        <v>0</v>
      </c>
      <c r="T127" s="268">
        <v>0</v>
      </c>
      <c r="U127" s="268">
        <v>0</v>
      </c>
      <c r="V127" s="268">
        <v>0</v>
      </c>
      <c r="W127" s="266">
        <v>35.002000000000002</v>
      </c>
      <c r="X127" s="344">
        <v>201.77099999999999</v>
      </c>
      <c r="Y127" s="344">
        <v>4343813.96</v>
      </c>
      <c r="Z127" s="344">
        <v>3736488.5469260002</v>
      </c>
      <c r="AB127" s="205" t="str">
        <f t="shared" si="2"/>
        <v>UPDATE mill_levy SET cert_per_hb201418 = 27,cert_hb201418_tax_credit = 2.003,certified_catbuy_mill_levy = 0,cert_tot_prog_reserve_fund = 0,certified_hh_mill_levy = 0,certified_override_mill_levy = 0.781,certified_abate_mill_levy = 0,certified_bond_mill_levy = 9.224,certified_transport_mill_levy = 0,certified_sbt_mill_levy = 0,cert_supp_cap_construction = 0,certified_other_mill_levy = 0,full_funding_mill_levy = 201.771,state_funding = 3736488.546926 WHERE district_number = '2570' AND fiscal_year = 20222023;</v>
      </c>
    </row>
    <row r="128" spans="1:28" x14ac:dyDescent="0.25">
      <c r="A128" s="262" t="s">
        <v>359</v>
      </c>
      <c r="B128" s="263" t="s">
        <v>360</v>
      </c>
      <c r="C128" s="264" t="s">
        <v>360</v>
      </c>
      <c r="D128" s="344">
        <v>101251360</v>
      </c>
      <c r="E128" s="344">
        <v>0</v>
      </c>
      <c r="F128" s="344">
        <v>101251360</v>
      </c>
      <c r="G128" s="343">
        <v>16549.78</v>
      </c>
      <c r="H128" s="265">
        <v>27</v>
      </c>
      <c r="I128" s="266">
        <v>5.069</v>
      </c>
      <c r="J128" s="264">
        <v>21.931000000000001</v>
      </c>
      <c r="K128" s="267">
        <v>0</v>
      </c>
      <c r="L128" s="268">
        <v>0</v>
      </c>
      <c r="M128" s="267">
        <v>0</v>
      </c>
      <c r="N128" s="264">
        <v>0</v>
      </c>
      <c r="O128" s="356">
        <v>4.8739999999999997</v>
      </c>
      <c r="P128" s="267">
        <v>0.16300000000000001</v>
      </c>
      <c r="Q128" s="269">
        <v>26.968</v>
      </c>
      <c r="R128" s="266">
        <v>1.9339999999999999</v>
      </c>
      <c r="S128" s="268">
        <v>0</v>
      </c>
      <c r="T128" s="268">
        <v>0</v>
      </c>
      <c r="U128" s="268">
        <v>0</v>
      </c>
      <c r="V128" s="268">
        <v>0</v>
      </c>
      <c r="W128" s="266">
        <v>28.902000000000001</v>
      </c>
      <c r="X128" s="344">
        <v>30.803000000000001</v>
      </c>
      <c r="Y128" s="344">
        <v>3376483.56</v>
      </c>
      <c r="Z128" s="344">
        <v>999917.34384000034</v>
      </c>
      <c r="AB128" s="205" t="str">
        <f t="shared" si="2"/>
        <v>UPDATE mill_levy SET cert_per_hb201418 = 27,cert_hb201418_tax_credit = 5.069,certified_catbuy_mill_levy = 0,cert_tot_prog_reserve_fund = 0,certified_hh_mill_levy = 0,certified_override_mill_levy = 4.874,certified_abate_mill_levy = 0.163,certified_bond_mill_levy = 1.934,certified_transport_mill_levy = 0,certified_sbt_mill_levy = 0,cert_supp_cap_construction = 0,certified_other_mill_levy = 0,full_funding_mill_levy = 30.803,state_funding = 999917.34384 WHERE district_number = '2580' AND fiscal_year = 20222023;</v>
      </c>
    </row>
    <row r="129" spans="1:28" x14ac:dyDescent="0.25">
      <c r="A129" s="262" t="s">
        <v>361</v>
      </c>
      <c r="B129" s="263" t="s">
        <v>360</v>
      </c>
      <c r="C129" s="264" t="s">
        <v>362</v>
      </c>
      <c r="D129" s="344">
        <v>192543040</v>
      </c>
      <c r="E129" s="344">
        <v>0</v>
      </c>
      <c r="F129" s="344">
        <v>192543040</v>
      </c>
      <c r="G129" s="343">
        <v>5969</v>
      </c>
      <c r="H129" s="265">
        <v>21.643000000000001</v>
      </c>
      <c r="I129" s="266">
        <v>5.7149999999999999</v>
      </c>
      <c r="J129" s="264">
        <v>15.928000000000001</v>
      </c>
      <c r="K129" s="267">
        <v>0</v>
      </c>
      <c r="L129" s="268">
        <v>0</v>
      </c>
      <c r="M129" s="267">
        <v>0</v>
      </c>
      <c r="N129" s="264">
        <v>0</v>
      </c>
      <c r="O129" s="356">
        <v>7.06</v>
      </c>
      <c r="P129" s="267">
        <v>3.1009999999999999E-2</v>
      </c>
      <c r="Q129" s="269">
        <v>23.019010000000002</v>
      </c>
      <c r="R129" s="266">
        <v>6.2320000000000002</v>
      </c>
      <c r="S129" s="268">
        <v>0</v>
      </c>
      <c r="T129" s="268">
        <v>0</v>
      </c>
      <c r="U129" s="268">
        <v>0</v>
      </c>
      <c r="V129" s="268">
        <v>0</v>
      </c>
      <c r="W129" s="266">
        <v>29.251010000000001</v>
      </c>
      <c r="X129" s="344">
        <v>22.949000000000002</v>
      </c>
      <c r="Y129" s="344">
        <v>4692918.58</v>
      </c>
      <c r="Z129" s="344">
        <v>1426404.7788799999</v>
      </c>
      <c r="AB129" s="205" t="str">
        <f t="shared" si="2"/>
        <v>UPDATE mill_levy SET cert_per_hb201418 = 21.643,cert_hb201418_tax_credit = 5.715,certified_catbuy_mill_levy = 0,cert_tot_prog_reserve_fund = 0,certified_hh_mill_levy = 0,certified_override_mill_levy = 7.06,certified_abate_mill_levy = 0.03101,certified_bond_mill_levy = 6.232,certified_transport_mill_levy = 0,certified_sbt_mill_levy = 0,cert_supp_cap_construction = 0,certified_other_mill_levy = 0,full_funding_mill_levy = 22.949,state_funding = 1426404.77888 WHERE district_number = '2590' AND fiscal_year = 20222023;</v>
      </c>
    </row>
    <row r="130" spans="1:28" x14ac:dyDescent="0.25">
      <c r="A130" s="262" t="s">
        <v>363</v>
      </c>
      <c r="B130" s="263" t="s">
        <v>364</v>
      </c>
      <c r="C130" s="264" t="s">
        <v>365</v>
      </c>
      <c r="D130" s="344">
        <v>231662113</v>
      </c>
      <c r="E130" s="344">
        <v>0</v>
      </c>
      <c r="F130" s="344">
        <v>231662113</v>
      </c>
      <c r="G130" s="343">
        <v>3653.84</v>
      </c>
      <c r="H130" s="265">
        <v>27</v>
      </c>
      <c r="I130" s="266">
        <v>6.3380000000000001</v>
      </c>
      <c r="J130" s="264">
        <v>20.661999999999999</v>
      </c>
      <c r="K130" s="267">
        <v>0</v>
      </c>
      <c r="L130" s="268">
        <v>0</v>
      </c>
      <c r="M130" s="267">
        <v>0</v>
      </c>
      <c r="N130" s="264">
        <v>0</v>
      </c>
      <c r="O130" s="356">
        <v>3.1869999999999998</v>
      </c>
      <c r="P130" s="267">
        <v>1.6E-2</v>
      </c>
      <c r="Q130" s="269">
        <v>23.864999999999998</v>
      </c>
      <c r="R130" s="266">
        <v>4.51</v>
      </c>
      <c r="S130" s="268">
        <v>0</v>
      </c>
      <c r="T130" s="268">
        <v>0</v>
      </c>
      <c r="U130" s="268">
        <v>0</v>
      </c>
      <c r="V130" s="268">
        <v>0</v>
      </c>
      <c r="W130" s="266">
        <v>28.375</v>
      </c>
      <c r="X130" s="344">
        <v>34.058</v>
      </c>
      <c r="Y130" s="344">
        <v>8647209.6099999994</v>
      </c>
      <c r="Z130" s="344">
        <v>3445547.0411939994</v>
      </c>
      <c r="AB130" s="205" t="str">
        <f t="shared" si="2"/>
        <v>UPDATE mill_levy SET cert_per_hb201418 = 27,cert_hb201418_tax_credit = 6.338,certified_catbuy_mill_levy = 0,cert_tot_prog_reserve_fund = 0,certified_hh_mill_levy = 0,certified_override_mill_levy = 3.187,certified_abate_mill_levy = 0.016,certified_bond_mill_levy = 4.51,certified_transport_mill_levy = 0,certified_sbt_mill_levy = 0,cert_supp_cap_construction = 0,certified_other_mill_levy = 0,full_funding_mill_levy = 34.058,state_funding = 3445547.041194 WHERE district_number = '2600' AND fiscal_year = 20222023;</v>
      </c>
    </row>
    <row r="131" spans="1:28" x14ac:dyDescent="0.25">
      <c r="A131" s="262" t="s">
        <v>366</v>
      </c>
      <c r="B131" s="263" t="s">
        <v>364</v>
      </c>
      <c r="C131" s="264" t="s">
        <v>364</v>
      </c>
      <c r="D131" s="344">
        <v>616413089</v>
      </c>
      <c r="E131" s="344">
        <v>0</v>
      </c>
      <c r="F131" s="344">
        <v>616413089</v>
      </c>
      <c r="G131" s="343">
        <v>24485.64</v>
      </c>
      <c r="H131" s="265">
        <v>12.173</v>
      </c>
      <c r="I131" s="266">
        <v>0</v>
      </c>
      <c r="J131" s="264">
        <v>12.173</v>
      </c>
      <c r="K131" s="267">
        <v>0</v>
      </c>
      <c r="L131" s="268">
        <v>0</v>
      </c>
      <c r="M131" s="267">
        <v>0.89400000000000002</v>
      </c>
      <c r="N131" s="264">
        <v>0</v>
      </c>
      <c r="O131" s="356">
        <v>3.0859999999999999</v>
      </c>
      <c r="P131" s="267">
        <v>0.04</v>
      </c>
      <c r="Q131" s="269">
        <v>16.193000000000001</v>
      </c>
      <c r="R131" s="266">
        <v>1.014</v>
      </c>
      <c r="S131" s="268">
        <v>0</v>
      </c>
      <c r="T131" s="268">
        <v>0</v>
      </c>
      <c r="U131" s="268">
        <v>0</v>
      </c>
      <c r="V131" s="268">
        <v>0</v>
      </c>
      <c r="W131" s="266">
        <v>17.207000000000001</v>
      </c>
      <c r="X131" s="344">
        <v>9.5250000000000004</v>
      </c>
      <c r="Y131" s="344">
        <v>6721729.6699999999</v>
      </c>
      <c r="Z131" s="344">
        <v>1.1641532182693481E-10</v>
      </c>
      <c r="AB131" s="205" t="str">
        <f t="shared" si="2"/>
        <v>UPDATE mill_levy SET cert_per_hb201418 = 12.173,cert_hb201418_tax_credit = 0,certified_catbuy_mill_levy = 0,cert_tot_prog_reserve_fund = 0,certified_hh_mill_levy = 0.894,certified_override_mill_levy = 3.086,certified_abate_mill_levy = 0.04,certified_bond_mill_levy = 1.014,certified_transport_mill_levy = 0,certified_sbt_mill_levy = 0,cert_supp_cap_construction = 0,certified_other_mill_levy = 0,full_funding_mill_levy = 9.525,state_funding = 1.16415321826935E-10 WHERE district_number = '2610' AND fiscal_year = 20222023;</v>
      </c>
    </row>
    <row r="132" spans="1:28" x14ac:dyDescent="0.25">
      <c r="A132" s="262" t="s">
        <v>367</v>
      </c>
      <c r="B132" s="270" t="s">
        <v>368</v>
      </c>
      <c r="C132" s="271" t="s">
        <v>369</v>
      </c>
      <c r="D132" s="344">
        <v>82190030</v>
      </c>
      <c r="E132" s="344">
        <v>0</v>
      </c>
      <c r="F132" s="344">
        <v>82190030</v>
      </c>
      <c r="G132" s="343">
        <v>6158.75</v>
      </c>
      <c r="H132" s="265">
        <v>27</v>
      </c>
      <c r="I132" s="266">
        <v>0</v>
      </c>
      <c r="J132" s="264">
        <v>27</v>
      </c>
      <c r="K132" s="267">
        <v>0</v>
      </c>
      <c r="L132" s="268">
        <v>0</v>
      </c>
      <c r="M132" s="267">
        <v>0</v>
      </c>
      <c r="N132" s="264">
        <v>0</v>
      </c>
      <c r="O132" s="356">
        <v>7</v>
      </c>
      <c r="P132" s="267">
        <v>7.4999999999999997E-2</v>
      </c>
      <c r="Q132" s="269">
        <v>34.075000000000003</v>
      </c>
      <c r="R132" s="266">
        <v>3.31</v>
      </c>
      <c r="S132" s="268">
        <v>0</v>
      </c>
      <c r="T132" s="268">
        <v>0</v>
      </c>
      <c r="U132" s="268">
        <v>0</v>
      </c>
      <c r="V132" s="268">
        <v>0</v>
      </c>
      <c r="W132" s="266">
        <v>37.384999999999998</v>
      </c>
      <c r="X132" s="344">
        <v>75.903000000000006</v>
      </c>
      <c r="Y132" s="344">
        <v>6642141.8300000001</v>
      </c>
      <c r="Z132" s="344">
        <v>4173238.3499999996</v>
      </c>
      <c r="AB132" s="205" t="str">
        <f t="shared" ref="AB132:AB180" si="3">CONCATENATE("UPDATE mill_levy SET cert_per_hb201418 = ",H132,",cert_hb201418_tax_credit = ",I132,",certified_catbuy_mill_levy = ",K132,",cert_tot_prog_reserve_fund = ",L132,",certified_hh_mill_levy = ",M132,",certified_override_mill_levy = ",O132,",certified_abate_mill_levy = ",P132,",certified_bond_mill_levy = ",R132,",certified_transport_mill_levy = ",S132,",certified_sbt_mill_levy = ",T132,",cert_supp_cap_construction = ",U132,",certified_other_mill_levy = ",V132,",full_funding_mill_levy = ",X132,",state_funding = ",Z132," WHERE district_number = '",A132,"' AND fiscal_year = 20222023;")</f>
        <v>UPDATE mill_levy SET cert_per_hb201418 = 27,cert_hb201418_tax_credit = 0,certified_catbuy_mill_levy = 0,cert_tot_prog_reserve_fund = 0,certified_hh_mill_levy = 0,certified_override_mill_levy = 7,certified_abate_mill_levy = 0.075,certified_bond_mill_levy = 3.31,certified_transport_mill_levy = 0,certified_sbt_mill_levy = 0,cert_supp_cap_construction = 0,certified_other_mill_levy = 0,full_funding_mill_levy = 75.903,state_funding = 4173238.35 WHERE district_number = '2620' AND fiscal_year = 20222023;</v>
      </c>
    </row>
    <row r="133" spans="1:28" x14ac:dyDescent="0.25">
      <c r="A133" s="263" t="s">
        <v>370</v>
      </c>
      <c r="B133" s="263" t="s">
        <v>368</v>
      </c>
      <c r="C133" s="264" t="s">
        <v>371</v>
      </c>
      <c r="D133" s="344">
        <v>35127796</v>
      </c>
      <c r="E133" s="344">
        <v>0</v>
      </c>
      <c r="F133" s="344">
        <v>35127796</v>
      </c>
      <c r="G133" s="343">
        <v>3478</v>
      </c>
      <c r="H133" s="265">
        <v>27</v>
      </c>
      <c r="I133" s="266">
        <v>0</v>
      </c>
      <c r="J133" s="264">
        <v>27</v>
      </c>
      <c r="K133" s="267">
        <v>0</v>
      </c>
      <c r="L133" s="268">
        <v>0</v>
      </c>
      <c r="M133" s="267">
        <v>0</v>
      </c>
      <c r="N133" s="264">
        <v>0</v>
      </c>
      <c r="O133" s="356">
        <v>5</v>
      </c>
      <c r="P133" s="267">
        <v>9.9000000000000005E-2</v>
      </c>
      <c r="Q133" s="269">
        <v>32.098999999999997</v>
      </c>
      <c r="R133" s="266">
        <v>7.2039999999999997</v>
      </c>
      <c r="S133" s="268">
        <v>0</v>
      </c>
      <c r="T133" s="268">
        <v>0</v>
      </c>
      <c r="U133" s="268">
        <v>0</v>
      </c>
      <c r="V133" s="268">
        <v>0</v>
      </c>
      <c r="W133" s="266">
        <v>39.302999999999997</v>
      </c>
      <c r="X133" s="344">
        <v>106.164</v>
      </c>
      <c r="Y133" s="344">
        <v>3980154.14</v>
      </c>
      <c r="Z133" s="344">
        <v>2925947.878</v>
      </c>
      <c r="AB133" s="205" t="str">
        <f t="shared" si="3"/>
        <v>UPDATE mill_levy SET cert_per_hb201418 = 27,cert_hb201418_tax_credit = 0,certified_catbuy_mill_levy = 0,cert_tot_prog_reserve_fund = 0,certified_hh_mill_levy = 0,certified_override_mill_levy = 5,certified_abate_mill_levy = 0.099,certified_bond_mill_levy = 7.204,certified_transport_mill_levy = 0,certified_sbt_mill_levy = 0,cert_supp_cap_construction = 0,certified_other_mill_levy = 0,full_funding_mill_levy = 106.164,state_funding = 2925947.878 WHERE district_number = '2630' AND fiscal_year = 20222023;</v>
      </c>
    </row>
    <row r="134" spans="1:28" x14ac:dyDescent="0.25">
      <c r="A134" s="263" t="s">
        <v>372</v>
      </c>
      <c r="B134" s="270" t="s">
        <v>373</v>
      </c>
      <c r="C134" s="271" t="s">
        <v>374</v>
      </c>
      <c r="D134" s="344">
        <v>5353427630</v>
      </c>
      <c r="E134" s="344">
        <v>0</v>
      </c>
      <c r="F134" s="344">
        <v>5353427630</v>
      </c>
      <c r="G134" s="343">
        <v>23095.46</v>
      </c>
      <c r="H134" s="265">
        <v>4.4119999999999999</v>
      </c>
      <c r="I134" s="266">
        <v>0</v>
      </c>
      <c r="J134" s="264">
        <v>4.0069999999999997</v>
      </c>
      <c r="K134" s="267">
        <v>0.17299999999999999</v>
      </c>
      <c r="L134" s="268">
        <v>0.23200000000000001</v>
      </c>
      <c r="M134" s="345">
        <v>0.13300000000000001</v>
      </c>
      <c r="N134" s="264">
        <v>0</v>
      </c>
      <c r="O134" s="356">
        <v>1.2490000000000001</v>
      </c>
      <c r="P134" s="267">
        <v>4.0000000000000001E-3</v>
      </c>
      <c r="Q134" s="269">
        <v>5.798</v>
      </c>
      <c r="R134" s="266">
        <v>1.494</v>
      </c>
      <c r="S134" s="268">
        <v>0</v>
      </c>
      <c r="T134" s="268">
        <v>0</v>
      </c>
      <c r="U134" s="268">
        <v>0</v>
      </c>
      <c r="V134" s="268">
        <v>0</v>
      </c>
      <c r="W134" s="266">
        <v>7.2919999999999998</v>
      </c>
      <c r="X134" s="344">
        <v>3.7240000000000002</v>
      </c>
      <c r="Y134" s="344">
        <v>22022860.16</v>
      </c>
      <c r="Z134" s="344">
        <v>0</v>
      </c>
      <c r="AB134" s="205" t="str">
        <f t="shared" si="3"/>
        <v>UPDATE mill_levy SET cert_per_hb201418 = 4.412,cert_hb201418_tax_credit = 0,certified_catbuy_mill_levy = 0.173,cert_tot_prog_reserve_fund = 0.232,certified_hh_mill_levy = 0.133,certified_override_mill_levy = 1.249,certified_abate_mill_levy = 0.004,certified_bond_mill_levy = 1.494,certified_transport_mill_levy = 0,certified_sbt_mill_levy = 0,cert_supp_cap_construction = 0,certified_other_mill_levy = 0,full_funding_mill_levy = 3.724,state_funding = 0 WHERE district_number = '2640' AND fiscal_year = 20222023;</v>
      </c>
    </row>
    <row r="135" spans="1:28" x14ac:dyDescent="0.25">
      <c r="A135" s="262" t="s">
        <v>375</v>
      </c>
      <c r="B135" s="270" t="s">
        <v>376</v>
      </c>
      <c r="C135" s="271" t="s">
        <v>377</v>
      </c>
      <c r="D135" s="344">
        <v>17324312</v>
      </c>
      <c r="E135" s="344">
        <v>0</v>
      </c>
      <c r="F135" s="344">
        <v>17324312</v>
      </c>
      <c r="G135" s="343">
        <v>3868</v>
      </c>
      <c r="H135" s="265">
        <v>27</v>
      </c>
      <c r="I135" s="266">
        <v>0</v>
      </c>
      <c r="J135" s="264">
        <v>27</v>
      </c>
      <c r="K135" s="267">
        <v>0</v>
      </c>
      <c r="L135" s="268">
        <v>0</v>
      </c>
      <c r="M135" s="267">
        <v>0</v>
      </c>
      <c r="N135" s="264">
        <v>0</v>
      </c>
      <c r="O135" s="356">
        <v>0</v>
      </c>
      <c r="P135" s="267">
        <v>0.219</v>
      </c>
      <c r="Q135" s="269">
        <v>27.219000000000001</v>
      </c>
      <c r="R135" s="266">
        <v>0</v>
      </c>
      <c r="S135" s="268">
        <v>0</v>
      </c>
      <c r="T135" s="268">
        <v>0</v>
      </c>
      <c r="U135" s="268">
        <v>0</v>
      </c>
      <c r="V135" s="268">
        <v>0</v>
      </c>
      <c r="W135" s="266">
        <v>27.219000000000001</v>
      </c>
      <c r="X135" s="344">
        <v>190.959</v>
      </c>
      <c r="Y135" s="344">
        <v>3302879.4</v>
      </c>
      <c r="Z135" s="344">
        <v>2769736.5459999996</v>
      </c>
      <c r="AB135" s="205" t="str">
        <f t="shared" si="3"/>
        <v>UPDATE mill_levy SET cert_per_hb201418 = 27,cert_hb201418_tax_credit = 0,certified_catbuy_mill_levy = 0,cert_tot_prog_reserve_fund = 0,certified_hh_mill_levy = 0,certified_override_mill_levy = 0,certified_abate_mill_levy = 0.219,certified_bond_mill_levy = 0,certified_transport_mill_levy = 0,certified_sbt_mill_levy = 0,cert_supp_cap_construction = 0,certified_other_mill_levy = 0,full_funding_mill_levy = 190.959,state_funding = 2769736.546 WHERE district_number = '2650' AND fiscal_year = 20222023;</v>
      </c>
    </row>
    <row r="136" spans="1:28" x14ac:dyDescent="0.25">
      <c r="A136" s="262" t="s">
        <v>378</v>
      </c>
      <c r="B136" s="263" t="s">
        <v>376</v>
      </c>
      <c r="C136" s="264" t="s">
        <v>379</v>
      </c>
      <c r="D136" s="344">
        <v>94321259</v>
      </c>
      <c r="E136" s="344">
        <v>3602894</v>
      </c>
      <c r="F136" s="344">
        <v>90718365</v>
      </c>
      <c r="G136" s="343">
        <v>11870</v>
      </c>
      <c r="H136" s="265">
        <v>27</v>
      </c>
      <c r="I136" s="266">
        <v>4.4050000000000002</v>
      </c>
      <c r="J136" s="264">
        <v>22.594999999999999</v>
      </c>
      <c r="K136" s="267">
        <v>0</v>
      </c>
      <c r="L136" s="268">
        <v>0</v>
      </c>
      <c r="M136" s="267">
        <v>0</v>
      </c>
      <c r="N136" s="264">
        <v>0</v>
      </c>
      <c r="O136" s="356">
        <v>0</v>
      </c>
      <c r="P136" s="267">
        <v>0.13100000000000001</v>
      </c>
      <c r="Q136" s="269">
        <v>22.725999999999999</v>
      </c>
      <c r="R136" s="266">
        <v>3.5830000000000002</v>
      </c>
      <c r="S136" s="268">
        <v>0</v>
      </c>
      <c r="T136" s="268">
        <v>0</v>
      </c>
      <c r="U136" s="268">
        <v>0</v>
      </c>
      <c r="V136" s="268">
        <v>0</v>
      </c>
      <c r="W136" s="266">
        <v>26.309000000000001</v>
      </c>
      <c r="X136" s="344">
        <v>160.01400000000001</v>
      </c>
      <c r="Y136" s="344">
        <v>15628492.789999999</v>
      </c>
      <c r="Z136" s="344">
        <v>13269885.002824999</v>
      </c>
      <c r="AB136" s="205" t="str">
        <f t="shared" si="3"/>
        <v>UPDATE mill_levy SET cert_per_hb201418 = 27,cert_hb201418_tax_credit = 4.405,certified_catbuy_mill_levy = 0,cert_tot_prog_reserve_fund = 0,certified_hh_mill_levy = 0,certified_override_mill_levy = 0,certified_abate_mill_levy = 0.131,certified_bond_mill_levy = 3.583,certified_transport_mill_levy = 0,certified_sbt_mill_levy = 0,cert_supp_cap_construction = 0,certified_other_mill_levy = 0,full_funding_mill_levy = 160.014,state_funding = 13269885.002825 WHERE district_number = '2660' AND fiscal_year = 20222023;</v>
      </c>
    </row>
    <row r="137" spans="1:28" x14ac:dyDescent="0.25">
      <c r="A137" s="263" t="s">
        <v>380</v>
      </c>
      <c r="B137" s="270" t="s">
        <v>376</v>
      </c>
      <c r="C137" s="271" t="s">
        <v>381</v>
      </c>
      <c r="D137" s="344">
        <v>28860778</v>
      </c>
      <c r="E137" s="344">
        <v>0</v>
      </c>
      <c r="F137" s="344">
        <v>28860778</v>
      </c>
      <c r="G137" s="343">
        <v>5511</v>
      </c>
      <c r="H137" s="265">
        <v>27</v>
      </c>
      <c r="I137" s="266">
        <v>0</v>
      </c>
      <c r="J137" s="264">
        <v>27</v>
      </c>
      <c r="K137" s="267">
        <v>0</v>
      </c>
      <c r="L137" s="268">
        <v>0</v>
      </c>
      <c r="M137" s="267">
        <v>0</v>
      </c>
      <c r="N137" s="264">
        <v>0</v>
      </c>
      <c r="O137" s="356">
        <v>0</v>
      </c>
      <c r="P137" s="267">
        <v>0.191</v>
      </c>
      <c r="Q137" s="269">
        <v>27.190999999999999</v>
      </c>
      <c r="R137" s="266">
        <v>8.7620000000000005</v>
      </c>
      <c r="S137" s="268">
        <v>0</v>
      </c>
      <c r="T137" s="268">
        <v>0</v>
      </c>
      <c r="U137" s="268">
        <v>0</v>
      </c>
      <c r="V137" s="268">
        <v>0</v>
      </c>
      <c r="W137" s="266">
        <v>35.953000000000003</v>
      </c>
      <c r="X137" s="344">
        <v>122.26300000000001</v>
      </c>
      <c r="Y137" s="344">
        <v>3720996.57</v>
      </c>
      <c r="Z137" s="344">
        <v>2828005.014</v>
      </c>
      <c r="AB137" s="205" t="str">
        <f t="shared" si="3"/>
        <v>UPDATE mill_levy SET cert_per_hb201418 = 27,cert_hb201418_tax_credit = 0,certified_catbuy_mill_levy = 0,cert_tot_prog_reserve_fund = 0,certified_hh_mill_levy = 0,certified_override_mill_levy = 0,certified_abate_mill_levy = 0.191,certified_bond_mill_levy = 8.762,certified_transport_mill_levy = 0,certified_sbt_mill_levy = 0,cert_supp_cap_construction = 0,certified_other_mill_levy = 0,full_funding_mill_levy = 122.263,state_funding = 2828005.014 WHERE district_number = '2670' AND fiscal_year = 20222023;</v>
      </c>
    </row>
    <row r="138" spans="1:28" x14ac:dyDescent="0.25">
      <c r="A138" s="262" t="s">
        <v>382</v>
      </c>
      <c r="B138" s="270" t="s">
        <v>376</v>
      </c>
      <c r="C138" s="271" t="s">
        <v>383</v>
      </c>
      <c r="D138" s="344">
        <v>13310629</v>
      </c>
      <c r="E138" s="344">
        <v>0</v>
      </c>
      <c r="F138" s="344">
        <v>13310629</v>
      </c>
      <c r="G138" s="343">
        <v>2087.88</v>
      </c>
      <c r="H138" s="265">
        <v>27</v>
      </c>
      <c r="I138" s="266">
        <v>0</v>
      </c>
      <c r="J138" s="264">
        <v>27</v>
      </c>
      <c r="K138" s="267">
        <v>0</v>
      </c>
      <c r="L138" s="268">
        <v>0</v>
      </c>
      <c r="M138" s="267">
        <v>0</v>
      </c>
      <c r="N138" s="264">
        <v>0</v>
      </c>
      <c r="O138" s="356">
        <v>0</v>
      </c>
      <c r="P138" s="267">
        <v>0.157</v>
      </c>
      <c r="Q138" s="269">
        <v>27.157</v>
      </c>
      <c r="R138" s="266">
        <v>0</v>
      </c>
      <c r="S138" s="268">
        <v>0</v>
      </c>
      <c r="T138" s="268">
        <v>0</v>
      </c>
      <c r="U138" s="268">
        <v>0</v>
      </c>
      <c r="V138" s="268">
        <v>0</v>
      </c>
      <c r="W138" s="266">
        <v>27.157</v>
      </c>
      <c r="X138" s="344">
        <v>257.697</v>
      </c>
      <c r="Y138" s="344">
        <v>3710859.8</v>
      </c>
      <c r="Z138" s="344">
        <v>3303204.5769999996</v>
      </c>
      <c r="AB138" s="205" t="str">
        <f t="shared" si="3"/>
        <v>UPDATE mill_levy SET cert_per_hb201418 = 27,cert_hb201418_tax_credit = 0,certified_catbuy_mill_levy = 0,cert_tot_prog_reserve_fund = 0,certified_hh_mill_levy = 0,certified_override_mill_levy = 0,certified_abate_mill_levy = 0.157,certified_bond_mill_levy = 0,certified_transport_mill_levy = 0,certified_sbt_mill_levy = 0,cert_supp_cap_construction = 0,certified_other_mill_levy = 0,full_funding_mill_levy = 257.697,state_funding = 3303204.577 WHERE district_number = '2680' AND fiscal_year = 20222023;</v>
      </c>
    </row>
    <row r="139" spans="1:28" x14ac:dyDescent="0.25">
      <c r="A139" s="262" t="s">
        <v>384</v>
      </c>
      <c r="B139" s="263" t="s">
        <v>385</v>
      </c>
      <c r="C139" s="264" t="s">
        <v>386</v>
      </c>
      <c r="D139" s="344">
        <v>1311018221</v>
      </c>
      <c r="E139" s="344">
        <v>78329032</v>
      </c>
      <c r="F139" s="344">
        <v>1232689189</v>
      </c>
      <c r="G139" s="343">
        <v>945854.64</v>
      </c>
      <c r="H139" s="265">
        <v>27</v>
      </c>
      <c r="I139" s="266">
        <v>0</v>
      </c>
      <c r="J139" s="264">
        <v>27</v>
      </c>
      <c r="K139" s="267">
        <v>0</v>
      </c>
      <c r="L139" s="268">
        <v>0</v>
      </c>
      <c r="M139" s="267">
        <v>0</v>
      </c>
      <c r="N139" s="264">
        <v>0</v>
      </c>
      <c r="O139" s="356">
        <v>0</v>
      </c>
      <c r="P139" s="267">
        <v>0.76700000000000002</v>
      </c>
      <c r="Q139" s="269">
        <v>27.766999999999999</v>
      </c>
      <c r="R139" s="266">
        <v>13.7</v>
      </c>
      <c r="S139" s="268">
        <v>0</v>
      </c>
      <c r="T139" s="268">
        <v>0</v>
      </c>
      <c r="U139" s="268">
        <v>0</v>
      </c>
      <c r="V139" s="268">
        <v>0</v>
      </c>
      <c r="W139" s="266">
        <v>41.466999999999999</v>
      </c>
      <c r="X139" s="344">
        <v>115.15600000000001</v>
      </c>
      <c r="Y139" s="344">
        <v>157246913.03</v>
      </c>
      <c r="Z139" s="344">
        <v>120831850.597</v>
      </c>
      <c r="AB139" s="205" t="str">
        <f t="shared" si="3"/>
        <v>UPDATE mill_levy SET cert_per_hb201418 = 27,cert_hb201418_tax_credit = 0,certified_catbuy_mill_levy = 0,cert_tot_prog_reserve_fund = 0,certified_hh_mill_levy = 0,certified_override_mill_levy = 0,certified_abate_mill_levy = 0.767,certified_bond_mill_levy = 13.7,certified_transport_mill_levy = 0,certified_sbt_mill_levy = 0,cert_supp_cap_construction = 0,certified_other_mill_levy = 0,full_funding_mill_levy = 115.156,state_funding = 120831850.597 WHERE district_number = '2690' AND fiscal_year = 20222023;</v>
      </c>
    </row>
    <row r="140" spans="1:28" x14ac:dyDescent="0.25">
      <c r="A140" s="263" t="s">
        <v>387</v>
      </c>
      <c r="B140" s="263" t="s">
        <v>385</v>
      </c>
      <c r="C140" s="264" t="s">
        <v>388</v>
      </c>
      <c r="D140" s="344">
        <v>1026232499</v>
      </c>
      <c r="E140" s="344">
        <v>20516818</v>
      </c>
      <c r="F140" s="344">
        <v>1005715681</v>
      </c>
      <c r="G140" s="343">
        <v>185781</v>
      </c>
      <c r="H140" s="265">
        <v>27</v>
      </c>
      <c r="I140" s="266">
        <v>0</v>
      </c>
      <c r="J140" s="264">
        <v>27</v>
      </c>
      <c r="K140" s="267">
        <v>0</v>
      </c>
      <c r="L140" s="268">
        <v>0</v>
      </c>
      <c r="M140" s="267">
        <v>0</v>
      </c>
      <c r="N140" s="264">
        <v>0</v>
      </c>
      <c r="O140" s="356">
        <v>0</v>
      </c>
      <c r="P140" s="267">
        <v>0.185</v>
      </c>
      <c r="Q140" s="269">
        <v>27.184999999999999</v>
      </c>
      <c r="R140" s="266">
        <v>12.962999999999999</v>
      </c>
      <c r="S140" s="268">
        <v>0</v>
      </c>
      <c r="T140" s="268">
        <v>0</v>
      </c>
      <c r="U140" s="268">
        <v>0</v>
      </c>
      <c r="V140" s="268">
        <v>0</v>
      </c>
      <c r="W140" s="266">
        <v>40.148000000000003</v>
      </c>
      <c r="X140" s="344">
        <v>95.031999999999996</v>
      </c>
      <c r="Y140" s="344">
        <v>104121199.39</v>
      </c>
      <c r="Z140" s="344">
        <v>75028522.403000012</v>
      </c>
      <c r="AB140" s="205" t="str">
        <f t="shared" si="3"/>
        <v>UPDATE mill_levy SET cert_per_hb201418 = 27,cert_hb201418_tax_credit = 0,certified_catbuy_mill_levy = 0,cert_tot_prog_reserve_fund = 0,certified_hh_mill_levy = 0,certified_override_mill_levy = 0,certified_abate_mill_levy = 0.185,certified_bond_mill_levy = 12.963,certified_transport_mill_levy = 0,certified_sbt_mill_levy = 0,cert_supp_cap_construction = 0,certified_other_mill_levy = 0,full_funding_mill_levy = 95.032,state_funding = 75028522.403 WHERE district_number = '2700' AND fiscal_year = 20222023;</v>
      </c>
    </row>
    <row r="141" spans="1:28" x14ac:dyDescent="0.25">
      <c r="A141" s="262" t="s">
        <v>389</v>
      </c>
      <c r="B141" s="263" t="s">
        <v>390</v>
      </c>
      <c r="C141" s="264" t="s">
        <v>391</v>
      </c>
      <c r="D141" s="344">
        <v>662628890</v>
      </c>
      <c r="E141" s="344">
        <v>0</v>
      </c>
      <c r="F141" s="344">
        <v>662628890</v>
      </c>
      <c r="G141" s="343">
        <v>6.03</v>
      </c>
      <c r="H141" s="265">
        <v>5.7670000000000003</v>
      </c>
      <c r="I141" s="266">
        <v>0</v>
      </c>
      <c r="J141" s="264">
        <v>5.7670000000000003</v>
      </c>
      <c r="K141" s="267">
        <v>0</v>
      </c>
      <c r="L141" s="268">
        <v>0</v>
      </c>
      <c r="M141" s="267">
        <v>0</v>
      </c>
      <c r="N141" s="264">
        <v>0</v>
      </c>
      <c r="O141" s="356">
        <v>0.61</v>
      </c>
      <c r="P141" s="267">
        <v>0</v>
      </c>
      <c r="Q141" s="269">
        <v>6.3769999999999998</v>
      </c>
      <c r="R141" s="266">
        <v>6.9420000000000002</v>
      </c>
      <c r="S141" s="268">
        <v>0</v>
      </c>
      <c r="T141" s="268">
        <v>0</v>
      </c>
      <c r="U141" s="268">
        <v>0</v>
      </c>
      <c r="V141" s="268">
        <v>0</v>
      </c>
      <c r="W141" s="266">
        <v>13.319000000000001</v>
      </c>
      <c r="X141" s="344">
        <v>11.077999999999999</v>
      </c>
      <c r="Y141" s="344">
        <v>7548774.5199999996</v>
      </c>
      <c r="Z141" s="344">
        <v>3598146.9813699992</v>
      </c>
      <c r="AB141" s="205" t="str">
        <f t="shared" si="3"/>
        <v>UPDATE mill_levy SET cert_per_hb201418 = 5.767,cert_hb201418_tax_credit = 0,certified_catbuy_mill_levy = 0,cert_tot_prog_reserve_fund = 0,certified_hh_mill_levy = 0,certified_override_mill_levy = 0.61,certified_abate_mill_levy = 0,certified_bond_mill_levy = 6.942,certified_transport_mill_levy = 0,certified_sbt_mill_levy = 0,cert_supp_cap_construction = 0,certified_other_mill_levy = 0,full_funding_mill_levy = 11.078,state_funding = 3598146.98137 WHERE district_number = '2710' AND fiscal_year = 20222023;</v>
      </c>
    </row>
    <row r="142" spans="1:28" x14ac:dyDescent="0.25">
      <c r="A142" s="262" t="s">
        <v>392</v>
      </c>
      <c r="B142" s="263" t="s">
        <v>390</v>
      </c>
      <c r="C142" s="264" t="s">
        <v>393</v>
      </c>
      <c r="D142" s="344">
        <v>352174830</v>
      </c>
      <c r="E142" s="344">
        <v>0</v>
      </c>
      <c r="F142" s="344">
        <v>352174830</v>
      </c>
      <c r="G142" s="343">
        <v>47.36</v>
      </c>
      <c r="H142" s="265">
        <v>6.1429999999999998</v>
      </c>
      <c r="I142" s="266">
        <v>1.0269999999999999</v>
      </c>
      <c r="J142" s="264">
        <v>5.1159999999999997</v>
      </c>
      <c r="K142" s="267">
        <v>0</v>
      </c>
      <c r="L142" s="268">
        <v>0</v>
      </c>
      <c r="M142" s="267">
        <v>1.9059999999999999</v>
      </c>
      <c r="N142" s="264">
        <v>0</v>
      </c>
      <c r="O142" s="356">
        <v>2.67</v>
      </c>
      <c r="P142" s="267">
        <v>0</v>
      </c>
      <c r="Q142" s="269">
        <v>9.6920000000000002</v>
      </c>
      <c r="R142" s="266">
        <v>0</v>
      </c>
      <c r="S142" s="268">
        <v>0.96499999999999997</v>
      </c>
      <c r="T142" s="268">
        <v>0</v>
      </c>
      <c r="U142" s="268">
        <v>0</v>
      </c>
      <c r="V142" s="268">
        <v>0</v>
      </c>
      <c r="W142" s="266">
        <v>10.657</v>
      </c>
      <c r="X142" s="344">
        <v>14.731999999999999</v>
      </c>
      <c r="Y142" s="344">
        <v>5308463.78</v>
      </c>
      <c r="Z142" s="344">
        <v>3472131.3097200003</v>
      </c>
      <c r="AB142" s="205" t="str">
        <f t="shared" si="3"/>
        <v>UPDATE mill_levy SET cert_per_hb201418 = 6.143,cert_hb201418_tax_credit = 1.027,certified_catbuy_mill_levy = 0,cert_tot_prog_reserve_fund = 0,certified_hh_mill_levy = 1.906,certified_override_mill_levy = 2.67,certified_abate_mill_levy = 0,certified_bond_mill_levy = 0,certified_transport_mill_levy = 0.965,certified_sbt_mill_levy = 0,cert_supp_cap_construction = 0,certified_other_mill_levy = 0,full_funding_mill_levy = 14.732,state_funding = 3472131.30972 WHERE district_number = '2720' AND fiscal_year = 20222023;</v>
      </c>
    </row>
    <row r="143" spans="1:28" x14ac:dyDescent="0.25">
      <c r="A143" s="262" t="s">
        <v>394</v>
      </c>
      <c r="B143" s="263" t="s">
        <v>395</v>
      </c>
      <c r="C143" s="264" t="s">
        <v>396</v>
      </c>
      <c r="D143" s="344">
        <v>111478006</v>
      </c>
      <c r="E143" s="344">
        <v>0</v>
      </c>
      <c r="F143" s="344">
        <v>111478006</v>
      </c>
      <c r="G143" s="343">
        <v>6708.34</v>
      </c>
      <c r="H143" s="265">
        <v>27</v>
      </c>
      <c r="I143" s="266">
        <v>7.6920000000000002</v>
      </c>
      <c r="J143" s="264">
        <v>19.308</v>
      </c>
      <c r="K143" s="267">
        <v>0</v>
      </c>
      <c r="L143" s="268">
        <v>0</v>
      </c>
      <c r="M143" s="267">
        <v>0</v>
      </c>
      <c r="N143" s="264">
        <v>0</v>
      </c>
      <c r="O143" s="356">
        <v>9</v>
      </c>
      <c r="P143" s="267">
        <v>0.06</v>
      </c>
      <c r="Q143" s="269">
        <v>28.367999999999999</v>
      </c>
      <c r="R143" s="266">
        <v>11.776999999999999</v>
      </c>
      <c r="S143" s="268">
        <v>0</v>
      </c>
      <c r="T143" s="268">
        <v>0</v>
      </c>
      <c r="U143" s="268">
        <v>0</v>
      </c>
      <c r="V143" s="268">
        <v>0</v>
      </c>
      <c r="W143" s="266">
        <v>40.145000000000003</v>
      </c>
      <c r="X143" s="344">
        <v>39.651000000000003</v>
      </c>
      <c r="Y143" s="344">
        <v>4963943.09</v>
      </c>
      <c r="Z143" s="344">
        <v>2578106.4401519997</v>
      </c>
      <c r="AB143" s="205" t="str">
        <f t="shared" si="3"/>
        <v>UPDATE mill_levy SET cert_per_hb201418 = 27,cert_hb201418_tax_credit = 7.692,certified_catbuy_mill_levy = 0,cert_tot_prog_reserve_fund = 0,certified_hh_mill_levy = 0,certified_override_mill_levy = 9,certified_abate_mill_levy = 0.06,certified_bond_mill_levy = 11.777,certified_transport_mill_levy = 0,certified_sbt_mill_levy = 0,cert_supp_cap_construction = 0,certified_other_mill_levy = 0,full_funding_mill_levy = 39.651,state_funding = 2578106.440152 WHERE district_number = '2730' AND fiscal_year = 20222023;</v>
      </c>
    </row>
    <row r="144" spans="1:28" x14ac:dyDescent="0.25">
      <c r="A144" s="262" t="s">
        <v>397</v>
      </c>
      <c r="B144" s="263" t="s">
        <v>395</v>
      </c>
      <c r="C144" s="264" t="s">
        <v>398</v>
      </c>
      <c r="D144" s="344">
        <v>73085884</v>
      </c>
      <c r="E144" s="344">
        <v>0</v>
      </c>
      <c r="F144" s="344">
        <v>73085884</v>
      </c>
      <c r="G144" s="343">
        <v>9937.7999999999993</v>
      </c>
      <c r="H144" s="265">
        <v>27</v>
      </c>
      <c r="I144" s="266">
        <v>0</v>
      </c>
      <c r="J144" s="264">
        <v>27</v>
      </c>
      <c r="K144" s="267">
        <v>0</v>
      </c>
      <c r="L144" s="268">
        <v>0</v>
      </c>
      <c r="M144" s="267">
        <v>0</v>
      </c>
      <c r="N144" s="264">
        <v>0</v>
      </c>
      <c r="O144" s="356">
        <v>2.6680000000000001</v>
      </c>
      <c r="P144" s="267">
        <v>0.13600000000000001</v>
      </c>
      <c r="Q144" s="269">
        <v>29.803999999999998</v>
      </c>
      <c r="R144" s="266">
        <v>7.8970000000000002</v>
      </c>
      <c r="S144" s="268">
        <v>0</v>
      </c>
      <c r="T144" s="268">
        <v>0</v>
      </c>
      <c r="U144" s="268">
        <v>0</v>
      </c>
      <c r="V144" s="268">
        <v>0</v>
      </c>
      <c r="W144" s="266">
        <v>37.701000000000001</v>
      </c>
      <c r="X144" s="344">
        <v>137.733</v>
      </c>
      <c r="Y144" s="344">
        <v>10939262.02</v>
      </c>
      <c r="Z144" s="344">
        <v>8697123.6819999982</v>
      </c>
      <c r="AB144" s="205" t="str">
        <f t="shared" si="3"/>
        <v>UPDATE mill_levy SET cert_per_hb201418 = 27,cert_hb201418_tax_credit = 0,certified_catbuy_mill_levy = 0,cert_tot_prog_reserve_fund = 0,certified_hh_mill_levy = 0,certified_override_mill_levy = 2.668,certified_abate_mill_levy = 0.136,certified_bond_mill_levy = 7.897,certified_transport_mill_levy = 0,certified_sbt_mill_levy = 0,cert_supp_cap_construction = 0,certified_other_mill_levy = 0,full_funding_mill_levy = 137.733,state_funding = 8697123.682 WHERE district_number = '2740' AND fiscal_year = 20222023;</v>
      </c>
    </row>
    <row r="145" spans="1:28" x14ac:dyDescent="0.25">
      <c r="A145" s="263" t="s">
        <v>399</v>
      </c>
      <c r="B145" s="270" t="s">
        <v>395</v>
      </c>
      <c r="C145" s="271" t="s">
        <v>400</v>
      </c>
      <c r="D145" s="344">
        <v>43507977</v>
      </c>
      <c r="E145" s="344">
        <v>0</v>
      </c>
      <c r="F145" s="344">
        <v>43507977</v>
      </c>
      <c r="G145" s="343">
        <v>0</v>
      </c>
      <c r="H145" s="265">
        <v>27</v>
      </c>
      <c r="I145" s="266">
        <v>0</v>
      </c>
      <c r="J145" s="264">
        <v>27</v>
      </c>
      <c r="K145" s="267">
        <v>0</v>
      </c>
      <c r="L145" s="268">
        <v>0</v>
      </c>
      <c r="M145" s="267">
        <v>0</v>
      </c>
      <c r="N145" s="264">
        <v>0</v>
      </c>
      <c r="O145" s="356">
        <v>1.724</v>
      </c>
      <c r="P145" s="267">
        <v>0</v>
      </c>
      <c r="Q145" s="269">
        <v>28.724</v>
      </c>
      <c r="R145" s="266">
        <v>8.9169999999999998</v>
      </c>
      <c r="S145" s="268">
        <v>0</v>
      </c>
      <c r="T145" s="268">
        <v>0</v>
      </c>
      <c r="U145" s="268">
        <v>0</v>
      </c>
      <c r="V145" s="268">
        <v>0</v>
      </c>
      <c r="W145" s="266">
        <v>37.640999999999998</v>
      </c>
      <c r="X145" s="344">
        <v>95.088999999999999</v>
      </c>
      <c r="Y145" s="344">
        <v>4387336.93</v>
      </c>
      <c r="Z145" s="344">
        <v>3076004.611</v>
      </c>
      <c r="AB145" s="205" t="str">
        <f t="shared" si="3"/>
        <v>UPDATE mill_levy SET cert_per_hb201418 = 27,cert_hb201418_tax_credit = 0,certified_catbuy_mill_levy = 0,cert_tot_prog_reserve_fund = 0,certified_hh_mill_levy = 0,certified_override_mill_levy = 1.724,certified_abate_mill_levy = 0,certified_bond_mill_levy = 8.917,certified_transport_mill_levy = 0,certified_sbt_mill_levy = 0,cert_supp_cap_construction = 0,certified_other_mill_levy = 0,full_funding_mill_levy = 95.089,state_funding = 3076004.611 WHERE district_number = '2750' AND fiscal_year = 20222023;</v>
      </c>
    </row>
    <row r="146" spans="1:28" x14ac:dyDescent="0.25">
      <c r="A146" s="262" t="s">
        <v>401</v>
      </c>
      <c r="B146" s="263" t="s">
        <v>402</v>
      </c>
      <c r="C146" s="264" t="s">
        <v>403</v>
      </c>
      <c r="D146" s="344">
        <v>146368670</v>
      </c>
      <c r="E146" s="344">
        <v>0</v>
      </c>
      <c r="F146" s="344">
        <v>146368670</v>
      </c>
      <c r="G146" s="343">
        <v>41140.1</v>
      </c>
      <c r="H146" s="265">
        <v>27</v>
      </c>
      <c r="I146" s="266">
        <v>3.4140000000000001</v>
      </c>
      <c r="J146" s="264">
        <v>23.585999999999999</v>
      </c>
      <c r="K146" s="267">
        <v>0</v>
      </c>
      <c r="L146" s="268">
        <v>0</v>
      </c>
      <c r="M146" s="267">
        <v>0</v>
      </c>
      <c r="N146" s="264">
        <v>0</v>
      </c>
      <c r="O146" s="356">
        <v>6.1859999999999999</v>
      </c>
      <c r="P146" s="267">
        <v>0.28100000000000003</v>
      </c>
      <c r="Q146" s="269">
        <v>30.053000000000001</v>
      </c>
      <c r="R146" s="266">
        <v>13.288</v>
      </c>
      <c r="S146" s="268">
        <v>0</v>
      </c>
      <c r="T146" s="268">
        <v>0</v>
      </c>
      <c r="U146" s="268">
        <v>0</v>
      </c>
      <c r="V146" s="268">
        <v>0</v>
      </c>
      <c r="W146" s="266">
        <v>43.341000000000001</v>
      </c>
      <c r="X146" s="344">
        <v>35.36</v>
      </c>
      <c r="Y146" s="344">
        <v>5436646.9900000002</v>
      </c>
      <c r="Z146" s="344">
        <v>1774036.1293800005</v>
      </c>
      <c r="AB146" s="205" t="str">
        <f t="shared" si="3"/>
        <v>UPDATE mill_levy SET cert_per_hb201418 = 27,cert_hb201418_tax_credit = 3.414,certified_catbuy_mill_levy = 0,cert_tot_prog_reserve_fund = 0,certified_hh_mill_levy = 0,certified_override_mill_levy = 6.186,certified_abate_mill_levy = 0.281,certified_bond_mill_levy = 13.288,certified_transport_mill_levy = 0,certified_sbt_mill_levy = 0,cert_supp_cap_construction = 0,certified_other_mill_levy = 0,full_funding_mill_levy = 35.36,state_funding = 1774036.12938 WHERE district_number = '2760' AND fiscal_year = 20222023;</v>
      </c>
    </row>
    <row r="147" spans="1:28" x14ac:dyDescent="0.25">
      <c r="A147" s="277" t="s">
        <v>404</v>
      </c>
      <c r="B147" s="263" t="s">
        <v>402</v>
      </c>
      <c r="C147" s="264" t="s">
        <v>405</v>
      </c>
      <c r="D147" s="344">
        <v>1810377900</v>
      </c>
      <c r="E147" s="344">
        <v>93538024</v>
      </c>
      <c r="F147" s="344">
        <v>1716839876</v>
      </c>
      <c r="G147" s="343">
        <v>58373</v>
      </c>
      <c r="H147" s="265">
        <v>9.3989999999999991</v>
      </c>
      <c r="I147" s="266">
        <v>0</v>
      </c>
      <c r="J147" s="264">
        <v>6.2629999999999999</v>
      </c>
      <c r="K147" s="267">
        <v>0</v>
      </c>
      <c r="L147" s="268">
        <v>0</v>
      </c>
      <c r="M147" s="267">
        <v>0.62</v>
      </c>
      <c r="N147" s="264">
        <v>0</v>
      </c>
      <c r="O147" s="356">
        <v>3.359</v>
      </c>
      <c r="P147" s="267">
        <v>3.4000000000000002E-2</v>
      </c>
      <c r="Q147" s="269">
        <v>10.276</v>
      </c>
      <c r="R147" s="266">
        <v>5.4509999999999996</v>
      </c>
      <c r="S147" s="268">
        <v>0</v>
      </c>
      <c r="T147" s="268">
        <v>0</v>
      </c>
      <c r="U147" s="268">
        <v>1.1459999999999999</v>
      </c>
      <c r="V147" s="268">
        <v>0</v>
      </c>
      <c r="W147" s="266">
        <v>16.873000000000001</v>
      </c>
      <c r="X147" s="344">
        <v>16.143999999999998</v>
      </c>
      <c r="Y147" s="344">
        <v>27155838.059999999</v>
      </c>
      <c r="Z147" s="344">
        <v>16280767.935728</v>
      </c>
      <c r="AB147" s="205" t="str">
        <f t="shared" si="3"/>
        <v>UPDATE mill_levy SET cert_per_hb201418 = 9.399,cert_hb201418_tax_credit = 0,certified_catbuy_mill_levy = 0,cert_tot_prog_reserve_fund = 0,certified_hh_mill_levy = 0.62,certified_override_mill_levy = 3.359,certified_abate_mill_levy = 0.034,certified_bond_mill_levy = 5.451,certified_transport_mill_levy = 0,certified_sbt_mill_levy = 0,cert_supp_cap_construction = 1.146,certified_other_mill_levy = 0,full_funding_mill_levy = 16.144,state_funding = 16280767.935728 WHERE district_number = '2770' AND fiscal_year = 20222023;</v>
      </c>
    </row>
    <row r="148" spans="1:28" x14ac:dyDescent="0.25">
      <c r="A148" s="277" t="s">
        <v>406</v>
      </c>
      <c r="B148" s="263" t="s">
        <v>402</v>
      </c>
      <c r="C148" s="264" t="s">
        <v>407</v>
      </c>
      <c r="D148" s="344">
        <v>132961590</v>
      </c>
      <c r="E148" s="344">
        <v>0</v>
      </c>
      <c r="F148" s="344">
        <v>132961590</v>
      </c>
      <c r="G148" s="343">
        <v>8036.54</v>
      </c>
      <c r="H148" s="265">
        <v>21.283000000000001</v>
      </c>
      <c r="I148" s="266">
        <v>0</v>
      </c>
      <c r="J148" s="264">
        <v>21.283000000000001</v>
      </c>
      <c r="K148" s="267">
        <v>0</v>
      </c>
      <c r="L148" s="268">
        <v>0</v>
      </c>
      <c r="M148" s="267">
        <v>0</v>
      </c>
      <c r="N148" s="264">
        <v>0</v>
      </c>
      <c r="O148" s="356">
        <v>8.8610000000000007</v>
      </c>
      <c r="P148" s="267">
        <v>6.0999999999999999E-2</v>
      </c>
      <c r="Q148" s="269">
        <v>30.204999999999998</v>
      </c>
      <c r="R148" s="266">
        <v>0</v>
      </c>
      <c r="S148" s="268">
        <v>2.0699999999999998</v>
      </c>
      <c r="T148" s="268">
        <v>0</v>
      </c>
      <c r="U148" s="268">
        <v>7.0410000000000004</v>
      </c>
      <c r="V148" s="268">
        <v>0</v>
      </c>
      <c r="W148" s="266">
        <v>39.316000000000003</v>
      </c>
      <c r="X148" s="344">
        <v>32.368000000000002</v>
      </c>
      <c r="Y148" s="344">
        <v>4621231.07</v>
      </c>
      <c r="Z148" s="344">
        <v>1594245.0200300005</v>
      </c>
      <c r="AB148" s="205" t="str">
        <f t="shared" si="3"/>
        <v>UPDATE mill_levy SET cert_per_hb201418 = 21.283,cert_hb201418_tax_credit = 0,certified_catbuy_mill_levy = 0,cert_tot_prog_reserve_fund = 0,certified_hh_mill_levy = 0,certified_override_mill_levy = 8.861,certified_abate_mill_levy = 0.061,certified_bond_mill_levy = 0,certified_transport_mill_levy = 2.07,certified_sbt_mill_levy = 0,cert_supp_cap_construction = 7.041,certified_other_mill_levy = 0,full_funding_mill_levy = 32.368,state_funding = 1594245.02003 WHERE district_number = '2780' AND fiscal_year = 20222023;</v>
      </c>
    </row>
    <row r="149" spans="1:28" x14ac:dyDescent="0.25">
      <c r="A149" s="262" t="s">
        <v>408</v>
      </c>
      <c r="B149" s="263" t="s">
        <v>409</v>
      </c>
      <c r="C149" s="264" t="s">
        <v>410</v>
      </c>
      <c r="D149" s="344">
        <v>31922569</v>
      </c>
      <c r="E149" s="344">
        <v>0</v>
      </c>
      <c r="F149" s="344">
        <v>31922569</v>
      </c>
      <c r="G149" s="343">
        <v>0</v>
      </c>
      <c r="H149" s="265">
        <v>27</v>
      </c>
      <c r="I149" s="266">
        <v>0.442</v>
      </c>
      <c r="J149" s="264">
        <v>26.558</v>
      </c>
      <c r="K149" s="267">
        <v>0</v>
      </c>
      <c r="L149" s="268">
        <v>0</v>
      </c>
      <c r="M149" s="267">
        <v>0</v>
      </c>
      <c r="N149" s="264">
        <v>0</v>
      </c>
      <c r="O149" s="356">
        <v>0</v>
      </c>
      <c r="P149" s="267">
        <v>0</v>
      </c>
      <c r="Q149" s="269">
        <v>26.558</v>
      </c>
      <c r="R149" s="266">
        <v>9.0839999999999996</v>
      </c>
      <c r="S149" s="268">
        <v>0</v>
      </c>
      <c r="T149" s="268">
        <v>0</v>
      </c>
      <c r="U149" s="268">
        <v>0</v>
      </c>
      <c r="V149" s="268">
        <v>0</v>
      </c>
      <c r="W149" s="266">
        <v>35.642000000000003</v>
      </c>
      <c r="X149" s="344">
        <v>86.236999999999995</v>
      </c>
      <c r="Y149" s="344">
        <v>3121706.87</v>
      </c>
      <c r="Z149" s="344">
        <v>2173353.0224980004</v>
      </c>
      <c r="AB149" s="205" t="str">
        <f t="shared" si="3"/>
        <v>UPDATE mill_levy SET cert_per_hb201418 = 27,cert_hb201418_tax_credit = 0.442,certified_catbuy_mill_levy = 0,cert_tot_prog_reserve_fund = 0,certified_hh_mill_levy = 0,certified_override_mill_levy = 0,certified_abate_mill_levy = 0,certified_bond_mill_levy = 9.084,certified_transport_mill_levy = 0,certified_sbt_mill_levy = 0,cert_supp_cap_construction = 0,certified_other_mill_levy = 0,full_funding_mill_levy = 86.237,state_funding = 2173353.022498 WHERE district_number = '2790' AND fiscal_year = 20222023;</v>
      </c>
    </row>
    <row r="150" spans="1:28" x14ac:dyDescent="0.25">
      <c r="A150" s="262" t="s">
        <v>411</v>
      </c>
      <c r="B150" s="263" t="s">
        <v>409</v>
      </c>
      <c r="C150" s="264" t="s">
        <v>327</v>
      </c>
      <c r="D150" s="344">
        <v>43836381</v>
      </c>
      <c r="E150" s="344">
        <v>0</v>
      </c>
      <c r="F150" s="344">
        <v>43836381</v>
      </c>
      <c r="G150" s="343">
        <v>6423.2</v>
      </c>
      <c r="H150" s="265">
        <v>27</v>
      </c>
      <c r="I150" s="266">
        <v>0</v>
      </c>
      <c r="J150" s="264">
        <v>27</v>
      </c>
      <c r="K150" s="267">
        <v>0</v>
      </c>
      <c r="L150" s="268">
        <v>0</v>
      </c>
      <c r="M150" s="267">
        <v>0</v>
      </c>
      <c r="N150" s="264">
        <v>0</v>
      </c>
      <c r="O150" s="356">
        <v>4.5620000000000003</v>
      </c>
      <c r="P150" s="267">
        <v>0.14699999999999999</v>
      </c>
      <c r="Q150" s="269">
        <v>31.709</v>
      </c>
      <c r="R150" s="266">
        <v>9.1</v>
      </c>
      <c r="S150" s="268">
        <v>0</v>
      </c>
      <c r="T150" s="268">
        <v>0</v>
      </c>
      <c r="U150" s="268">
        <v>0</v>
      </c>
      <c r="V150" s="268">
        <v>0</v>
      </c>
      <c r="W150" s="266">
        <v>40.808999999999997</v>
      </c>
      <c r="X150" s="344">
        <v>76.787999999999997</v>
      </c>
      <c r="Y150" s="344">
        <v>3785293.44</v>
      </c>
      <c r="Z150" s="344">
        <v>2475460.0129999998</v>
      </c>
      <c r="AB150" s="205" t="str">
        <f t="shared" si="3"/>
        <v>UPDATE mill_levy SET cert_per_hb201418 = 27,cert_hb201418_tax_credit = 0,certified_catbuy_mill_levy = 0,cert_tot_prog_reserve_fund = 0,certified_hh_mill_levy = 0,certified_override_mill_levy = 4.562,certified_abate_mill_levy = 0.147,certified_bond_mill_levy = 9.1,certified_transport_mill_levy = 0,certified_sbt_mill_levy = 0,cert_supp_cap_construction = 0,certified_other_mill_levy = 0,full_funding_mill_levy = 76.788,state_funding = 2475460.013 WHERE district_number = '2800' AND fiscal_year = 20222023;</v>
      </c>
    </row>
    <row r="151" spans="1:28" x14ac:dyDescent="0.25">
      <c r="A151" s="262" t="s">
        <v>412</v>
      </c>
      <c r="B151" s="263" t="s">
        <v>409</v>
      </c>
      <c r="C151" s="264" t="s">
        <v>413</v>
      </c>
      <c r="D151" s="344">
        <v>41140841</v>
      </c>
      <c r="E151" s="344">
        <v>0</v>
      </c>
      <c r="F151" s="344">
        <v>41140841</v>
      </c>
      <c r="G151" s="343">
        <v>4874.3999999999996</v>
      </c>
      <c r="H151" s="265">
        <v>27</v>
      </c>
      <c r="I151" s="266">
        <v>0</v>
      </c>
      <c r="J151" s="264">
        <v>27</v>
      </c>
      <c r="K151" s="267">
        <v>0</v>
      </c>
      <c r="L151" s="268">
        <v>0</v>
      </c>
      <c r="M151" s="267">
        <v>0</v>
      </c>
      <c r="N151" s="264">
        <v>0</v>
      </c>
      <c r="O151" s="356">
        <v>0</v>
      </c>
      <c r="P151" s="267">
        <v>0.11799999999999999</v>
      </c>
      <c r="Q151" s="269">
        <v>27.117999999999999</v>
      </c>
      <c r="R151" s="266">
        <v>10.417</v>
      </c>
      <c r="S151" s="268">
        <v>0</v>
      </c>
      <c r="T151" s="268">
        <v>0</v>
      </c>
      <c r="U151" s="268">
        <v>0</v>
      </c>
      <c r="V151" s="268">
        <v>0</v>
      </c>
      <c r="W151" s="266">
        <v>37.534999999999997</v>
      </c>
      <c r="X151" s="344">
        <v>160.63999999999999</v>
      </c>
      <c r="Y151" s="344">
        <v>7055011.7599999998</v>
      </c>
      <c r="Z151" s="344">
        <v>5765704.5529999994</v>
      </c>
      <c r="AB151" s="205" t="str">
        <f t="shared" si="3"/>
        <v>UPDATE mill_levy SET cert_per_hb201418 = 27,cert_hb201418_tax_credit = 0,certified_catbuy_mill_levy = 0,cert_tot_prog_reserve_fund = 0,certified_hh_mill_levy = 0,certified_override_mill_levy = 0,certified_abate_mill_levy = 0.118,certified_bond_mill_levy = 10.417,certified_transport_mill_levy = 0,certified_sbt_mill_levy = 0,cert_supp_cap_construction = 0,certified_other_mill_levy = 0,full_funding_mill_levy = 160.64,state_funding = 5765704.553 WHERE district_number = '2810' AND fiscal_year = 20222023;</v>
      </c>
    </row>
    <row r="152" spans="1:28" x14ac:dyDescent="0.25">
      <c r="A152" s="263" t="s">
        <v>414</v>
      </c>
      <c r="B152" s="263" t="s">
        <v>415</v>
      </c>
      <c r="C152" s="264" t="s">
        <v>416</v>
      </c>
      <c r="D152" s="344">
        <v>74138172</v>
      </c>
      <c r="E152" s="344">
        <v>0</v>
      </c>
      <c r="F152" s="344">
        <v>74138172</v>
      </c>
      <c r="G152" s="343">
        <v>57.06</v>
      </c>
      <c r="H152" s="265">
        <v>15.009</v>
      </c>
      <c r="I152" s="266">
        <v>1.044</v>
      </c>
      <c r="J152" s="264">
        <v>13.965</v>
      </c>
      <c r="K152" s="267">
        <v>0</v>
      </c>
      <c r="L152" s="268">
        <v>0</v>
      </c>
      <c r="M152" s="267">
        <v>0.26800000000000002</v>
      </c>
      <c r="N152" s="264">
        <v>0</v>
      </c>
      <c r="O152" s="356">
        <v>0</v>
      </c>
      <c r="P152" s="267">
        <v>1E-3</v>
      </c>
      <c r="Q152" s="269">
        <v>14.234</v>
      </c>
      <c r="R152" s="266">
        <v>1.25</v>
      </c>
      <c r="S152" s="268">
        <v>0</v>
      </c>
      <c r="T152" s="268">
        <v>0</v>
      </c>
      <c r="U152" s="268">
        <v>0</v>
      </c>
      <c r="V152" s="268">
        <v>0</v>
      </c>
      <c r="W152" s="266">
        <v>15.484</v>
      </c>
      <c r="X152" s="344">
        <v>23.013999999999999</v>
      </c>
      <c r="Y152" s="344">
        <v>1711838.53</v>
      </c>
      <c r="Z152" s="344">
        <v>635529.06802000001</v>
      </c>
      <c r="AB152" s="205" t="str">
        <f t="shared" si="3"/>
        <v>UPDATE mill_levy SET cert_per_hb201418 = 15.009,cert_hb201418_tax_credit = 1.044,certified_catbuy_mill_levy = 0,cert_tot_prog_reserve_fund = 0,certified_hh_mill_levy = 0.268,certified_override_mill_levy = 0,certified_abate_mill_levy = 0.001,certified_bond_mill_levy = 1.25,certified_transport_mill_levy = 0,certified_sbt_mill_levy = 0,cert_supp_cap_construction = 0,certified_other_mill_levy = 0,full_funding_mill_levy = 23.014,state_funding = 635529.06802 WHERE district_number = '2820' AND fiscal_year = 20222023;</v>
      </c>
    </row>
    <row r="153" spans="1:28" x14ac:dyDescent="0.25">
      <c r="A153" s="262" t="s">
        <v>417</v>
      </c>
      <c r="B153" s="263" t="s">
        <v>418</v>
      </c>
      <c r="C153" s="264" t="s">
        <v>419</v>
      </c>
      <c r="D153" s="344">
        <v>1212428933</v>
      </c>
      <c r="E153" s="344">
        <v>0</v>
      </c>
      <c r="F153" s="344">
        <v>1212428933</v>
      </c>
      <c r="G153" s="343">
        <v>131319.85</v>
      </c>
      <c r="H153" s="265">
        <v>7.2809999999999997</v>
      </c>
      <c r="I153" s="266">
        <v>0</v>
      </c>
      <c r="J153" s="264">
        <v>7.2809999999999997</v>
      </c>
      <c r="K153" s="267">
        <v>0</v>
      </c>
      <c r="L153" s="268">
        <v>0</v>
      </c>
      <c r="M153" s="267">
        <v>0</v>
      </c>
      <c r="N153" s="264">
        <v>0</v>
      </c>
      <c r="O153" s="356">
        <v>2.9359999999999999</v>
      </c>
      <c r="P153" s="267">
        <v>0.108</v>
      </c>
      <c r="Q153" s="269">
        <v>10.324999999999999</v>
      </c>
      <c r="R153" s="266">
        <v>3.1840000000000002</v>
      </c>
      <c r="S153" s="268">
        <v>0.24399999999999999</v>
      </c>
      <c r="T153" s="268">
        <v>0</v>
      </c>
      <c r="U153" s="268">
        <v>0</v>
      </c>
      <c r="V153" s="268">
        <v>0</v>
      </c>
      <c r="W153" s="266">
        <v>13.753</v>
      </c>
      <c r="X153" s="344">
        <v>9.9</v>
      </c>
      <c r="Y153" s="344">
        <v>12292600.369999999</v>
      </c>
      <c r="Z153" s="344">
        <v>3142682.2188269999</v>
      </c>
      <c r="AB153" s="205" t="str">
        <f t="shared" si="3"/>
        <v>UPDATE mill_levy SET cert_per_hb201418 = 7.281,cert_hb201418_tax_credit = 0,certified_catbuy_mill_levy = 0,cert_tot_prog_reserve_fund = 0,certified_hh_mill_levy = 0,certified_override_mill_levy = 2.936,certified_abate_mill_levy = 0.108,certified_bond_mill_levy = 3.184,certified_transport_mill_levy = 0.244,certified_sbt_mill_levy = 0,cert_supp_cap_construction = 0,certified_other_mill_levy = 0,full_funding_mill_levy = 9.9,state_funding = 3142682.218827 WHERE district_number = '2830' AND fiscal_year = 20222023;</v>
      </c>
    </row>
    <row r="154" spans="1:28" x14ac:dyDescent="0.25">
      <c r="A154" s="263" t="s">
        <v>420</v>
      </c>
      <c r="B154" s="263" t="s">
        <v>418</v>
      </c>
      <c r="C154" s="264" t="s">
        <v>421</v>
      </c>
      <c r="D154" s="344">
        <v>53202541</v>
      </c>
      <c r="E154" s="344">
        <v>0</v>
      </c>
      <c r="F154" s="344">
        <v>53202541</v>
      </c>
      <c r="G154" s="343">
        <v>3736.71</v>
      </c>
      <c r="H154" s="265">
        <v>16.998999999999999</v>
      </c>
      <c r="I154" s="266">
        <v>10.089</v>
      </c>
      <c r="J154" s="264">
        <v>6.91</v>
      </c>
      <c r="K154" s="267">
        <v>0</v>
      </c>
      <c r="L154" s="268">
        <v>0</v>
      </c>
      <c r="M154" s="267">
        <v>0</v>
      </c>
      <c r="N154" s="264">
        <v>0</v>
      </c>
      <c r="O154" s="356">
        <v>8.0749999999999993</v>
      </c>
      <c r="P154" s="267">
        <v>7.0000000000000007E-2</v>
      </c>
      <c r="Q154" s="269">
        <v>15.055</v>
      </c>
      <c r="R154" s="266">
        <v>0</v>
      </c>
      <c r="S154" s="268">
        <v>0</v>
      </c>
      <c r="T154" s="268">
        <v>0</v>
      </c>
      <c r="U154" s="268">
        <v>0</v>
      </c>
      <c r="V154" s="268">
        <v>0</v>
      </c>
      <c r="W154" s="266">
        <v>15.055</v>
      </c>
      <c r="X154" s="344">
        <v>58.061999999999998</v>
      </c>
      <c r="Y154" s="344">
        <v>3309004.42</v>
      </c>
      <c r="Z154" s="344">
        <v>2922722.3816899997</v>
      </c>
      <c r="AB154" s="205" t="str">
        <f t="shared" si="3"/>
        <v>UPDATE mill_levy SET cert_per_hb201418 = 16.999,cert_hb201418_tax_credit = 10.089,certified_catbuy_mill_levy = 0,cert_tot_prog_reserve_fund = 0,certified_hh_mill_levy = 0,certified_override_mill_levy = 8.075,certified_abate_mill_levy = 0.07,certified_bond_mill_levy = 0,certified_transport_mill_levy = 0,certified_sbt_mill_levy = 0,cert_supp_cap_construction = 0,certified_other_mill_levy = 0,full_funding_mill_levy = 58.062,state_funding = 2922722.38169 WHERE district_number = '2840' AND fiscal_year = 20222023;</v>
      </c>
    </row>
    <row r="155" spans="1:28" x14ac:dyDescent="0.25">
      <c r="A155" s="262" t="s">
        <v>422</v>
      </c>
      <c r="B155" s="263" t="s">
        <v>423</v>
      </c>
      <c r="C155" s="264" t="s">
        <v>424</v>
      </c>
      <c r="D155" s="344">
        <v>30080423</v>
      </c>
      <c r="E155" s="344">
        <v>0</v>
      </c>
      <c r="F155" s="344">
        <v>30080423</v>
      </c>
      <c r="G155" s="343">
        <v>29118</v>
      </c>
      <c r="H155" s="265">
        <v>27</v>
      </c>
      <c r="I155" s="266">
        <v>0</v>
      </c>
      <c r="J155" s="264">
        <v>27</v>
      </c>
      <c r="K155" s="267">
        <v>0</v>
      </c>
      <c r="L155" s="268">
        <v>0</v>
      </c>
      <c r="M155" s="267">
        <v>0</v>
      </c>
      <c r="N155" s="264">
        <v>0</v>
      </c>
      <c r="O155" s="356">
        <v>0</v>
      </c>
      <c r="P155" s="267">
        <v>0.96799999999999997</v>
      </c>
      <c r="Q155" s="269">
        <v>27.968</v>
      </c>
      <c r="R155" s="266">
        <v>13.63</v>
      </c>
      <c r="S155" s="268">
        <v>0</v>
      </c>
      <c r="T155" s="268">
        <v>0</v>
      </c>
      <c r="U155" s="268">
        <v>0</v>
      </c>
      <c r="V155" s="268">
        <v>0</v>
      </c>
      <c r="W155" s="266">
        <v>41.597999999999999</v>
      </c>
      <c r="X155" s="344">
        <v>191.75200000000001</v>
      </c>
      <c r="Y155" s="344">
        <v>8203951.3600000003</v>
      </c>
      <c r="Z155" s="344">
        <v>7291690.5389999999</v>
      </c>
      <c r="AB155" s="205" t="str">
        <f t="shared" si="3"/>
        <v>UPDATE mill_levy SET cert_per_hb201418 = 27,cert_hb201418_tax_credit = 0,certified_catbuy_mill_levy = 0,cert_tot_prog_reserve_fund = 0,certified_hh_mill_levy = 0,certified_override_mill_levy = 0,certified_abate_mill_levy = 0.968,certified_bond_mill_levy = 13.63,certified_transport_mill_levy = 0,certified_sbt_mill_levy = 0,cert_supp_cap_construction = 0,certified_other_mill_levy = 0,full_funding_mill_levy = 191.752,state_funding = 7291690.539 WHERE district_number = '2862' AND fiscal_year = 20222023;</v>
      </c>
    </row>
    <row r="156" spans="1:28" x14ac:dyDescent="0.25">
      <c r="A156" s="262" t="s">
        <v>425</v>
      </c>
      <c r="B156" s="263" t="s">
        <v>423</v>
      </c>
      <c r="C156" s="264" t="s">
        <v>426</v>
      </c>
      <c r="D156" s="344">
        <v>27394549</v>
      </c>
      <c r="E156" s="344">
        <v>0</v>
      </c>
      <c r="F156" s="344">
        <v>27394549</v>
      </c>
      <c r="G156" s="343">
        <v>8684</v>
      </c>
      <c r="H156" s="265">
        <v>27</v>
      </c>
      <c r="I156" s="266">
        <v>1.0580000000000001</v>
      </c>
      <c r="J156" s="264">
        <v>25.942</v>
      </c>
      <c r="K156" s="267">
        <v>0</v>
      </c>
      <c r="L156" s="268">
        <v>0</v>
      </c>
      <c r="M156" s="267">
        <v>2.71</v>
      </c>
      <c r="N156" s="264">
        <v>0</v>
      </c>
      <c r="O156" s="356">
        <v>0</v>
      </c>
      <c r="P156" s="267">
        <v>0.317</v>
      </c>
      <c r="Q156" s="269">
        <v>28.969000000000001</v>
      </c>
      <c r="R156" s="266">
        <v>13</v>
      </c>
      <c r="S156" s="268">
        <v>0</v>
      </c>
      <c r="T156" s="268">
        <v>0</v>
      </c>
      <c r="U156" s="268">
        <v>0</v>
      </c>
      <c r="V156" s="268">
        <v>0</v>
      </c>
      <c r="W156" s="266">
        <v>41.969000000000001</v>
      </c>
      <c r="X156" s="344">
        <v>84.903999999999996</v>
      </c>
      <c r="Y156" s="344">
        <v>2521880.7200000002</v>
      </c>
      <c r="Z156" s="344">
        <v>1724256.5298420002</v>
      </c>
      <c r="AB156" s="205" t="str">
        <f t="shared" si="3"/>
        <v>UPDATE mill_levy SET cert_per_hb201418 = 27,cert_hb201418_tax_credit = 1.058,certified_catbuy_mill_levy = 0,cert_tot_prog_reserve_fund = 0,certified_hh_mill_levy = 2.71,certified_override_mill_levy = 0,certified_abate_mill_levy = 0.317,certified_bond_mill_levy = 13,certified_transport_mill_levy = 0,certified_sbt_mill_levy = 0,cert_supp_cap_construction = 0,certified_other_mill_levy = 0,full_funding_mill_levy = 84.904,state_funding = 1724256.529842 WHERE district_number = '2865' AND fiscal_year = 20222023;</v>
      </c>
    </row>
    <row r="157" spans="1:28" x14ac:dyDescent="0.25">
      <c r="A157" s="277" t="s">
        <v>427</v>
      </c>
      <c r="B157" s="263" t="s">
        <v>428</v>
      </c>
      <c r="C157" s="264" t="s">
        <v>428</v>
      </c>
      <c r="D157" s="344">
        <v>3443140260</v>
      </c>
      <c r="E157" s="344">
        <v>61950660</v>
      </c>
      <c r="F157" s="344">
        <v>3381189600</v>
      </c>
      <c r="G157" s="343">
        <v>43585</v>
      </c>
      <c r="H157" s="265">
        <v>10.666</v>
      </c>
      <c r="I157" s="266">
        <v>0</v>
      </c>
      <c r="J157" s="264">
        <v>10.666</v>
      </c>
      <c r="K157" s="267">
        <v>0</v>
      </c>
      <c r="L157" s="268">
        <v>0</v>
      </c>
      <c r="M157" s="267">
        <v>0.436</v>
      </c>
      <c r="N157" s="264">
        <v>0</v>
      </c>
      <c r="O157" s="356">
        <v>1.8140000000000001</v>
      </c>
      <c r="P157" s="267">
        <v>1.2999999999999999E-2</v>
      </c>
      <c r="Q157" s="269">
        <v>12.929</v>
      </c>
      <c r="R157" s="266">
        <v>2.7149999999999999</v>
      </c>
      <c r="S157" s="268">
        <v>0.26</v>
      </c>
      <c r="T157" s="268">
        <v>0</v>
      </c>
      <c r="U157" s="268">
        <v>1</v>
      </c>
      <c r="V157" s="268">
        <v>0</v>
      </c>
      <c r="W157" s="266">
        <v>16.904</v>
      </c>
      <c r="X157" s="344">
        <v>10.648</v>
      </c>
      <c r="Y157" s="344">
        <v>38950284.060000002</v>
      </c>
      <c r="Z157" s="344">
        <v>1408539.8964000053</v>
      </c>
      <c r="AB157" s="205" t="str">
        <f t="shared" si="3"/>
        <v>UPDATE mill_levy SET cert_per_hb201418 = 10.666,cert_hb201418_tax_credit = 0,certified_catbuy_mill_levy = 0,cert_tot_prog_reserve_fund = 0,certified_hh_mill_levy = 0.436,certified_override_mill_levy = 1.814,certified_abate_mill_levy = 0.013,certified_bond_mill_levy = 2.715,certified_transport_mill_levy = 0.26,certified_sbt_mill_levy = 0,cert_supp_cap_construction = 1,certified_other_mill_levy = 0,full_funding_mill_levy = 10.648,state_funding = 1408539.89640001 WHERE district_number = '3000' AND fiscal_year = 20222023;</v>
      </c>
    </row>
    <row r="158" spans="1:28" x14ac:dyDescent="0.25">
      <c r="A158" s="262" t="s">
        <v>429</v>
      </c>
      <c r="B158" s="263" t="s">
        <v>430</v>
      </c>
      <c r="C158" s="264" t="s">
        <v>431</v>
      </c>
      <c r="D158" s="344">
        <v>430836860</v>
      </c>
      <c r="E158" s="344">
        <v>0</v>
      </c>
      <c r="F158" s="344">
        <v>430836860</v>
      </c>
      <c r="G158" s="343">
        <v>4308</v>
      </c>
      <c r="H158" s="265">
        <v>9.6240000000000006</v>
      </c>
      <c r="I158" s="266">
        <v>0</v>
      </c>
      <c r="J158" s="264">
        <v>9.2579999999999991</v>
      </c>
      <c r="K158" s="267">
        <v>0.36599999999999999</v>
      </c>
      <c r="L158" s="374">
        <v>0</v>
      </c>
      <c r="M158" s="267">
        <v>0</v>
      </c>
      <c r="N158" s="264">
        <v>0</v>
      </c>
      <c r="O158" s="356">
        <v>1.327</v>
      </c>
      <c r="P158" s="267">
        <v>0.01</v>
      </c>
      <c r="Q158" s="269">
        <v>10.961</v>
      </c>
      <c r="R158" s="266">
        <v>2.3250000000000002</v>
      </c>
      <c r="S158" s="268">
        <v>0</v>
      </c>
      <c r="T158" s="268">
        <v>0</v>
      </c>
      <c r="U158" s="268">
        <v>0</v>
      </c>
      <c r="V158" s="268">
        <v>0</v>
      </c>
      <c r="W158" s="266">
        <v>13.286</v>
      </c>
      <c r="X158" s="344">
        <v>9.2579999999999991</v>
      </c>
      <c r="Y158" s="344">
        <v>4468822.58</v>
      </c>
      <c r="Z158" s="344">
        <v>3.3000005641952157E-3</v>
      </c>
      <c r="AB158" s="205" t="str">
        <f t="shared" si="3"/>
        <v>UPDATE mill_levy SET cert_per_hb201418 = 9.624,cert_hb201418_tax_credit = 0,certified_catbuy_mill_levy = 0.366,cert_tot_prog_reserve_fund = 0,certified_hh_mill_levy = 0,certified_override_mill_levy = 1.327,certified_abate_mill_levy = 0.01,certified_bond_mill_levy = 2.325,certified_transport_mill_levy = 0,certified_sbt_mill_levy = 0,cert_supp_cap_construction = 0,certified_other_mill_levy = 0,full_funding_mill_levy = 9.258,state_funding = 0.00330000056419522 WHERE district_number = '3010' AND fiscal_year = 20222023;</v>
      </c>
    </row>
    <row r="159" spans="1:28" x14ac:dyDescent="0.25">
      <c r="A159" s="262" t="s">
        <v>432</v>
      </c>
      <c r="B159" s="263" t="s">
        <v>430</v>
      </c>
      <c r="C159" s="264" t="s">
        <v>433</v>
      </c>
      <c r="D159" s="344">
        <v>425351880</v>
      </c>
      <c r="E159" s="344">
        <v>12695714</v>
      </c>
      <c r="F159" s="344">
        <v>412656166</v>
      </c>
      <c r="G159" s="343">
        <v>8055</v>
      </c>
      <c r="H159" s="265">
        <v>27</v>
      </c>
      <c r="I159" s="266">
        <v>1.45</v>
      </c>
      <c r="J159" s="264">
        <v>25.55</v>
      </c>
      <c r="K159" s="267">
        <v>0</v>
      </c>
      <c r="L159" s="268">
        <v>0</v>
      </c>
      <c r="M159" s="267">
        <v>0</v>
      </c>
      <c r="N159" s="264">
        <v>0</v>
      </c>
      <c r="O159" s="356">
        <v>2.6659999999999999</v>
      </c>
      <c r="P159" s="267">
        <v>0.02</v>
      </c>
      <c r="Q159" s="269">
        <v>28.236000000000001</v>
      </c>
      <c r="R159" s="266">
        <v>0</v>
      </c>
      <c r="S159" s="268">
        <v>0</v>
      </c>
      <c r="T159" s="268">
        <v>0</v>
      </c>
      <c r="U159" s="268">
        <v>0</v>
      </c>
      <c r="V159" s="268">
        <v>0</v>
      </c>
      <c r="W159" s="266">
        <v>28.236000000000001</v>
      </c>
      <c r="X159" s="344">
        <v>47.796999999999997</v>
      </c>
      <c r="Y159" s="344">
        <v>21648521.800000001</v>
      </c>
      <c r="Z159" s="344">
        <v>10231732.308700001</v>
      </c>
      <c r="AB159" s="205" t="str">
        <f t="shared" si="3"/>
        <v>UPDATE mill_levy SET cert_per_hb201418 = 27,cert_hb201418_tax_credit = 1.45,certified_catbuy_mill_levy = 0,cert_tot_prog_reserve_fund = 0,certified_hh_mill_levy = 0,certified_override_mill_levy = 2.666,certified_abate_mill_levy = 0.02,certified_bond_mill_levy = 0,certified_transport_mill_levy = 0,certified_sbt_mill_levy = 0,cert_supp_cap_construction = 0,certified_other_mill_levy = 0,full_funding_mill_levy = 47.797,state_funding = 10231732.3087 WHERE district_number = '3020' AND fiscal_year = 20222023;</v>
      </c>
    </row>
    <row r="160" spans="1:28" x14ac:dyDescent="0.25">
      <c r="A160" s="262" t="s">
        <v>434</v>
      </c>
      <c r="B160" s="263" t="s">
        <v>435</v>
      </c>
      <c r="C160" s="264" t="s">
        <v>436</v>
      </c>
      <c r="D160" s="344">
        <v>49472189</v>
      </c>
      <c r="E160" s="344">
        <v>0</v>
      </c>
      <c r="F160" s="344">
        <v>49472189</v>
      </c>
      <c r="G160" s="343">
        <v>7334.23</v>
      </c>
      <c r="H160" s="265">
        <v>27</v>
      </c>
      <c r="I160" s="266">
        <v>0</v>
      </c>
      <c r="J160" s="264">
        <v>27</v>
      </c>
      <c r="K160" s="267">
        <v>0</v>
      </c>
      <c r="L160" s="268">
        <v>0</v>
      </c>
      <c r="M160" s="267">
        <v>0</v>
      </c>
      <c r="N160" s="264">
        <v>0</v>
      </c>
      <c r="O160" s="356">
        <v>0</v>
      </c>
      <c r="P160" s="267">
        <v>0.14099999999999999</v>
      </c>
      <c r="Q160" s="269">
        <v>27.140999999999998</v>
      </c>
      <c r="R160" s="266">
        <v>9.86</v>
      </c>
      <c r="S160" s="268">
        <v>0</v>
      </c>
      <c r="T160" s="268">
        <v>0</v>
      </c>
      <c r="U160" s="268">
        <v>0</v>
      </c>
      <c r="V160" s="268">
        <v>0</v>
      </c>
      <c r="W160" s="266">
        <v>37.000999999999998</v>
      </c>
      <c r="X160" s="344">
        <v>99.549000000000007</v>
      </c>
      <c r="Y160" s="344">
        <v>5141145.6500000004</v>
      </c>
      <c r="Z160" s="344">
        <v>3656738.2670000005</v>
      </c>
      <c r="AB160" s="205" t="str">
        <f t="shared" si="3"/>
        <v>UPDATE mill_levy SET cert_per_hb201418 = 27,cert_hb201418_tax_credit = 0,certified_catbuy_mill_levy = 0,cert_tot_prog_reserve_fund = 0,certified_hh_mill_levy = 0,certified_override_mill_levy = 0,certified_abate_mill_levy = 0.141,certified_bond_mill_levy = 9.86,certified_transport_mill_levy = 0,certified_sbt_mill_levy = 0,cert_supp_cap_construction = 0,certified_other_mill_levy = 0,full_funding_mill_levy = 99.549,state_funding = 3656738.267 WHERE district_number = '3030' AND fiscal_year = 20222023;</v>
      </c>
    </row>
    <row r="161" spans="1:28" x14ac:dyDescent="0.25">
      <c r="A161" s="262" t="s">
        <v>437</v>
      </c>
      <c r="B161" s="263" t="s">
        <v>435</v>
      </c>
      <c r="C161" s="264" t="s">
        <v>438</v>
      </c>
      <c r="D161" s="344">
        <v>32866252</v>
      </c>
      <c r="E161" s="344">
        <v>0</v>
      </c>
      <c r="F161" s="344">
        <v>32866252</v>
      </c>
      <c r="G161" s="343">
        <v>4539</v>
      </c>
      <c r="H161" s="265">
        <v>27</v>
      </c>
      <c r="I161" s="266">
        <v>9.8190000000000008</v>
      </c>
      <c r="J161" s="264">
        <v>17.181000000000001</v>
      </c>
      <c r="K161" s="267">
        <v>0</v>
      </c>
      <c r="L161" s="268">
        <v>0</v>
      </c>
      <c r="M161" s="267">
        <v>0.23799999999999999</v>
      </c>
      <c r="N161" s="264">
        <v>0</v>
      </c>
      <c r="O161" s="356">
        <v>7.6070000000000002</v>
      </c>
      <c r="P161" s="267">
        <v>0.13800000000000001</v>
      </c>
      <c r="Q161" s="269">
        <v>25.164000000000001</v>
      </c>
      <c r="R161" s="266">
        <v>0</v>
      </c>
      <c r="S161" s="268">
        <v>0</v>
      </c>
      <c r="T161" s="268">
        <v>0</v>
      </c>
      <c r="U161" s="268">
        <v>0</v>
      </c>
      <c r="V161" s="268">
        <v>0</v>
      </c>
      <c r="W161" s="266">
        <v>25.164000000000001</v>
      </c>
      <c r="X161" s="344">
        <v>52.533000000000001</v>
      </c>
      <c r="Y161" s="344">
        <v>1830828.57</v>
      </c>
      <c r="Z161" s="344">
        <v>1205060.9443880001</v>
      </c>
      <c r="AB161" s="205" t="str">
        <f t="shared" si="3"/>
        <v>UPDATE mill_levy SET cert_per_hb201418 = 27,cert_hb201418_tax_credit = 9.819,certified_catbuy_mill_levy = 0,cert_tot_prog_reserve_fund = 0,certified_hh_mill_levy = 0.238,certified_override_mill_levy = 7.607,certified_abate_mill_levy = 0.138,certified_bond_mill_levy = 0,certified_transport_mill_levy = 0,certified_sbt_mill_levy = 0,cert_supp_cap_construction = 0,certified_other_mill_levy = 0,full_funding_mill_levy = 52.533,state_funding = 1205060.944388 WHERE district_number = '3040' AND fiscal_year = 20222023;</v>
      </c>
    </row>
    <row r="162" spans="1:28" x14ac:dyDescent="0.25">
      <c r="A162" s="262" t="s">
        <v>439</v>
      </c>
      <c r="B162" s="263" t="s">
        <v>435</v>
      </c>
      <c r="C162" s="264" t="s">
        <v>440</v>
      </c>
      <c r="D162" s="344">
        <v>22633247</v>
      </c>
      <c r="E162" s="344">
        <v>0</v>
      </c>
      <c r="F162" s="344">
        <v>22633247</v>
      </c>
      <c r="G162" s="343">
        <v>2491.73</v>
      </c>
      <c r="H162" s="265">
        <v>27</v>
      </c>
      <c r="I162" s="266">
        <v>0</v>
      </c>
      <c r="J162" s="264">
        <v>27</v>
      </c>
      <c r="K162" s="267">
        <v>0</v>
      </c>
      <c r="L162" s="268">
        <v>0</v>
      </c>
      <c r="M162" s="267">
        <v>0</v>
      </c>
      <c r="N162" s="264">
        <v>0</v>
      </c>
      <c r="O162" s="356">
        <v>0</v>
      </c>
      <c r="P162" s="267">
        <v>0</v>
      </c>
      <c r="Q162" s="269">
        <v>27</v>
      </c>
      <c r="R162" s="266">
        <v>7.069</v>
      </c>
      <c r="S162" s="268">
        <v>0</v>
      </c>
      <c r="T162" s="268">
        <v>0</v>
      </c>
      <c r="U162" s="268">
        <v>0</v>
      </c>
      <c r="V162" s="268">
        <v>0</v>
      </c>
      <c r="W162" s="266">
        <v>34.069000000000003</v>
      </c>
      <c r="X162" s="344">
        <v>144.59</v>
      </c>
      <c r="Y162" s="344">
        <v>3407783.14</v>
      </c>
      <c r="Z162" s="344">
        <v>2730192.4909999999</v>
      </c>
      <c r="AB162" s="205" t="str">
        <f t="shared" si="3"/>
        <v>UPDATE mill_levy SET cert_per_hb201418 = 27,cert_hb201418_tax_credit = 0,certified_catbuy_mill_levy = 0,cert_tot_prog_reserve_fund = 0,certified_hh_mill_levy = 0,certified_override_mill_levy = 0,certified_abate_mill_levy = 0,certified_bond_mill_levy = 7.069,certified_transport_mill_levy = 0,certified_sbt_mill_levy = 0,cert_supp_cap_construction = 0,certified_other_mill_levy = 0,full_funding_mill_levy = 144.59,state_funding = 2730192.491 WHERE district_number = '3050' AND fiscal_year = 20222023;</v>
      </c>
    </row>
    <row r="163" spans="1:28" x14ac:dyDescent="0.25">
      <c r="A163" s="262" t="s">
        <v>441</v>
      </c>
      <c r="B163" s="263" t="s">
        <v>435</v>
      </c>
      <c r="C163" s="264" t="s">
        <v>442</v>
      </c>
      <c r="D163" s="344">
        <v>29505049</v>
      </c>
      <c r="E163" s="344">
        <v>0</v>
      </c>
      <c r="F163" s="344">
        <v>29505049</v>
      </c>
      <c r="G163" s="343">
        <v>0</v>
      </c>
      <c r="H163" s="265">
        <v>27</v>
      </c>
      <c r="I163" s="266">
        <v>0</v>
      </c>
      <c r="J163" s="264">
        <v>27</v>
      </c>
      <c r="K163" s="267">
        <v>0</v>
      </c>
      <c r="L163" s="374">
        <v>0</v>
      </c>
      <c r="M163" s="267">
        <v>0</v>
      </c>
      <c r="N163" s="264">
        <v>0</v>
      </c>
      <c r="O163" s="356">
        <v>0</v>
      </c>
      <c r="P163" s="267">
        <v>0</v>
      </c>
      <c r="Q163" s="269">
        <v>27</v>
      </c>
      <c r="R163" s="266">
        <v>0</v>
      </c>
      <c r="S163" s="268">
        <v>0</v>
      </c>
      <c r="T163" s="268">
        <v>0</v>
      </c>
      <c r="U163" s="268">
        <v>0</v>
      </c>
      <c r="V163" s="268">
        <v>0</v>
      </c>
      <c r="W163" s="266">
        <v>27</v>
      </c>
      <c r="X163" s="344">
        <v>82.545000000000002</v>
      </c>
      <c r="Y163" s="344">
        <v>2538495.66</v>
      </c>
      <c r="Z163" s="344">
        <v>1674474.4070000004</v>
      </c>
      <c r="AB163" s="205" t="str">
        <f t="shared" si="3"/>
        <v>UPDATE mill_levy SET cert_per_hb201418 = 27,cert_hb201418_tax_credit = 0,certified_catbuy_mill_levy = 0,cert_tot_prog_reserve_fund = 0,certified_hh_mill_levy = 0,certified_override_mill_levy = 0,certified_abate_mill_levy = 0,certified_bond_mill_levy = 0,certified_transport_mill_levy = 0,certified_sbt_mill_levy = 0,cert_supp_cap_construction = 0,certified_other_mill_levy = 0,full_funding_mill_levy = 82.545,state_funding = 1674474.407 WHERE district_number = '3060' AND fiscal_year = 20222023;</v>
      </c>
    </row>
    <row r="164" spans="1:28" x14ac:dyDescent="0.25">
      <c r="A164" s="262" t="s">
        <v>443</v>
      </c>
      <c r="B164" s="263" t="s">
        <v>435</v>
      </c>
      <c r="C164" s="264" t="s">
        <v>444</v>
      </c>
      <c r="D164" s="344">
        <v>38019354</v>
      </c>
      <c r="E164" s="344">
        <v>0</v>
      </c>
      <c r="F164" s="344">
        <v>38019354</v>
      </c>
      <c r="G164" s="343">
        <v>4819.58</v>
      </c>
      <c r="H164" s="265">
        <v>27</v>
      </c>
      <c r="I164" s="266">
        <v>4.2279999999999998</v>
      </c>
      <c r="J164" s="264">
        <v>22.771999999999998</v>
      </c>
      <c r="K164" s="267">
        <v>0</v>
      </c>
      <c r="L164" s="268">
        <v>0</v>
      </c>
      <c r="M164" s="267">
        <v>2.024</v>
      </c>
      <c r="N164" s="264">
        <v>0</v>
      </c>
      <c r="O164" s="356">
        <v>4.077</v>
      </c>
      <c r="P164" s="267">
        <v>0.127</v>
      </c>
      <c r="Q164" s="269">
        <v>29</v>
      </c>
      <c r="R164" s="266">
        <v>0</v>
      </c>
      <c r="S164" s="268">
        <v>0</v>
      </c>
      <c r="T164" s="268">
        <v>0</v>
      </c>
      <c r="U164" s="268">
        <v>0</v>
      </c>
      <c r="V164" s="268">
        <v>0</v>
      </c>
      <c r="W164" s="266">
        <v>29</v>
      </c>
      <c r="X164" s="344">
        <v>38.994999999999997</v>
      </c>
      <c r="Y164" s="344">
        <v>1511493.2</v>
      </c>
      <c r="Z164" s="344">
        <v>539958.49071199994</v>
      </c>
      <c r="AB164" s="205" t="str">
        <f t="shared" si="3"/>
        <v>UPDATE mill_levy SET cert_per_hb201418 = 27,cert_hb201418_tax_credit = 4.228,certified_catbuy_mill_levy = 0,cert_tot_prog_reserve_fund = 0,certified_hh_mill_levy = 2.024,certified_override_mill_levy = 4.077,certified_abate_mill_levy = 0.127,certified_bond_mill_levy = 0,certified_transport_mill_levy = 0,certified_sbt_mill_levy = 0,cert_supp_cap_construction = 0,certified_other_mill_levy = 0,full_funding_mill_levy = 38.995,state_funding = 539958.490712 WHERE district_number = '3070' AND fiscal_year = 20222023;</v>
      </c>
    </row>
    <row r="165" spans="1:28" x14ac:dyDescent="0.25">
      <c r="A165" s="262" t="s">
        <v>445</v>
      </c>
      <c r="B165" s="263" t="s">
        <v>446</v>
      </c>
      <c r="C165" s="264" t="s">
        <v>447</v>
      </c>
      <c r="D165" s="344">
        <v>1693308240</v>
      </c>
      <c r="E165" s="344">
        <v>312630</v>
      </c>
      <c r="F165" s="344">
        <v>1692995610</v>
      </c>
      <c r="G165" s="343">
        <v>592205.01</v>
      </c>
      <c r="H165" s="265">
        <v>9.6389999999999993</v>
      </c>
      <c r="I165" s="266">
        <v>0.439</v>
      </c>
      <c r="J165" s="264">
        <v>9.1999999999999993</v>
      </c>
      <c r="K165" s="267">
        <v>0</v>
      </c>
      <c r="L165" s="268">
        <v>0</v>
      </c>
      <c r="M165" s="267">
        <v>0</v>
      </c>
      <c r="N165" s="264">
        <v>0</v>
      </c>
      <c r="O165" s="356">
        <v>2.3050000000000002</v>
      </c>
      <c r="P165" s="267">
        <v>0.35</v>
      </c>
      <c r="Q165" s="269">
        <v>11.855</v>
      </c>
      <c r="R165" s="266">
        <v>1.4470000000000001</v>
      </c>
      <c r="S165" s="268">
        <v>0</v>
      </c>
      <c r="T165" s="268">
        <v>0</v>
      </c>
      <c r="U165" s="268">
        <v>0</v>
      </c>
      <c r="V165" s="268">
        <v>0</v>
      </c>
      <c r="W165" s="266">
        <v>13.302</v>
      </c>
      <c r="X165" s="344">
        <v>10.983000000000001</v>
      </c>
      <c r="Y165" s="344">
        <v>18815629.719999999</v>
      </c>
      <c r="Z165" s="344">
        <v>2713518.3779999991</v>
      </c>
      <c r="AB165" s="205" t="str">
        <f t="shared" si="3"/>
        <v>UPDATE mill_levy SET cert_per_hb201418 = 9.639,cert_hb201418_tax_credit = 0.439,certified_catbuy_mill_levy = 0,cert_tot_prog_reserve_fund = 0,certified_hh_mill_levy = 0,certified_override_mill_levy = 2.305,certified_abate_mill_levy = 0.35,certified_bond_mill_levy = 1.447,certified_transport_mill_levy = 0,certified_sbt_mill_levy = 0,cert_supp_cap_construction = 0,certified_other_mill_levy = 0,full_funding_mill_levy = 10.983,state_funding = 2713518.378 WHERE district_number = '3080' AND fiscal_year = 20222023;</v>
      </c>
    </row>
    <row r="166" spans="1:28" x14ac:dyDescent="0.25">
      <c r="A166" s="262" t="s">
        <v>448</v>
      </c>
      <c r="B166" s="263" t="s">
        <v>446</v>
      </c>
      <c r="C166" s="264" t="s">
        <v>449</v>
      </c>
      <c r="D166" s="344">
        <v>1177966320</v>
      </c>
      <c r="E166" s="344">
        <v>0</v>
      </c>
      <c r="F166" s="344">
        <v>1177966320</v>
      </c>
      <c r="G166" s="343">
        <v>3032</v>
      </c>
      <c r="H166" s="265">
        <v>22.207999999999998</v>
      </c>
      <c r="I166" s="266">
        <v>0</v>
      </c>
      <c r="J166" s="264">
        <v>17.013000000000002</v>
      </c>
      <c r="K166" s="267">
        <v>0.68</v>
      </c>
      <c r="L166" s="268">
        <v>4.5149999999999997</v>
      </c>
      <c r="M166" s="267">
        <v>0</v>
      </c>
      <c r="N166" s="264">
        <v>0</v>
      </c>
      <c r="O166" s="356">
        <v>2.2919999999999998</v>
      </c>
      <c r="P166" s="267">
        <v>3.0000000000000001E-3</v>
      </c>
      <c r="Q166" s="269">
        <v>24.503</v>
      </c>
      <c r="R166" s="266">
        <v>8.5969999999999995</v>
      </c>
      <c r="S166" s="268">
        <v>0</v>
      </c>
      <c r="T166" s="268">
        <v>0</v>
      </c>
      <c r="U166" s="268">
        <v>0</v>
      </c>
      <c r="V166" s="268">
        <v>0</v>
      </c>
      <c r="W166" s="266">
        <v>33.1</v>
      </c>
      <c r="X166" s="344">
        <v>17.068999999999999</v>
      </c>
      <c r="Y166" s="344">
        <v>20852762.07</v>
      </c>
      <c r="Z166" s="344">
        <v>0</v>
      </c>
      <c r="AB166" s="205" t="str">
        <f t="shared" si="3"/>
        <v>UPDATE mill_levy SET cert_per_hb201418 = 22.208,cert_hb201418_tax_credit = 0,certified_catbuy_mill_levy = 0.68,cert_tot_prog_reserve_fund = 4.515,certified_hh_mill_levy = 0,certified_override_mill_levy = 2.292,certified_abate_mill_levy = 0.003,certified_bond_mill_levy = 8.597,certified_transport_mill_levy = 0,certified_sbt_mill_levy = 0,cert_supp_cap_construction = 0,certified_other_mill_levy = 0,full_funding_mill_levy = 17.069,state_funding = 0 WHERE district_number = '3085' AND fiscal_year = 20222023;</v>
      </c>
    </row>
    <row r="167" spans="1:28" x14ac:dyDescent="0.25">
      <c r="A167" s="262" t="s">
        <v>450</v>
      </c>
      <c r="B167" s="263" t="s">
        <v>446</v>
      </c>
      <c r="C167" s="264" t="s">
        <v>451</v>
      </c>
      <c r="D167" s="344">
        <v>2447818820</v>
      </c>
      <c r="E167" s="344">
        <v>0</v>
      </c>
      <c r="F167" s="344">
        <v>2447818820</v>
      </c>
      <c r="G167" s="343">
        <v>601945</v>
      </c>
      <c r="H167" s="265">
        <v>10.845000000000001</v>
      </c>
      <c r="I167" s="266">
        <v>0</v>
      </c>
      <c r="J167" s="264">
        <v>10.798</v>
      </c>
      <c r="K167" s="267">
        <v>4.7E-2</v>
      </c>
      <c r="L167" s="268">
        <v>0</v>
      </c>
      <c r="M167" s="267">
        <v>1.9E-2</v>
      </c>
      <c r="N167" s="264">
        <v>0</v>
      </c>
      <c r="O167" s="356">
        <v>1.8380000000000001</v>
      </c>
      <c r="P167" s="267">
        <v>0.245</v>
      </c>
      <c r="Q167" s="269">
        <v>12.946999999999999</v>
      </c>
      <c r="R167" s="266">
        <v>3.8460000000000001</v>
      </c>
      <c r="S167" s="268">
        <v>0</v>
      </c>
      <c r="T167" s="268">
        <v>0</v>
      </c>
      <c r="U167" s="268">
        <v>0</v>
      </c>
      <c r="V167" s="268">
        <v>0</v>
      </c>
      <c r="W167" s="266">
        <v>16.792999999999999</v>
      </c>
      <c r="X167" s="344">
        <v>10.797000000000001</v>
      </c>
      <c r="Y167" s="344">
        <v>27302087.760000002</v>
      </c>
      <c r="Z167" s="344">
        <v>0</v>
      </c>
      <c r="AB167" s="205" t="str">
        <f t="shared" si="3"/>
        <v>UPDATE mill_levy SET cert_per_hb201418 = 10.845,cert_hb201418_tax_credit = 0,certified_catbuy_mill_levy = 0.047,cert_tot_prog_reserve_fund = 0,certified_hh_mill_levy = 0.019,certified_override_mill_levy = 1.838,certified_abate_mill_levy = 0.245,certified_bond_mill_levy = 3.846,certified_transport_mill_levy = 0,certified_sbt_mill_levy = 0,cert_supp_cap_construction = 0,certified_other_mill_levy = 0,full_funding_mill_levy = 10.797,state_funding = 0 WHERE district_number = '3090' AND fiscal_year = 20222023;</v>
      </c>
    </row>
    <row r="168" spans="1:28" x14ac:dyDescent="0.25">
      <c r="A168" s="262" t="s">
        <v>452</v>
      </c>
      <c r="B168" s="263" t="s">
        <v>446</v>
      </c>
      <c r="C168" s="264" t="s">
        <v>453</v>
      </c>
      <c r="D168" s="344">
        <v>2340489110</v>
      </c>
      <c r="E168" s="344">
        <v>1211110</v>
      </c>
      <c r="F168" s="344">
        <v>2339278000</v>
      </c>
      <c r="G168" s="343">
        <v>66250.720000000001</v>
      </c>
      <c r="H168" s="265">
        <v>27</v>
      </c>
      <c r="I168" s="266">
        <v>0</v>
      </c>
      <c r="J168" s="264">
        <v>27</v>
      </c>
      <c r="K168" s="267">
        <v>0</v>
      </c>
      <c r="L168" s="268">
        <v>0</v>
      </c>
      <c r="M168" s="267">
        <v>0</v>
      </c>
      <c r="N168" s="264">
        <v>0</v>
      </c>
      <c r="O168" s="356">
        <v>4.7859999999999996</v>
      </c>
      <c r="P168" s="267">
        <v>2.8000000000000001E-2</v>
      </c>
      <c r="Q168" s="269">
        <v>31.814</v>
      </c>
      <c r="R168" s="266">
        <v>12.568</v>
      </c>
      <c r="S168" s="268">
        <v>0</v>
      </c>
      <c r="T168" s="268">
        <v>0</v>
      </c>
      <c r="U168" s="268">
        <v>0</v>
      </c>
      <c r="V168" s="268">
        <v>0</v>
      </c>
      <c r="W168" s="266">
        <v>44.381999999999998</v>
      </c>
      <c r="X168" s="344">
        <v>34.323</v>
      </c>
      <c r="Y168" s="344">
        <v>82581413.549999997</v>
      </c>
      <c r="Z168" s="344">
        <v>17696731.979999997</v>
      </c>
      <c r="AB168" s="205" t="str">
        <f t="shared" si="3"/>
        <v>UPDATE mill_levy SET cert_per_hb201418 = 27,cert_hb201418_tax_credit = 0,certified_catbuy_mill_levy = 0,cert_tot_prog_reserve_fund = 0,certified_hh_mill_levy = 0,certified_override_mill_levy = 4.786,certified_abate_mill_levy = 0.028,certified_bond_mill_levy = 12.568,certified_transport_mill_levy = 0,certified_sbt_mill_levy = 0,cert_supp_cap_construction = 0,certified_other_mill_levy = 0,full_funding_mill_levy = 34.323,state_funding = 17696731.98 WHERE district_number = '3100' AND fiscal_year = 20222023;</v>
      </c>
    </row>
    <row r="169" spans="1:28" x14ac:dyDescent="0.25">
      <c r="A169" s="262" t="s">
        <v>454</v>
      </c>
      <c r="B169" s="263" t="s">
        <v>446</v>
      </c>
      <c r="C169" s="264" t="s">
        <v>455</v>
      </c>
      <c r="D169" s="344">
        <v>1328352650</v>
      </c>
      <c r="E169" s="344">
        <v>0</v>
      </c>
      <c r="F169" s="344">
        <v>1328352650</v>
      </c>
      <c r="G169" s="343">
        <v>284687.21999999997</v>
      </c>
      <c r="H169" s="265">
        <v>27</v>
      </c>
      <c r="I169" s="266">
        <v>5.5860000000000003</v>
      </c>
      <c r="J169" s="264">
        <v>21.414000000000001</v>
      </c>
      <c r="K169" s="267">
        <v>0</v>
      </c>
      <c r="L169" s="268">
        <v>0</v>
      </c>
      <c r="M169" s="267">
        <v>0</v>
      </c>
      <c r="N169" s="264">
        <v>0</v>
      </c>
      <c r="O169" s="356">
        <v>3.387</v>
      </c>
      <c r="P169" s="267">
        <v>0.214</v>
      </c>
      <c r="Q169" s="269">
        <v>25.015000000000001</v>
      </c>
      <c r="R169" s="266">
        <v>8.9730000000000008</v>
      </c>
      <c r="S169" s="268">
        <v>0</v>
      </c>
      <c r="T169" s="268">
        <v>0</v>
      </c>
      <c r="U169" s="268">
        <v>0</v>
      </c>
      <c r="V169" s="268">
        <v>0</v>
      </c>
      <c r="W169" s="266">
        <v>33.988</v>
      </c>
      <c r="X169" s="344">
        <v>28.454999999999998</v>
      </c>
      <c r="Y169" s="344">
        <v>38600434.630000003</v>
      </c>
      <c r="Z169" s="344">
        <v>9653248.8029000051</v>
      </c>
      <c r="AB169" s="205" t="str">
        <f t="shared" si="3"/>
        <v>UPDATE mill_levy SET cert_per_hb201418 = 27,cert_hb201418_tax_credit = 5.586,certified_catbuy_mill_levy = 0,cert_tot_prog_reserve_fund = 0,certified_hh_mill_levy = 0,certified_override_mill_levy = 3.387,certified_abate_mill_levy = 0.214,certified_bond_mill_levy = 8.973,certified_transport_mill_levy = 0,certified_sbt_mill_levy = 0,cert_supp_cap_construction = 0,certified_other_mill_levy = 0,full_funding_mill_levy = 28.455,state_funding = 9653248.80290001 WHERE district_number = '3110' AND fiscal_year = 20222023;</v>
      </c>
    </row>
    <row r="170" spans="1:28" x14ac:dyDescent="0.25">
      <c r="A170" s="262" t="s">
        <v>456</v>
      </c>
      <c r="B170" s="263" t="s">
        <v>446</v>
      </c>
      <c r="C170" s="264" t="s">
        <v>457</v>
      </c>
      <c r="D170" s="344">
        <v>3128585710</v>
      </c>
      <c r="E170" s="344">
        <v>192933893</v>
      </c>
      <c r="F170" s="344">
        <v>2935651817</v>
      </c>
      <c r="G170" s="343">
        <v>115400.65</v>
      </c>
      <c r="H170" s="265">
        <v>27</v>
      </c>
      <c r="I170" s="266">
        <v>0</v>
      </c>
      <c r="J170" s="264">
        <v>27</v>
      </c>
      <c r="K170" s="267">
        <v>0</v>
      </c>
      <c r="L170" s="268">
        <v>0</v>
      </c>
      <c r="M170" s="267">
        <v>0</v>
      </c>
      <c r="N170" s="264">
        <v>0</v>
      </c>
      <c r="O170" s="356">
        <v>10</v>
      </c>
      <c r="P170" s="267">
        <v>0.04</v>
      </c>
      <c r="Q170" s="269">
        <v>37.04</v>
      </c>
      <c r="R170" s="266">
        <v>10</v>
      </c>
      <c r="S170" s="268">
        <v>0</v>
      </c>
      <c r="T170" s="268">
        <v>0</v>
      </c>
      <c r="U170" s="268">
        <v>0</v>
      </c>
      <c r="V170" s="268">
        <v>0</v>
      </c>
      <c r="W170" s="266">
        <v>47.04</v>
      </c>
      <c r="X170" s="344">
        <v>77.081000000000003</v>
      </c>
      <c r="Y170" s="344">
        <v>235937107.69</v>
      </c>
      <c r="Z170" s="344">
        <v>153345064.08099997</v>
      </c>
      <c r="AB170" s="205" t="str">
        <f t="shared" si="3"/>
        <v>UPDATE mill_levy SET cert_per_hb201418 = 27,cert_hb201418_tax_credit = 0,certified_catbuy_mill_levy = 0,cert_tot_prog_reserve_fund = 0,certified_hh_mill_levy = 0,certified_override_mill_levy = 10,certified_abate_mill_levy = 0.04,certified_bond_mill_levy = 10,certified_transport_mill_levy = 0,certified_sbt_mill_levy = 0,cert_supp_cap_construction = 0,certified_other_mill_levy = 0,full_funding_mill_levy = 77.081,state_funding = 153345064.081 WHERE district_number = '3120' AND fiscal_year = 20222023;</v>
      </c>
    </row>
    <row r="171" spans="1:28" x14ac:dyDescent="0.25">
      <c r="A171" s="262" t="s">
        <v>458</v>
      </c>
      <c r="B171" s="263" t="s">
        <v>446</v>
      </c>
      <c r="C171" s="264" t="s">
        <v>459</v>
      </c>
      <c r="D171" s="344">
        <v>4176082130</v>
      </c>
      <c r="E171" s="344">
        <v>0</v>
      </c>
      <c r="F171" s="344">
        <v>4176082130</v>
      </c>
      <c r="G171" s="343">
        <v>25574.45</v>
      </c>
      <c r="H171" s="265">
        <v>5.6239999999999997</v>
      </c>
      <c r="I171" s="266">
        <v>0</v>
      </c>
      <c r="J171" s="264">
        <v>2.7639999999999998</v>
      </c>
      <c r="K171" s="267">
        <v>0.14599999999999999</v>
      </c>
      <c r="L171" s="268">
        <v>2.714</v>
      </c>
      <c r="M171" s="267">
        <v>0</v>
      </c>
      <c r="N171" s="264">
        <v>0</v>
      </c>
      <c r="O171" s="356">
        <v>0.69499999999999995</v>
      </c>
      <c r="P171" s="267">
        <v>6.0000000000000001E-3</v>
      </c>
      <c r="Q171" s="269">
        <v>6.3250000000000002</v>
      </c>
      <c r="R171" s="266">
        <v>0.92400000000000004</v>
      </c>
      <c r="S171" s="268">
        <v>0</v>
      </c>
      <c r="T171" s="268">
        <v>0</v>
      </c>
      <c r="U171" s="268">
        <v>0</v>
      </c>
      <c r="V171" s="268">
        <v>0</v>
      </c>
      <c r="W171" s="266">
        <v>7.2489999999999997</v>
      </c>
      <c r="X171" s="344">
        <v>2.7509999999999999</v>
      </c>
      <c r="Y171" s="344">
        <v>12131574.09</v>
      </c>
      <c r="Z171" s="344">
        <v>4.8099999548867345E-3</v>
      </c>
      <c r="AB171" s="205" t="str">
        <f t="shared" si="3"/>
        <v>UPDATE mill_levy SET cert_per_hb201418 = 5.624,cert_hb201418_tax_credit = 0,certified_catbuy_mill_levy = 0.146,cert_tot_prog_reserve_fund = 2.714,certified_hh_mill_levy = 0,certified_override_mill_levy = 0.695,certified_abate_mill_levy = 0.006,certified_bond_mill_levy = 0.924,certified_transport_mill_levy = 0,certified_sbt_mill_levy = 0,cert_supp_cap_construction = 0,certified_other_mill_levy = 0,full_funding_mill_levy = 2.751,state_funding = 0.00480999995488673 WHERE district_number = '3130' AND fiscal_year = 20222023;</v>
      </c>
    </row>
    <row r="172" spans="1:28" x14ac:dyDescent="0.25">
      <c r="A172" s="262" t="s">
        <v>460</v>
      </c>
      <c r="B172" s="270" t="s">
        <v>446</v>
      </c>
      <c r="C172" s="271" t="s">
        <v>461</v>
      </c>
      <c r="D172" s="344">
        <v>1775664730</v>
      </c>
      <c r="E172" s="344">
        <v>46477481</v>
      </c>
      <c r="F172" s="344">
        <v>1729187249</v>
      </c>
      <c r="G172" s="343">
        <v>671837.35</v>
      </c>
      <c r="H172" s="265">
        <v>12.143000000000001</v>
      </c>
      <c r="I172" s="266">
        <v>0</v>
      </c>
      <c r="J172" s="264">
        <v>12.143000000000001</v>
      </c>
      <c r="K172" s="267">
        <v>0</v>
      </c>
      <c r="L172" s="268">
        <v>0</v>
      </c>
      <c r="M172" s="267">
        <v>0</v>
      </c>
      <c r="N172" s="264">
        <v>0</v>
      </c>
      <c r="O172" s="356">
        <v>1.546</v>
      </c>
      <c r="P172" s="267">
        <v>0.38900000000000001</v>
      </c>
      <c r="Q172" s="269">
        <v>14.077999999999999</v>
      </c>
      <c r="R172" s="266">
        <v>3.1190000000000002</v>
      </c>
      <c r="S172" s="268">
        <v>0</v>
      </c>
      <c r="T172" s="268">
        <v>0</v>
      </c>
      <c r="U172" s="268">
        <v>0</v>
      </c>
      <c r="V172" s="268">
        <v>0</v>
      </c>
      <c r="W172" s="266">
        <v>17.196999999999999</v>
      </c>
      <c r="X172" s="344">
        <v>14.268000000000001</v>
      </c>
      <c r="Y172" s="344">
        <v>24523397.890000001</v>
      </c>
      <c r="Z172" s="344">
        <v>2817004.9753930033</v>
      </c>
      <c r="AB172" s="205" t="str">
        <f t="shared" si="3"/>
        <v>UPDATE mill_levy SET cert_per_hb201418 = 12.143,cert_hb201418_tax_credit = 0,certified_catbuy_mill_levy = 0,cert_tot_prog_reserve_fund = 0,certified_hh_mill_levy = 0,certified_override_mill_levy = 1.546,certified_abate_mill_levy = 0.389,certified_bond_mill_levy = 3.119,certified_transport_mill_levy = 0,certified_sbt_mill_levy = 0,cert_supp_cap_construction = 0,certified_other_mill_levy = 0,full_funding_mill_levy = 14.268,state_funding = 2817004.975393 WHERE district_number = '3140' AND fiscal_year = 20222023;</v>
      </c>
    </row>
    <row r="173" spans="1:28" x14ac:dyDescent="0.25">
      <c r="A173" s="262" t="s">
        <v>462</v>
      </c>
      <c r="B173" s="263" t="s">
        <v>446</v>
      </c>
      <c r="C173" s="264" t="s">
        <v>463</v>
      </c>
      <c r="D173" s="344">
        <v>574355450</v>
      </c>
      <c r="E173" s="344">
        <v>0</v>
      </c>
      <c r="F173" s="344">
        <v>574355450</v>
      </c>
      <c r="G173" s="343">
        <v>3748</v>
      </c>
      <c r="H173" s="265">
        <v>27</v>
      </c>
      <c r="I173" s="266">
        <v>7.12</v>
      </c>
      <c r="J173" s="264">
        <v>18.315999999999999</v>
      </c>
      <c r="K173" s="267">
        <v>1.0489999999999999</v>
      </c>
      <c r="L173" s="268">
        <v>0.51500000000000001</v>
      </c>
      <c r="M173" s="267">
        <v>0</v>
      </c>
      <c r="N173" s="264">
        <v>0</v>
      </c>
      <c r="O173" s="356">
        <v>1.5669999999999999</v>
      </c>
      <c r="P173" s="267">
        <v>7.0000000000000001E-3</v>
      </c>
      <c r="Q173" s="269">
        <v>21.454000000000001</v>
      </c>
      <c r="R173" s="266">
        <v>1.8280000000000001</v>
      </c>
      <c r="S173" s="268">
        <v>0</v>
      </c>
      <c r="T173" s="268">
        <v>0</v>
      </c>
      <c r="U173" s="268">
        <v>0</v>
      </c>
      <c r="V173" s="268">
        <v>0</v>
      </c>
      <c r="W173" s="266">
        <v>23.282</v>
      </c>
      <c r="X173" s="344">
        <v>18.222999999999999</v>
      </c>
      <c r="Y173" s="344">
        <v>10905632.66</v>
      </c>
      <c r="Z173" s="344">
        <v>3.249998961109668E-3</v>
      </c>
      <c r="AB173" s="205" t="str">
        <f t="shared" si="3"/>
        <v>UPDATE mill_levy SET cert_per_hb201418 = 27,cert_hb201418_tax_credit = 7.12,certified_catbuy_mill_levy = 1.049,cert_tot_prog_reserve_fund = 0.515,certified_hh_mill_levy = 0,certified_override_mill_levy = 1.567,certified_abate_mill_levy = 0.007,certified_bond_mill_levy = 1.828,certified_transport_mill_levy = 0,certified_sbt_mill_levy = 0,cert_supp_cap_construction = 0,certified_other_mill_levy = 0,full_funding_mill_levy = 18.223,state_funding = 0.00324999896110967 WHERE district_number = '3145' AND fiscal_year = 20222023;</v>
      </c>
    </row>
    <row r="174" spans="1:28" x14ac:dyDescent="0.25">
      <c r="A174" s="262" t="s">
        <v>464</v>
      </c>
      <c r="B174" s="270" t="s">
        <v>446</v>
      </c>
      <c r="C174" s="271" t="s">
        <v>465</v>
      </c>
      <c r="D174" s="344">
        <v>740149175</v>
      </c>
      <c r="E174" s="344">
        <v>0</v>
      </c>
      <c r="F174" s="344">
        <v>740149175</v>
      </c>
      <c r="G174" s="343">
        <v>1667.56</v>
      </c>
      <c r="H174" s="265">
        <v>12.375999999999999</v>
      </c>
      <c r="I174" s="266">
        <v>0</v>
      </c>
      <c r="J174" s="264">
        <v>4.2380000000000004</v>
      </c>
      <c r="K174" s="267">
        <v>0.11899999999999999</v>
      </c>
      <c r="L174" s="268">
        <v>8.0190000000000001</v>
      </c>
      <c r="M174" s="267">
        <v>0</v>
      </c>
      <c r="N174" s="264">
        <v>0</v>
      </c>
      <c r="O174" s="356">
        <v>1.2709999999999999</v>
      </c>
      <c r="P174" s="267">
        <v>0</v>
      </c>
      <c r="Q174" s="269">
        <v>13.647</v>
      </c>
      <c r="R174" s="266">
        <v>0.13600000000000001</v>
      </c>
      <c r="S174" s="268">
        <v>0</v>
      </c>
      <c r="T174" s="268">
        <v>0</v>
      </c>
      <c r="U174" s="268">
        <v>0</v>
      </c>
      <c r="V174" s="268">
        <v>0</v>
      </c>
      <c r="W174" s="266">
        <v>13.782999999999999</v>
      </c>
      <c r="X174" s="344">
        <v>4.1840000000000002</v>
      </c>
      <c r="Y174" s="344">
        <v>3137048.98</v>
      </c>
      <c r="Z174" s="344">
        <v>0</v>
      </c>
      <c r="AB174" s="205" t="str">
        <f t="shared" si="3"/>
        <v>UPDATE mill_levy SET cert_per_hb201418 = 12.376,cert_hb201418_tax_credit = 0,certified_catbuy_mill_levy = 0.119,cert_tot_prog_reserve_fund = 8.019,certified_hh_mill_levy = 0,certified_override_mill_levy = 1.271,certified_abate_mill_levy = 0,certified_bond_mill_levy = 0.136,certified_transport_mill_levy = 0,certified_sbt_mill_levy = 0,cert_supp_cap_construction = 0,certified_other_mill_levy = 0,full_funding_mill_levy = 4.184,state_funding = 0 WHERE district_number = '3146' AND fiscal_year = 20222023;</v>
      </c>
    </row>
    <row r="175" spans="1:28" x14ac:dyDescent="0.25">
      <c r="A175" s="262" t="s">
        <v>466</v>
      </c>
      <c r="B175" s="263" t="s">
        <v>446</v>
      </c>
      <c r="C175" s="264" t="s">
        <v>467</v>
      </c>
      <c r="D175" s="344">
        <v>579156110</v>
      </c>
      <c r="E175" s="344">
        <v>0</v>
      </c>
      <c r="F175" s="344">
        <v>579156110</v>
      </c>
      <c r="G175" s="343">
        <v>692.66</v>
      </c>
      <c r="H175" s="265">
        <v>5.0679999999999996</v>
      </c>
      <c r="I175" s="266">
        <v>0</v>
      </c>
      <c r="J175" s="264">
        <v>5.0679999999999996</v>
      </c>
      <c r="K175" s="267">
        <v>0</v>
      </c>
      <c r="L175" s="268">
        <v>0</v>
      </c>
      <c r="M175" s="267">
        <v>0</v>
      </c>
      <c r="N175" s="264">
        <v>0</v>
      </c>
      <c r="O175" s="356">
        <v>0.129</v>
      </c>
      <c r="P175" s="267">
        <v>0</v>
      </c>
      <c r="Q175" s="269">
        <v>5.1970000000000001</v>
      </c>
      <c r="R175" s="266">
        <v>0.433</v>
      </c>
      <c r="S175" s="268">
        <v>0</v>
      </c>
      <c r="T175" s="268">
        <v>0</v>
      </c>
      <c r="U175" s="268">
        <v>0</v>
      </c>
      <c r="V175" s="268">
        <v>0</v>
      </c>
      <c r="W175" s="266">
        <v>5.63</v>
      </c>
      <c r="X175" s="344">
        <v>5.5129999999999999</v>
      </c>
      <c r="Y175" s="344">
        <v>3244742.26</v>
      </c>
      <c r="Z175" s="344">
        <v>240901.23451999982</v>
      </c>
      <c r="AB175" s="205" t="str">
        <f t="shared" si="3"/>
        <v>UPDATE mill_levy SET cert_per_hb201418 = 5.068,cert_hb201418_tax_credit = 0,certified_catbuy_mill_levy = 0,cert_tot_prog_reserve_fund = 0,certified_hh_mill_levy = 0,certified_override_mill_levy = 0.129,certified_abate_mill_levy = 0,certified_bond_mill_levy = 0.433,certified_transport_mill_levy = 0,certified_sbt_mill_levy = 0,cert_supp_cap_construction = 0,certified_other_mill_levy = 0,full_funding_mill_levy = 5.513,state_funding = 240901.23452 WHERE district_number = '3147' AND fiscal_year = 20222023;</v>
      </c>
    </row>
    <row r="176" spans="1:28" x14ac:dyDescent="0.25">
      <c r="A176" s="262" t="s">
        <v>468</v>
      </c>
      <c r="B176" s="263" t="s">
        <v>446</v>
      </c>
      <c r="C176" s="264" t="s">
        <v>469</v>
      </c>
      <c r="D176" s="344">
        <v>579274570</v>
      </c>
      <c r="E176" s="344">
        <v>0</v>
      </c>
      <c r="F176" s="344">
        <v>579274570</v>
      </c>
      <c r="G176" s="343">
        <v>159.91999999999999</v>
      </c>
      <c r="H176" s="265">
        <v>4.2930000000000001</v>
      </c>
      <c r="I176" s="266">
        <v>0</v>
      </c>
      <c r="J176" s="264">
        <v>2.2269999999999999</v>
      </c>
      <c r="K176" s="267">
        <v>0.11899999999999999</v>
      </c>
      <c r="L176" s="268">
        <v>1.9470000000000001</v>
      </c>
      <c r="M176" s="267">
        <v>0</v>
      </c>
      <c r="N176" s="264">
        <v>0</v>
      </c>
      <c r="O176" s="356">
        <v>0.69899999999999995</v>
      </c>
      <c r="P176" s="267">
        <v>0</v>
      </c>
      <c r="Q176" s="269">
        <v>4.992</v>
      </c>
      <c r="R176" s="266">
        <v>0</v>
      </c>
      <c r="S176" s="268">
        <v>0</v>
      </c>
      <c r="T176" s="268">
        <v>0</v>
      </c>
      <c r="U176" s="268">
        <v>0</v>
      </c>
      <c r="V176" s="268">
        <v>0</v>
      </c>
      <c r="W176" s="266">
        <v>4.992</v>
      </c>
      <c r="X176" s="344">
        <v>2.153</v>
      </c>
      <c r="Y176" s="344">
        <v>1386846.14</v>
      </c>
      <c r="Z176" s="344">
        <v>2.8799997526220977E-3</v>
      </c>
      <c r="AB176" s="205" t="str">
        <f t="shared" si="3"/>
        <v>UPDATE mill_levy SET cert_per_hb201418 = 4.293,cert_hb201418_tax_credit = 0,certified_catbuy_mill_levy = 0.119,cert_tot_prog_reserve_fund = 1.947,certified_hh_mill_levy = 0,certified_override_mill_levy = 0.699,certified_abate_mill_levy = 0,certified_bond_mill_levy = 0,certified_transport_mill_levy = 0,certified_sbt_mill_levy = 0,cert_supp_cap_construction = 0,certified_other_mill_levy = 0,full_funding_mill_levy = 2.153,state_funding = 0.0028799997526221 WHERE district_number = '3148' AND fiscal_year = 20222023;</v>
      </c>
    </row>
    <row r="177" spans="1:28" x14ac:dyDescent="0.25">
      <c r="A177" s="262" t="s">
        <v>470</v>
      </c>
      <c r="B177" s="263" t="s">
        <v>471</v>
      </c>
      <c r="C177" s="264" t="s">
        <v>472</v>
      </c>
      <c r="D177" s="344">
        <v>164894890</v>
      </c>
      <c r="E177" s="344">
        <v>0</v>
      </c>
      <c r="F177" s="344">
        <v>164894890</v>
      </c>
      <c r="G177" s="343">
        <v>0</v>
      </c>
      <c r="H177" s="265">
        <v>27</v>
      </c>
      <c r="I177" s="266">
        <v>0</v>
      </c>
      <c r="J177" s="264">
        <v>21.344999999999999</v>
      </c>
      <c r="K177" s="267">
        <v>0</v>
      </c>
      <c r="L177" s="268">
        <v>0</v>
      </c>
      <c r="M177" s="267">
        <v>0</v>
      </c>
      <c r="N177" s="264">
        <v>0</v>
      </c>
      <c r="O177" s="356">
        <v>7.2409999999999997</v>
      </c>
      <c r="P177" s="267">
        <v>0</v>
      </c>
      <c r="Q177" s="269">
        <v>28.585999999999999</v>
      </c>
      <c r="R177" s="266">
        <v>8.4819999999999993</v>
      </c>
      <c r="S177" s="268">
        <v>0</v>
      </c>
      <c r="T177" s="268">
        <v>0</v>
      </c>
      <c r="U177" s="268">
        <v>0</v>
      </c>
      <c r="V177" s="268">
        <v>0</v>
      </c>
      <c r="W177" s="266">
        <v>37.067999999999998</v>
      </c>
      <c r="X177" s="344">
        <v>57.661000000000001</v>
      </c>
      <c r="Y177" s="344">
        <v>9866433.4299999997</v>
      </c>
      <c r="Z177" s="344">
        <v>6066396.4729499994</v>
      </c>
      <c r="AB177" s="205" t="str">
        <f t="shared" si="3"/>
        <v>UPDATE mill_levy SET cert_per_hb201418 = 27,cert_hb201418_tax_credit = 0,certified_catbuy_mill_levy = 0,cert_tot_prog_reserve_fund = 0,certified_hh_mill_levy = 0,certified_override_mill_levy = 7.241,certified_abate_mill_levy = 0,certified_bond_mill_levy = 8.482,certified_transport_mill_levy = 0,certified_sbt_mill_levy = 0,cert_supp_cap_construction = 0,certified_other_mill_levy = 0,full_funding_mill_levy = 57.661,state_funding = 6066396.47295 WHERE district_number = '3200' AND fiscal_year = 20222023;</v>
      </c>
    </row>
    <row r="178" spans="1:28" x14ac:dyDescent="0.25">
      <c r="A178" s="262" t="s">
        <v>473</v>
      </c>
      <c r="B178" s="263" t="s">
        <v>471</v>
      </c>
      <c r="C178" s="264" t="s">
        <v>474</v>
      </c>
      <c r="D178" s="344">
        <v>139736680</v>
      </c>
      <c r="E178" s="344">
        <v>0</v>
      </c>
      <c r="F178" s="344">
        <v>139736680</v>
      </c>
      <c r="G178" s="343">
        <v>0.06</v>
      </c>
      <c r="H178" s="265">
        <v>27</v>
      </c>
      <c r="I178" s="266">
        <v>8.968</v>
      </c>
      <c r="J178" s="264">
        <v>18.032</v>
      </c>
      <c r="K178" s="267">
        <v>0</v>
      </c>
      <c r="L178" s="268">
        <v>0</v>
      </c>
      <c r="M178" s="267">
        <v>0</v>
      </c>
      <c r="N178" s="264">
        <v>0</v>
      </c>
      <c r="O178" s="356">
        <v>11.554</v>
      </c>
      <c r="P178" s="267">
        <v>6.4000000000000001E-2</v>
      </c>
      <c r="Q178" s="269">
        <v>29.65</v>
      </c>
      <c r="R178" s="266">
        <v>8.11</v>
      </c>
      <c r="S178" s="268">
        <v>0</v>
      </c>
      <c r="T178" s="268">
        <v>0</v>
      </c>
      <c r="U178" s="268">
        <v>0</v>
      </c>
      <c r="V178" s="268">
        <v>0</v>
      </c>
      <c r="W178" s="266">
        <v>37.76</v>
      </c>
      <c r="X178" s="344">
        <v>54.578000000000003</v>
      </c>
      <c r="Y178" s="344">
        <v>8070856.5800000001</v>
      </c>
      <c r="Z178" s="344">
        <v>5367297.0962400008</v>
      </c>
      <c r="AB178" s="205" t="str">
        <f t="shared" si="3"/>
        <v>UPDATE mill_levy SET cert_per_hb201418 = 27,cert_hb201418_tax_credit = 8.968,certified_catbuy_mill_levy = 0,cert_tot_prog_reserve_fund = 0,certified_hh_mill_levy = 0,certified_override_mill_levy = 11.554,certified_abate_mill_levy = 0.064,certified_bond_mill_levy = 8.11,certified_transport_mill_levy = 0,certified_sbt_mill_levy = 0,cert_supp_cap_construction = 0,certified_other_mill_levy = 0,full_funding_mill_levy = 54.578,state_funding = 5367297.09624 WHERE district_number = '3210' AND fiscal_year = 20222023;</v>
      </c>
    </row>
    <row r="179" spans="1:28" x14ac:dyDescent="0.25">
      <c r="A179" s="262" t="s">
        <v>475</v>
      </c>
      <c r="B179" s="263" t="s">
        <v>471</v>
      </c>
      <c r="C179" s="264" t="s">
        <v>476</v>
      </c>
      <c r="D179" s="344">
        <v>20493755</v>
      </c>
      <c r="E179" s="344">
        <v>0</v>
      </c>
      <c r="F179" s="344">
        <v>20493755</v>
      </c>
      <c r="G179" s="343">
        <v>0</v>
      </c>
      <c r="H179" s="265">
        <v>27</v>
      </c>
      <c r="I179" s="266">
        <v>2.5019999999999998</v>
      </c>
      <c r="J179" s="264">
        <v>24.498000000000001</v>
      </c>
      <c r="K179" s="267">
        <v>0</v>
      </c>
      <c r="L179" s="268">
        <v>0</v>
      </c>
      <c r="M179" s="267">
        <v>0</v>
      </c>
      <c r="N179" s="264">
        <v>0</v>
      </c>
      <c r="O179" s="356">
        <v>0</v>
      </c>
      <c r="P179" s="267">
        <v>0</v>
      </c>
      <c r="Q179" s="269">
        <v>24.498000000000001</v>
      </c>
      <c r="R179" s="266">
        <v>13</v>
      </c>
      <c r="S179" s="268">
        <v>0</v>
      </c>
      <c r="T179" s="268">
        <v>0</v>
      </c>
      <c r="U179" s="268">
        <v>0</v>
      </c>
      <c r="V179" s="268">
        <v>0</v>
      </c>
      <c r="W179" s="266">
        <v>37.497999999999998</v>
      </c>
      <c r="X179" s="344">
        <v>149.54400000000001</v>
      </c>
      <c r="Y179" s="344">
        <v>3106491.25</v>
      </c>
      <c r="Z179" s="344">
        <v>2558784.6400099997</v>
      </c>
      <c r="AB179" s="205" t="str">
        <f t="shared" si="3"/>
        <v>UPDATE mill_levy SET cert_per_hb201418 = 27,cert_hb201418_tax_credit = 2.502,certified_catbuy_mill_levy = 0,cert_tot_prog_reserve_fund = 0,certified_hh_mill_levy = 0,certified_override_mill_levy = 0,certified_abate_mill_levy = 0,certified_bond_mill_levy = 13,certified_transport_mill_levy = 0,certified_sbt_mill_levy = 0,cert_supp_cap_construction = 0,certified_other_mill_levy = 0,full_funding_mill_levy = 149.544,state_funding = 2558784.64001 WHERE district_number = '3220' AND fiscal_year = 20222023;</v>
      </c>
    </row>
    <row r="180" spans="1:28" x14ac:dyDescent="0.25">
      <c r="A180" s="262" t="s">
        <v>477</v>
      </c>
      <c r="B180" s="263" t="s">
        <v>471</v>
      </c>
      <c r="C180" s="264" t="s">
        <v>478</v>
      </c>
      <c r="D180" s="344">
        <v>16572261</v>
      </c>
      <c r="E180" s="344">
        <v>0</v>
      </c>
      <c r="F180" s="344">
        <v>16572261</v>
      </c>
      <c r="G180" s="343">
        <v>63.49</v>
      </c>
      <c r="H180" s="265">
        <v>27</v>
      </c>
      <c r="I180" s="266">
        <v>4.3250000000000002</v>
      </c>
      <c r="J180" s="264">
        <v>22.675000000000001</v>
      </c>
      <c r="K180" s="267">
        <v>0</v>
      </c>
      <c r="L180" s="268">
        <v>0</v>
      </c>
      <c r="M180" s="267">
        <v>0</v>
      </c>
      <c r="N180" s="264">
        <v>0</v>
      </c>
      <c r="O180" s="356">
        <v>17.16</v>
      </c>
      <c r="P180" s="267">
        <v>4.0000000000000001E-3</v>
      </c>
      <c r="Q180" s="269">
        <v>39.838999999999999</v>
      </c>
      <c r="R180" s="266">
        <v>0</v>
      </c>
      <c r="S180" s="268">
        <v>0</v>
      </c>
      <c r="T180" s="268">
        <v>0</v>
      </c>
      <c r="U180" s="268">
        <v>0</v>
      </c>
      <c r="V180" s="268">
        <v>0</v>
      </c>
      <c r="W180" s="266">
        <v>39.838999999999999</v>
      </c>
      <c r="X180" s="344">
        <v>80.775000000000006</v>
      </c>
      <c r="Y180" s="344">
        <v>1324030.82</v>
      </c>
      <c r="Z180" s="344">
        <v>911392.60182500002</v>
      </c>
      <c r="AB180" s="205" t="str">
        <f t="shared" si="3"/>
        <v>UPDATE mill_levy SET cert_per_hb201418 = 27,cert_hb201418_tax_credit = 4.325,certified_catbuy_mill_levy = 0,cert_tot_prog_reserve_fund = 0,certified_hh_mill_levy = 0,certified_override_mill_levy = 17.16,certified_abate_mill_levy = 0.004,certified_bond_mill_levy = 0,certified_transport_mill_levy = 0,certified_sbt_mill_levy = 0,cert_supp_cap_construction = 0,certified_other_mill_levy = 0,full_funding_mill_levy = 80.775,state_funding = 911392.601825 WHERE district_number = '3230' AND fiscal_year = 20222023;</v>
      </c>
    </row>
    <row r="181" spans="1:28" x14ac:dyDescent="0.25">
      <c r="K181" s="208"/>
      <c r="Q181" s="276">
        <f t="shared" ref="Q181:W181" si="4">SUM(Q3:Q180)</f>
        <v>4578.5929709999964</v>
      </c>
      <c r="R181" s="276">
        <f t="shared" si="4"/>
        <v>1047.4974990000001</v>
      </c>
      <c r="S181" s="276">
        <f t="shared" si="4"/>
        <v>5.9409999999999989</v>
      </c>
      <c r="T181" s="276">
        <f t="shared" si="4"/>
        <v>12.173</v>
      </c>
      <c r="U181" s="276">
        <f t="shared" si="4"/>
        <v>22.797523999999999</v>
      </c>
      <c r="V181" s="276">
        <f t="shared" si="4"/>
        <v>6.3120000000000003</v>
      </c>
      <c r="W181" s="276">
        <f t="shared" si="4"/>
        <v>5697.7329940000036</v>
      </c>
      <c r="X181" s="276">
        <f t="shared" ref="X181:Z181" si="5">SUM(X3:X180)</f>
        <v>14642.69</v>
      </c>
      <c r="Y181" s="276">
        <f t="shared" si="5"/>
        <v>8947659500.3919697</v>
      </c>
      <c r="Z181" s="276">
        <f t="shared" si="5"/>
        <v>4769691636.8961334</v>
      </c>
    </row>
    <row r="182" spans="1:28" x14ac:dyDescent="0.25">
      <c r="D182" s="341">
        <f>SUM(D3:D181)</f>
        <v>187315659754</v>
      </c>
      <c r="E182" s="341">
        <f>SUM(E3:E181)</f>
        <v>5880322831</v>
      </c>
      <c r="F182" s="341">
        <f>SUM(F3:F181)</f>
        <v>181435336923</v>
      </c>
      <c r="G182" s="341">
        <f>SUM(G3:G181)</f>
        <v>36505380.620000012</v>
      </c>
      <c r="H182" s="373">
        <f t="shared" ref="H182:P182" si="6">SUM(H3:H181)</f>
        <v>4140.6339999999982</v>
      </c>
      <c r="I182" s="373">
        <f t="shared" si="6"/>
        <v>340.59599999999995</v>
      </c>
      <c r="J182" s="373">
        <f t="shared" si="6"/>
        <v>3763.0219999999977</v>
      </c>
      <c r="K182" s="373">
        <f t="shared" si="6"/>
        <v>4.1420000000000003</v>
      </c>
      <c r="L182" s="373">
        <f t="shared" si="6"/>
        <v>26.925000000000001</v>
      </c>
      <c r="M182" s="373">
        <f t="shared" si="6"/>
        <v>38.114999999999995</v>
      </c>
      <c r="N182" s="373">
        <f t="shared" si="6"/>
        <v>4.4999999999999998E-2</v>
      </c>
      <c r="O182" s="373">
        <f t="shared" si="6"/>
        <v>748.88752699999986</v>
      </c>
      <c r="P182" s="373">
        <f t="shared" si="6"/>
        <v>21.875443999999995</v>
      </c>
      <c r="Q182" s="210"/>
      <c r="R182" s="210"/>
      <c r="S182" s="210"/>
      <c r="T182" s="210"/>
      <c r="U182" s="210"/>
      <c r="V182" s="210"/>
      <c r="W182" s="210"/>
    </row>
  </sheetData>
  <sheetProtection algorithmName="SHA-512" hashValue="aO1NAfxcuDGzFmvh/rwiHjWmVLdbgyQksQ6RXrLtGkkuu38pAZFIYdTYKxaQSz0t1Eq9pIYq/3YV4N54gM9LpQ==" saltValue="qngieywiwrIWNEckJkyElQ==" spinCount="100000" sheet="1" objects="1" scenarios="1"/>
  <autoFilter ref="A2:W180" xr:uid="{00000000-0001-0000-0100-000000000000}"/>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E716-E9D9-4705-A818-D21A0F8AEB59}">
  <dimension ref="A1:AX365"/>
  <sheetViews>
    <sheetView zoomScale="103" zoomScaleNormal="130" workbookViewId="0">
      <pane xSplit="6" ySplit="2" topLeftCell="G3" activePane="bottomRight" state="frozen"/>
      <selection pane="topRight" activeCell="G1" sqref="G1"/>
      <selection pane="bottomLeft" activeCell="A3" sqref="A3"/>
      <selection pane="bottomRight" activeCell="E5" sqref="E5"/>
    </sheetView>
  </sheetViews>
  <sheetFormatPr defaultRowHeight="12.5" x14ac:dyDescent="0.25"/>
  <cols>
    <col min="1" max="1" width="6.08203125" style="289" bestFit="1" customWidth="1"/>
    <col min="2" max="2" width="14.33203125" style="289" bestFit="1" customWidth="1"/>
    <col min="3" max="3" width="21.75" style="289" bestFit="1" customWidth="1"/>
    <col min="4" max="4" width="17.75" style="344" customWidth="1"/>
    <col min="5" max="5" width="15.08203125" style="344" bestFit="1" customWidth="1"/>
    <col min="6" max="6" width="17.9140625" style="344" bestFit="1" customWidth="1"/>
    <col min="7" max="7" width="14" style="344" bestFit="1" customWidth="1"/>
    <col min="8" max="8" width="11.4140625" style="299" bestFit="1" customWidth="1"/>
    <col min="9" max="9" width="10.33203125" style="278" customWidth="1"/>
    <col min="10" max="10" width="10" style="353" bestFit="1" customWidth="1"/>
    <col min="11" max="11" width="9" style="289" bestFit="1" customWidth="1"/>
    <col min="12" max="12" width="9.08203125" style="289" customWidth="1"/>
    <col min="13" max="13" width="11.4140625" style="289" bestFit="1" customWidth="1"/>
    <col min="14" max="14" width="10.4140625" style="351" bestFit="1" customWidth="1"/>
    <col min="15" max="15" width="11.4140625" style="351" bestFit="1" customWidth="1"/>
    <col min="16" max="16" width="14.4140625" style="351" bestFit="1" customWidth="1"/>
    <col min="17" max="17" width="9.75" style="351" bestFit="1" customWidth="1"/>
    <col min="18" max="18" width="19.4140625" style="278" bestFit="1" customWidth="1"/>
    <col min="19" max="20" width="12.58203125" style="289" customWidth="1"/>
    <col min="21" max="22" width="12.58203125" style="300" customWidth="1"/>
    <col min="23" max="23" width="12.58203125" style="278" customWidth="1"/>
    <col min="24" max="24" width="12.4140625" style="289" bestFit="1" customWidth="1"/>
    <col min="25" max="25" width="21.25" style="344" bestFit="1" customWidth="1"/>
    <col min="26" max="26" width="18.75" style="344" bestFit="1" customWidth="1"/>
    <col min="27" max="27" width="8.75" style="256"/>
    <col min="28" max="28" width="14.4140625" style="259" bestFit="1" customWidth="1"/>
    <col min="29" max="30" width="15.75" style="259" bestFit="1" customWidth="1"/>
    <col min="31" max="31" width="12.75" style="259" bestFit="1" customWidth="1"/>
    <col min="32" max="33" width="10.4140625" style="259" bestFit="1" customWidth="1"/>
    <col min="34" max="34" width="11.25" style="259" bestFit="1" customWidth="1"/>
    <col min="35" max="35" width="10.4140625" style="259" bestFit="1" customWidth="1"/>
    <col min="36" max="36" width="11.25" style="259" bestFit="1" customWidth="1"/>
    <col min="37" max="37" width="14" style="259" customWidth="1"/>
    <col min="38" max="38" width="12.08203125" style="259" customWidth="1"/>
    <col min="39" max="39" width="12.58203125" style="259" customWidth="1"/>
    <col min="40" max="40" width="12.4140625" style="259" customWidth="1"/>
    <col min="41" max="42" width="11.25" style="259" bestFit="1" customWidth="1"/>
    <col min="43" max="45" width="10.4140625" style="259" bestFit="1" customWidth="1"/>
    <col min="46" max="48" width="11.25" style="259" bestFit="1" customWidth="1"/>
    <col min="49" max="50" width="11.75" style="259" bestFit="1" customWidth="1"/>
    <col min="51" max="254" width="8.75" style="259"/>
    <col min="255" max="255" width="6.08203125" style="259" bestFit="1" customWidth="1"/>
    <col min="256" max="256" width="14.33203125" style="259" bestFit="1" customWidth="1"/>
    <col min="257" max="257" width="21.75" style="259" bestFit="1" customWidth="1"/>
    <col min="258" max="258" width="0" style="259" hidden="1" customWidth="1"/>
    <col min="259" max="259" width="16.4140625" style="259" bestFit="1" customWidth="1"/>
    <col min="260" max="260" width="14" style="259" bestFit="1" customWidth="1"/>
    <col min="261" max="261" width="15.4140625" style="259" bestFit="1" customWidth="1"/>
    <col min="262" max="262" width="9.75" style="259" bestFit="1" customWidth="1"/>
    <col min="263" max="263" width="8.75" style="259" bestFit="1" customWidth="1"/>
    <col min="264" max="264" width="11.4140625" style="259" bestFit="1" customWidth="1"/>
    <col min="265" max="265" width="10.4140625" style="259" bestFit="1" customWidth="1"/>
    <col min="266" max="266" width="11.4140625" style="259" bestFit="1" customWidth="1"/>
    <col min="267" max="267" width="12.4140625" style="259" bestFit="1" customWidth="1"/>
    <col min="268" max="268" width="9.08203125" style="259" bestFit="1" customWidth="1"/>
    <col min="269" max="269" width="12.4140625" style="259" bestFit="1" customWidth="1"/>
    <col min="270" max="270" width="16.4140625" style="259" bestFit="1" customWidth="1"/>
    <col min="271" max="271" width="13.75" style="259" bestFit="1" customWidth="1"/>
    <col min="272" max="272" width="8.58203125" style="259" bestFit="1" customWidth="1"/>
    <col min="273" max="273" width="6.58203125" style="259" bestFit="1" customWidth="1"/>
    <col min="274" max="274" width="9.08203125" style="259" customWidth="1"/>
    <col min="275" max="275" width="6.08203125" style="259" bestFit="1" customWidth="1"/>
    <col min="276" max="276" width="9.33203125" style="259" bestFit="1" customWidth="1"/>
    <col min="277" max="277" width="10.4140625" style="259" bestFit="1" customWidth="1"/>
    <col min="278" max="510" width="8.75" style="259"/>
    <col min="511" max="511" width="6.08203125" style="259" bestFit="1" customWidth="1"/>
    <col min="512" max="512" width="14.33203125" style="259" bestFit="1" customWidth="1"/>
    <col min="513" max="513" width="21.75" style="259" bestFit="1" customWidth="1"/>
    <col min="514" max="514" width="0" style="259" hidden="1" customWidth="1"/>
    <col min="515" max="515" width="16.4140625" style="259" bestFit="1" customWidth="1"/>
    <col min="516" max="516" width="14" style="259" bestFit="1" customWidth="1"/>
    <col min="517" max="517" width="15.4140625" style="259" bestFit="1" customWidth="1"/>
    <col min="518" max="518" width="9.75" style="259" bestFit="1" customWidth="1"/>
    <col min="519" max="519" width="8.75" style="259" bestFit="1" customWidth="1"/>
    <col min="520" max="520" width="11.4140625" style="259" bestFit="1" customWidth="1"/>
    <col min="521" max="521" width="10.4140625" style="259" bestFit="1" customWidth="1"/>
    <col min="522" max="522" width="11.4140625" style="259" bestFit="1" customWidth="1"/>
    <col min="523" max="523" width="12.4140625" style="259" bestFit="1" customWidth="1"/>
    <col min="524" max="524" width="9.08203125" style="259" bestFit="1" customWidth="1"/>
    <col min="525" max="525" width="12.4140625" style="259" bestFit="1" customWidth="1"/>
    <col min="526" max="526" width="16.4140625" style="259" bestFit="1" customWidth="1"/>
    <col min="527" max="527" width="13.75" style="259" bestFit="1" customWidth="1"/>
    <col min="528" max="528" width="8.58203125" style="259" bestFit="1" customWidth="1"/>
    <col min="529" max="529" width="6.58203125" style="259" bestFit="1" customWidth="1"/>
    <col min="530" max="530" width="9.08203125" style="259" customWidth="1"/>
    <col min="531" max="531" width="6.08203125" style="259" bestFit="1" customWidth="1"/>
    <col min="532" max="532" width="9.33203125" style="259" bestFit="1" customWidth="1"/>
    <col min="533" max="533" width="10.4140625" style="259" bestFit="1" customWidth="1"/>
    <col min="534" max="766" width="8.75" style="259"/>
    <col min="767" max="767" width="6.08203125" style="259" bestFit="1" customWidth="1"/>
    <col min="768" max="768" width="14.33203125" style="259" bestFit="1" customWidth="1"/>
    <col min="769" max="769" width="21.75" style="259" bestFit="1" customWidth="1"/>
    <col min="770" max="770" width="0" style="259" hidden="1" customWidth="1"/>
    <col min="771" max="771" width="16.4140625" style="259" bestFit="1" customWidth="1"/>
    <col min="772" max="772" width="14" style="259" bestFit="1" customWidth="1"/>
    <col min="773" max="773" width="15.4140625" style="259" bestFit="1" customWidth="1"/>
    <col min="774" max="774" width="9.75" style="259" bestFit="1" customWidth="1"/>
    <col min="775" max="775" width="8.75" style="259" bestFit="1" customWidth="1"/>
    <col min="776" max="776" width="11.4140625" style="259" bestFit="1" customWidth="1"/>
    <col min="777" max="777" width="10.4140625" style="259" bestFit="1" customWidth="1"/>
    <col min="778" max="778" width="11.4140625" style="259" bestFit="1" customWidth="1"/>
    <col min="779" max="779" width="12.4140625" style="259" bestFit="1" customWidth="1"/>
    <col min="780" max="780" width="9.08203125" style="259" bestFit="1" customWidth="1"/>
    <col min="781" max="781" width="12.4140625" style="259" bestFit="1" customWidth="1"/>
    <col min="782" max="782" width="16.4140625" style="259" bestFit="1" customWidth="1"/>
    <col min="783" max="783" width="13.75" style="259" bestFit="1" customWidth="1"/>
    <col min="784" max="784" width="8.58203125" style="259" bestFit="1" customWidth="1"/>
    <col min="785" max="785" width="6.58203125" style="259" bestFit="1" customWidth="1"/>
    <col min="786" max="786" width="9.08203125" style="259" customWidth="1"/>
    <col min="787" max="787" width="6.08203125" style="259" bestFit="1" customWidth="1"/>
    <col min="788" max="788" width="9.33203125" style="259" bestFit="1" customWidth="1"/>
    <col min="789" max="789" width="10.4140625" style="259" bestFit="1" customWidth="1"/>
    <col min="790" max="1022" width="8.75" style="259"/>
    <col min="1023" max="1023" width="6.08203125" style="259" bestFit="1" customWidth="1"/>
    <col min="1024" max="1024" width="14.33203125" style="259" bestFit="1" customWidth="1"/>
    <col min="1025" max="1025" width="21.75" style="259" bestFit="1" customWidth="1"/>
    <col min="1026" max="1026" width="0" style="259" hidden="1" customWidth="1"/>
    <col min="1027" max="1027" width="16.4140625" style="259" bestFit="1" customWidth="1"/>
    <col min="1028" max="1028" width="14" style="259" bestFit="1" customWidth="1"/>
    <col min="1029" max="1029" width="15.4140625" style="259" bestFit="1" customWidth="1"/>
    <col min="1030" max="1030" width="9.75" style="259" bestFit="1" customWidth="1"/>
    <col min="1031" max="1031" width="8.75" style="259" bestFit="1" customWidth="1"/>
    <col min="1032" max="1032" width="11.4140625" style="259" bestFit="1" customWidth="1"/>
    <col min="1033" max="1033" width="10.4140625" style="259" bestFit="1" customWidth="1"/>
    <col min="1034" max="1034" width="11.4140625" style="259" bestFit="1" customWidth="1"/>
    <col min="1035" max="1035" width="12.4140625" style="259" bestFit="1" customWidth="1"/>
    <col min="1036" max="1036" width="9.08203125" style="259" bestFit="1" customWidth="1"/>
    <col min="1037" max="1037" width="12.4140625" style="259" bestFit="1" customWidth="1"/>
    <col min="1038" max="1038" width="16.4140625" style="259" bestFit="1" customWidth="1"/>
    <col min="1039" max="1039" width="13.75" style="259" bestFit="1" customWidth="1"/>
    <col min="1040" max="1040" width="8.58203125" style="259" bestFit="1" customWidth="1"/>
    <col min="1041" max="1041" width="6.58203125" style="259" bestFit="1" customWidth="1"/>
    <col min="1042" max="1042" width="9.08203125" style="259" customWidth="1"/>
    <col min="1043" max="1043" width="6.08203125" style="259" bestFit="1" customWidth="1"/>
    <col min="1044" max="1044" width="9.33203125" style="259" bestFit="1" customWidth="1"/>
    <col min="1045" max="1045" width="10.4140625" style="259" bestFit="1" customWidth="1"/>
    <col min="1046" max="1278" width="8.75" style="259"/>
    <col min="1279" max="1279" width="6.08203125" style="259" bestFit="1" customWidth="1"/>
    <col min="1280" max="1280" width="14.33203125" style="259" bestFit="1" customWidth="1"/>
    <col min="1281" max="1281" width="21.75" style="259" bestFit="1" customWidth="1"/>
    <col min="1282" max="1282" width="0" style="259" hidden="1" customWidth="1"/>
    <col min="1283" max="1283" width="16.4140625" style="259" bestFit="1" customWidth="1"/>
    <col min="1284" max="1284" width="14" style="259" bestFit="1" customWidth="1"/>
    <col min="1285" max="1285" width="15.4140625" style="259" bestFit="1" customWidth="1"/>
    <col min="1286" max="1286" width="9.75" style="259" bestFit="1" customWidth="1"/>
    <col min="1287" max="1287" width="8.75" style="259" bestFit="1" customWidth="1"/>
    <col min="1288" max="1288" width="11.4140625" style="259" bestFit="1" customWidth="1"/>
    <col min="1289" max="1289" width="10.4140625" style="259" bestFit="1" customWidth="1"/>
    <col min="1290" max="1290" width="11.4140625" style="259" bestFit="1" customWidth="1"/>
    <col min="1291" max="1291" width="12.4140625" style="259" bestFit="1" customWidth="1"/>
    <col min="1292" max="1292" width="9.08203125" style="259" bestFit="1" customWidth="1"/>
    <col min="1293" max="1293" width="12.4140625" style="259" bestFit="1" customWidth="1"/>
    <col min="1294" max="1294" width="16.4140625" style="259" bestFit="1" customWidth="1"/>
    <col min="1295" max="1295" width="13.75" style="259" bestFit="1" customWidth="1"/>
    <col min="1296" max="1296" width="8.58203125" style="259" bestFit="1" customWidth="1"/>
    <col min="1297" max="1297" width="6.58203125" style="259" bestFit="1" customWidth="1"/>
    <col min="1298" max="1298" width="9.08203125" style="259" customWidth="1"/>
    <col min="1299" max="1299" width="6.08203125" style="259" bestFit="1" customWidth="1"/>
    <col min="1300" max="1300" width="9.33203125" style="259" bestFit="1" customWidth="1"/>
    <col min="1301" max="1301" width="10.4140625" style="259" bestFit="1" customWidth="1"/>
    <col min="1302" max="1534" width="8.75" style="259"/>
    <col min="1535" max="1535" width="6.08203125" style="259" bestFit="1" customWidth="1"/>
    <col min="1536" max="1536" width="14.33203125" style="259" bestFit="1" customWidth="1"/>
    <col min="1537" max="1537" width="21.75" style="259" bestFit="1" customWidth="1"/>
    <col min="1538" max="1538" width="0" style="259" hidden="1" customWidth="1"/>
    <col min="1539" max="1539" width="16.4140625" style="259" bestFit="1" customWidth="1"/>
    <col min="1540" max="1540" width="14" style="259" bestFit="1" customWidth="1"/>
    <col min="1541" max="1541" width="15.4140625" style="259" bestFit="1" customWidth="1"/>
    <col min="1542" max="1542" width="9.75" style="259" bestFit="1" customWidth="1"/>
    <col min="1543" max="1543" width="8.75" style="259" bestFit="1" customWidth="1"/>
    <col min="1544" max="1544" width="11.4140625" style="259" bestFit="1" customWidth="1"/>
    <col min="1545" max="1545" width="10.4140625" style="259" bestFit="1" customWidth="1"/>
    <col min="1546" max="1546" width="11.4140625" style="259" bestFit="1" customWidth="1"/>
    <col min="1547" max="1547" width="12.4140625" style="259" bestFit="1" customWidth="1"/>
    <col min="1548" max="1548" width="9.08203125" style="259" bestFit="1" customWidth="1"/>
    <col min="1549" max="1549" width="12.4140625" style="259" bestFit="1" customWidth="1"/>
    <col min="1550" max="1550" width="16.4140625" style="259" bestFit="1" customWidth="1"/>
    <col min="1551" max="1551" width="13.75" style="259" bestFit="1" customWidth="1"/>
    <col min="1552" max="1552" width="8.58203125" style="259" bestFit="1" customWidth="1"/>
    <col min="1553" max="1553" width="6.58203125" style="259" bestFit="1" customWidth="1"/>
    <col min="1554" max="1554" width="9.08203125" style="259" customWidth="1"/>
    <col min="1555" max="1555" width="6.08203125" style="259" bestFit="1" customWidth="1"/>
    <col min="1556" max="1556" width="9.33203125" style="259" bestFit="1" customWidth="1"/>
    <col min="1557" max="1557" width="10.4140625" style="259" bestFit="1" customWidth="1"/>
    <col min="1558" max="1790" width="8.75" style="259"/>
    <col min="1791" max="1791" width="6.08203125" style="259" bestFit="1" customWidth="1"/>
    <col min="1792" max="1792" width="14.33203125" style="259" bestFit="1" customWidth="1"/>
    <col min="1793" max="1793" width="21.75" style="259" bestFit="1" customWidth="1"/>
    <col min="1794" max="1794" width="0" style="259" hidden="1" customWidth="1"/>
    <col min="1795" max="1795" width="16.4140625" style="259" bestFit="1" customWidth="1"/>
    <col min="1796" max="1796" width="14" style="259" bestFit="1" customWidth="1"/>
    <col min="1797" max="1797" width="15.4140625" style="259" bestFit="1" customWidth="1"/>
    <col min="1798" max="1798" width="9.75" style="259" bestFit="1" customWidth="1"/>
    <col min="1799" max="1799" width="8.75" style="259" bestFit="1" customWidth="1"/>
    <col min="1800" max="1800" width="11.4140625" style="259" bestFit="1" customWidth="1"/>
    <col min="1801" max="1801" width="10.4140625" style="259" bestFit="1" customWidth="1"/>
    <col min="1802" max="1802" width="11.4140625" style="259" bestFit="1" customWidth="1"/>
    <col min="1803" max="1803" width="12.4140625" style="259" bestFit="1" customWidth="1"/>
    <col min="1804" max="1804" width="9.08203125" style="259" bestFit="1" customWidth="1"/>
    <col min="1805" max="1805" width="12.4140625" style="259" bestFit="1" customWidth="1"/>
    <col min="1806" max="1806" width="16.4140625" style="259" bestFit="1" customWidth="1"/>
    <col min="1807" max="1807" width="13.75" style="259" bestFit="1" customWidth="1"/>
    <col min="1808" max="1808" width="8.58203125" style="259" bestFit="1" customWidth="1"/>
    <col min="1809" max="1809" width="6.58203125" style="259" bestFit="1" customWidth="1"/>
    <col min="1810" max="1810" width="9.08203125" style="259" customWidth="1"/>
    <col min="1811" max="1811" width="6.08203125" style="259" bestFit="1" customWidth="1"/>
    <col min="1812" max="1812" width="9.33203125" style="259" bestFit="1" customWidth="1"/>
    <col min="1813" max="1813" width="10.4140625" style="259" bestFit="1" customWidth="1"/>
    <col min="1814" max="2046" width="8.75" style="259"/>
    <col min="2047" max="2047" width="6.08203125" style="259" bestFit="1" customWidth="1"/>
    <col min="2048" max="2048" width="14.33203125" style="259" bestFit="1" customWidth="1"/>
    <col min="2049" max="2049" width="21.75" style="259" bestFit="1" customWidth="1"/>
    <col min="2050" max="2050" width="0" style="259" hidden="1" customWidth="1"/>
    <col min="2051" max="2051" width="16.4140625" style="259" bestFit="1" customWidth="1"/>
    <col min="2052" max="2052" width="14" style="259" bestFit="1" customWidth="1"/>
    <col min="2053" max="2053" width="15.4140625" style="259" bestFit="1" customWidth="1"/>
    <col min="2054" max="2054" width="9.75" style="259" bestFit="1" customWidth="1"/>
    <col min="2055" max="2055" width="8.75" style="259" bestFit="1" customWidth="1"/>
    <col min="2056" max="2056" width="11.4140625" style="259" bestFit="1" customWidth="1"/>
    <col min="2057" max="2057" width="10.4140625" style="259" bestFit="1" customWidth="1"/>
    <col min="2058" max="2058" width="11.4140625" style="259" bestFit="1" customWidth="1"/>
    <col min="2059" max="2059" width="12.4140625" style="259" bestFit="1" customWidth="1"/>
    <col min="2060" max="2060" width="9.08203125" style="259" bestFit="1" customWidth="1"/>
    <col min="2061" max="2061" width="12.4140625" style="259" bestFit="1" customWidth="1"/>
    <col min="2062" max="2062" width="16.4140625" style="259" bestFit="1" customWidth="1"/>
    <col min="2063" max="2063" width="13.75" style="259" bestFit="1" customWidth="1"/>
    <col min="2064" max="2064" width="8.58203125" style="259" bestFit="1" customWidth="1"/>
    <col min="2065" max="2065" width="6.58203125" style="259" bestFit="1" customWidth="1"/>
    <col min="2066" max="2066" width="9.08203125" style="259" customWidth="1"/>
    <col min="2067" max="2067" width="6.08203125" style="259" bestFit="1" customWidth="1"/>
    <col min="2068" max="2068" width="9.33203125" style="259" bestFit="1" customWidth="1"/>
    <col min="2069" max="2069" width="10.4140625" style="259" bestFit="1" customWidth="1"/>
    <col min="2070" max="2302" width="8.75" style="259"/>
    <col min="2303" max="2303" width="6.08203125" style="259" bestFit="1" customWidth="1"/>
    <col min="2304" max="2304" width="14.33203125" style="259" bestFit="1" customWidth="1"/>
    <col min="2305" max="2305" width="21.75" style="259" bestFit="1" customWidth="1"/>
    <col min="2306" max="2306" width="0" style="259" hidden="1" customWidth="1"/>
    <col min="2307" max="2307" width="16.4140625" style="259" bestFit="1" customWidth="1"/>
    <col min="2308" max="2308" width="14" style="259" bestFit="1" customWidth="1"/>
    <col min="2309" max="2309" width="15.4140625" style="259" bestFit="1" customWidth="1"/>
    <col min="2310" max="2310" width="9.75" style="259" bestFit="1" customWidth="1"/>
    <col min="2311" max="2311" width="8.75" style="259" bestFit="1" customWidth="1"/>
    <col min="2312" max="2312" width="11.4140625" style="259" bestFit="1" customWidth="1"/>
    <col min="2313" max="2313" width="10.4140625" style="259" bestFit="1" customWidth="1"/>
    <col min="2314" max="2314" width="11.4140625" style="259" bestFit="1" customWidth="1"/>
    <col min="2315" max="2315" width="12.4140625" style="259" bestFit="1" customWidth="1"/>
    <col min="2316" max="2316" width="9.08203125" style="259" bestFit="1" customWidth="1"/>
    <col min="2317" max="2317" width="12.4140625" style="259" bestFit="1" customWidth="1"/>
    <col min="2318" max="2318" width="16.4140625" style="259" bestFit="1" customWidth="1"/>
    <col min="2319" max="2319" width="13.75" style="259" bestFit="1" customWidth="1"/>
    <col min="2320" max="2320" width="8.58203125" style="259" bestFit="1" customWidth="1"/>
    <col min="2321" max="2321" width="6.58203125" style="259" bestFit="1" customWidth="1"/>
    <col min="2322" max="2322" width="9.08203125" style="259" customWidth="1"/>
    <col min="2323" max="2323" width="6.08203125" style="259" bestFit="1" customWidth="1"/>
    <col min="2324" max="2324" width="9.33203125" style="259" bestFit="1" customWidth="1"/>
    <col min="2325" max="2325" width="10.4140625" style="259" bestFit="1" customWidth="1"/>
    <col min="2326" max="2558" width="8.75" style="259"/>
    <col min="2559" max="2559" width="6.08203125" style="259" bestFit="1" customWidth="1"/>
    <col min="2560" max="2560" width="14.33203125" style="259" bestFit="1" customWidth="1"/>
    <col min="2561" max="2561" width="21.75" style="259" bestFit="1" customWidth="1"/>
    <col min="2562" max="2562" width="0" style="259" hidden="1" customWidth="1"/>
    <col min="2563" max="2563" width="16.4140625" style="259" bestFit="1" customWidth="1"/>
    <col min="2564" max="2564" width="14" style="259" bestFit="1" customWidth="1"/>
    <col min="2565" max="2565" width="15.4140625" style="259" bestFit="1" customWidth="1"/>
    <col min="2566" max="2566" width="9.75" style="259" bestFit="1" customWidth="1"/>
    <col min="2567" max="2567" width="8.75" style="259" bestFit="1" customWidth="1"/>
    <col min="2568" max="2568" width="11.4140625" style="259" bestFit="1" customWidth="1"/>
    <col min="2569" max="2569" width="10.4140625" style="259" bestFit="1" customWidth="1"/>
    <col min="2570" max="2570" width="11.4140625" style="259" bestFit="1" customWidth="1"/>
    <col min="2571" max="2571" width="12.4140625" style="259" bestFit="1" customWidth="1"/>
    <col min="2572" max="2572" width="9.08203125" style="259" bestFit="1" customWidth="1"/>
    <col min="2573" max="2573" width="12.4140625" style="259" bestFit="1" customWidth="1"/>
    <col min="2574" max="2574" width="16.4140625" style="259" bestFit="1" customWidth="1"/>
    <col min="2575" max="2575" width="13.75" style="259" bestFit="1" customWidth="1"/>
    <col min="2576" max="2576" width="8.58203125" style="259" bestFit="1" customWidth="1"/>
    <col min="2577" max="2577" width="6.58203125" style="259" bestFit="1" customWidth="1"/>
    <col min="2578" max="2578" width="9.08203125" style="259" customWidth="1"/>
    <col min="2579" max="2579" width="6.08203125" style="259" bestFit="1" customWidth="1"/>
    <col min="2580" max="2580" width="9.33203125" style="259" bestFit="1" customWidth="1"/>
    <col min="2581" max="2581" width="10.4140625" style="259" bestFit="1" customWidth="1"/>
    <col min="2582" max="2814" width="8.75" style="259"/>
    <col min="2815" max="2815" width="6.08203125" style="259" bestFit="1" customWidth="1"/>
    <col min="2816" max="2816" width="14.33203125" style="259" bestFit="1" customWidth="1"/>
    <col min="2817" max="2817" width="21.75" style="259" bestFit="1" customWidth="1"/>
    <col min="2818" max="2818" width="0" style="259" hidden="1" customWidth="1"/>
    <col min="2819" max="2819" width="16.4140625" style="259" bestFit="1" customWidth="1"/>
    <col min="2820" max="2820" width="14" style="259" bestFit="1" customWidth="1"/>
    <col min="2821" max="2821" width="15.4140625" style="259" bestFit="1" customWidth="1"/>
    <col min="2822" max="2822" width="9.75" style="259" bestFit="1" customWidth="1"/>
    <col min="2823" max="2823" width="8.75" style="259" bestFit="1" customWidth="1"/>
    <col min="2824" max="2824" width="11.4140625" style="259" bestFit="1" customWidth="1"/>
    <col min="2825" max="2825" width="10.4140625" style="259" bestFit="1" customWidth="1"/>
    <col min="2826" max="2826" width="11.4140625" style="259" bestFit="1" customWidth="1"/>
    <col min="2827" max="2827" width="12.4140625" style="259" bestFit="1" customWidth="1"/>
    <col min="2828" max="2828" width="9.08203125" style="259" bestFit="1" customWidth="1"/>
    <col min="2829" max="2829" width="12.4140625" style="259" bestFit="1" customWidth="1"/>
    <col min="2830" max="2830" width="16.4140625" style="259" bestFit="1" customWidth="1"/>
    <col min="2831" max="2831" width="13.75" style="259" bestFit="1" customWidth="1"/>
    <col min="2832" max="2832" width="8.58203125" style="259" bestFit="1" customWidth="1"/>
    <col min="2833" max="2833" width="6.58203125" style="259" bestFit="1" customWidth="1"/>
    <col min="2834" max="2834" width="9.08203125" style="259" customWidth="1"/>
    <col min="2835" max="2835" width="6.08203125" style="259" bestFit="1" customWidth="1"/>
    <col min="2836" max="2836" width="9.33203125" style="259" bestFit="1" customWidth="1"/>
    <col min="2837" max="2837" width="10.4140625" style="259" bestFit="1" customWidth="1"/>
    <col min="2838" max="3070" width="8.75" style="259"/>
    <col min="3071" max="3071" width="6.08203125" style="259" bestFit="1" customWidth="1"/>
    <col min="3072" max="3072" width="14.33203125" style="259" bestFit="1" customWidth="1"/>
    <col min="3073" max="3073" width="21.75" style="259" bestFit="1" customWidth="1"/>
    <col min="3074" max="3074" width="0" style="259" hidden="1" customWidth="1"/>
    <col min="3075" max="3075" width="16.4140625" style="259" bestFit="1" customWidth="1"/>
    <col min="3076" max="3076" width="14" style="259" bestFit="1" customWidth="1"/>
    <col min="3077" max="3077" width="15.4140625" style="259" bestFit="1" customWidth="1"/>
    <col min="3078" max="3078" width="9.75" style="259" bestFit="1" customWidth="1"/>
    <col min="3079" max="3079" width="8.75" style="259" bestFit="1" customWidth="1"/>
    <col min="3080" max="3080" width="11.4140625" style="259" bestFit="1" customWidth="1"/>
    <col min="3081" max="3081" width="10.4140625" style="259" bestFit="1" customWidth="1"/>
    <col min="3082" max="3082" width="11.4140625" style="259" bestFit="1" customWidth="1"/>
    <col min="3083" max="3083" width="12.4140625" style="259" bestFit="1" customWidth="1"/>
    <col min="3084" max="3084" width="9.08203125" style="259" bestFit="1" customWidth="1"/>
    <col min="3085" max="3085" width="12.4140625" style="259" bestFit="1" customWidth="1"/>
    <col min="3086" max="3086" width="16.4140625" style="259" bestFit="1" customWidth="1"/>
    <col min="3087" max="3087" width="13.75" style="259" bestFit="1" customWidth="1"/>
    <col min="3088" max="3088" width="8.58203125" style="259" bestFit="1" customWidth="1"/>
    <col min="3089" max="3089" width="6.58203125" style="259" bestFit="1" customWidth="1"/>
    <col min="3090" max="3090" width="9.08203125" style="259" customWidth="1"/>
    <col min="3091" max="3091" width="6.08203125" style="259" bestFit="1" customWidth="1"/>
    <col min="3092" max="3092" width="9.33203125" style="259" bestFit="1" customWidth="1"/>
    <col min="3093" max="3093" width="10.4140625" style="259" bestFit="1" customWidth="1"/>
    <col min="3094" max="3326" width="8.75" style="259"/>
    <col min="3327" max="3327" width="6.08203125" style="259" bestFit="1" customWidth="1"/>
    <col min="3328" max="3328" width="14.33203125" style="259" bestFit="1" customWidth="1"/>
    <col min="3329" max="3329" width="21.75" style="259" bestFit="1" customWidth="1"/>
    <col min="3330" max="3330" width="0" style="259" hidden="1" customWidth="1"/>
    <col min="3331" max="3331" width="16.4140625" style="259" bestFit="1" customWidth="1"/>
    <col min="3332" max="3332" width="14" style="259" bestFit="1" customWidth="1"/>
    <col min="3333" max="3333" width="15.4140625" style="259" bestFit="1" customWidth="1"/>
    <col min="3334" max="3334" width="9.75" style="259" bestFit="1" customWidth="1"/>
    <col min="3335" max="3335" width="8.75" style="259" bestFit="1" customWidth="1"/>
    <col min="3336" max="3336" width="11.4140625" style="259" bestFit="1" customWidth="1"/>
    <col min="3337" max="3337" width="10.4140625" style="259" bestFit="1" customWidth="1"/>
    <col min="3338" max="3338" width="11.4140625" style="259" bestFit="1" customWidth="1"/>
    <col min="3339" max="3339" width="12.4140625" style="259" bestFit="1" customWidth="1"/>
    <col min="3340" max="3340" width="9.08203125" style="259" bestFit="1" customWidth="1"/>
    <col min="3341" max="3341" width="12.4140625" style="259" bestFit="1" customWidth="1"/>
    <col min="3342" max="3342" width="16.4140625" style="259" bestFit="1" customWidth="1"/>
    <col min="3343" max="3343" width="13.75" style="259" bestFit="1" customWidth="1"/>
    <col min="3344" max="3344" width="8.58203125" style="259" bestFit="1" customWidth="1"/>
    <col min="3345" max="3345" width="6.58203125" style="259" bestFit="1" customWidth="1"/>
    <col min="3346" max="3346" width="9.08203125" style="259" customWidth="1"/>
    <col min="3347" max="3347" width="6.08203125" style="259" bestFit="1" customWidth="1"/>
    <col min="3348" max="3348" width="9.33203125" style="259" bestFit="1" customWidth="1"/>
    <col min="3349" max="3349" width="10.4140625" style="259" bestFit="1" customWidth="1"/>
    <col min="3350" max="3582" width="8.75" style="259"/>
    <col min="3583" max="3583" width="6.08203125" style="259" bestFit="1" customWidth="1"/>
    <col min="3584" max="3584" width="14.33203125" style="259" bestFit="1" customWidth="1"/>
    <col min="3585" max="3585" width="21.75" style="259" bestFit="1" customWidth="1"/>
    <col min="3586" max="3586" width="0" style="259" hidden="1" customWidth="1"/>
    <col min="3587" max="3587" width="16.4140625" style="259" bestFit="1" customWidth="1"/>
    <col min="3588" max="3588" width="14" style="259" bestFit="1" customWidth="1"/>
    <col min="3589" max="3589" width="15.4140625" style="259" bestFit="1" customWidth="1"/>
    <col min="3590" max="3590" width="9.75" style="259" bestFit="1" customWidth="1"/>
    <col min="3591" max="3591" width="8.75" style="259" bestFit="1" customWidth="1"/>
    <col min="3592" max="3592" width="11.4140625" style="259" bestFit="1" customWidth="1"/>
    <col min="3593" max="3593" width="10.4140625" style="259" bestFit="1" customWidth="1"/>
    <col min="3594" max="3594" width="11.4140625" style="259" bestFit="1" customWidth="1"/>
    <col min="3595" max="3595" width="12.4140625" style="259" bestFit="1" customWidth="1"/>
    <col min="3596" max="3596" width="9.08203125" style="259" bestFit="1" customWidth="1"/>
    <col min="3597" max="3597" width="12.4140625" style="259" bestFit="1" customWidth="1"/>
    <col min="3598" max="3598" width="16.4140625" style="259" bestFit="1" customWidth="1"/>
    <col min="3599" max="3599" width="13.75" style="259" bestFit="1" customWidth="1"/>
    <col min="3600" max="3600" width="8.58203125" style="259" bestFit="1" customWidth="1"/>
    <col min="3601" max="3601" width="6.58203125" style="259" bestFit="1" customWidth="1"/>
    <col min="3602" max="3602" width="9.08203125" style="259" customWidth="1"/>
    <col min="3603" max="3603" width="6.08203125" style="259" bestFit="1" customWidth="1"/>
    <col min="3604" max="3604" width="9.33203125" style="259" bestFit="1" customWidth="1"/>
    <col min="3605" max="3605" width="10.4140625" style="259" bestFit="1" customWidth="1"/>
    <col min="3606" max="3838" width="8.75" style="259"/>
    <col min="3839" max="3839" width="6.08203125" style="259" bestFit="1" customWidth="1"/>
    <col min="3840" max="3840" width="14.33203125" style="259" bestFit="1" customWidth="1"/>
    <col min="3841" max="3841" width="21.75" style="259" bestFit="1" customWidth="1"/>
    <col min="3842" max="3842" width="0" style="259" hidden="1" customWidth="1"/>
    <col min="3843" max="3843" width="16.4140625" style="259" bestFit="1" customWidth="1"/>
    <col min="3844" max="3844" width="14" style="259" bestFit="1" customWidth="1"/>
    <col min="3845" max="3845" width="15.4140625" style="259" bestFit="1" customWidth="1"/>
    <col min="3846" max="3846" width="9.75" style="259" bestFit="1" customWidth="1"/>
    <col min="3847" max="3847" width="8.75" style="259" bestFit="1" customWidth="1"/>
    <col min="3848" max="3848" width="11.4140625" style="259" bestFit="1" customWidth="1"/>
    <col min="3849" max="3849" width="10.4140625" style="259" bestFit="1" customWidth="1"/>
    <col min="3850" max="3850" width="11.4140625" style="259" bestFit="1" customWidth="1"/>
    <col min="3851" max="3851" width="12.4140625" style="259" bestFit="1" customWidth="1"/>
    <col min="3852" max="3852" width="9.08203125" style="259" bestFit="1" customWidth="1"/>
    <col min="3853" max="3853" width="12.4140625" style="259" bestFit="1" customWidth="1"/>
    <col min="3854" max="3854" width="16.4140625" style="259" bestFit="1" customWidth="1"/>
    <col min="3855" max="3855" width="13.75" style="259" bestFit="1" customWidth="1"/>
    <col min="3856" max="3856" width="8.58203125" style="259" bestFit="1" customWidth="1"/>
    <col min="3857" max="3857" width="6.58203125" style="259" bestFit="1" customWidth="1"/>
    <col min="3858" max="3858" width="9.08203125" style="259" customWidth="1"/>
    <col min="3859" max="3859" width="6.08203125" style="259" bestFit="1" customWidth="1"/>
    <col min="3860" max="3860" width="9.33203125" style="259" bestFit="1" customWidth="1"/>
    <col min="3861" max="3861" width="10.4140625" style="259" bestFit="1" customWidth="1"/>
    <col min="3862" max="4094" width="8.75" style="259"/>
    <col min="4095" max="4095" width="6.08203125" style="259" bestFit="1" customWidth="1"/>
    <col min="4096" max="4096" width="14.33203125" style="259" bestFit="1" customWidth="1"/>
    <col min="4097" max="4097" width="21.75" style="259" bestFit="1" customWidth="1"/>
    <col min="4098" max="4098" width="0" style="259" hidden="1" customWidth="1"/>
    <col min="4099" max="4099" width="16.4140625" style="259" bestFit="1" customWidth="1"/>
    <col min="4100" max="4100" width="14" style="259" bestFit="1" customWidth="1"/>
    <col min="4101" max="4101" width="15.4140625" style="259" bestFit="1" customWidth="1"/>
    <col min="4102" max="4102" width="9.75" style="259" bestFit="1" customWidth="1"/>
    <col min="4103" max="4103" width="8.75" style="259" bestFit="1" customWidth="1"/>
    <col min="4104" max="4104" width="11.4140625" style="259" bestFit="1" customWidth="1"/>
    <col min="4105" max="4105" width="10.4140625" style="259" bestFit="1" customWidth="1"/>
    <col min="4106" max="4106" width="11.4140625" style="259" bestFit="1" customWidth="1"/>
    <col min="4107" max="4107" width="12.4140625" style="259" bestFit="1" customWidth="1"/>
    <col min="4108" max="4108" width="9.08203125" style="259" bestFit="1" customWidth="1"/>
    <col min="4109" max="4109" width="12.4140625" style="259" bestFit="1" customWidth="1"/>
    <col min="4110" max="4110" width="16.4140625" style="259" bestFit="1" customWidth="1"/>
    <col min="4111" max="4111" width="13.75" style="259" bestFit="1" customWidth="1"/>
    <col min="4112" max="4112" width="8.58203125" style="259" bestFit="1" customWidth="1"/>
    <col min="4113" max="4113" width="6.58203125" style="259" bestFit="1" customWidth="1"/>
    <col min="4114" max="4114" width="9.08203125" style="259" customWidth="1"/>
    <col min="4115" max="4115" width="6.08203125" style="259" bestFit="1" customWidth="1"/>
    <col min="4116" max="4116" width="9.33203125" style="259" bestFit="1" customWidth="1"/>
    <col min="4117" max="4117" width="10.4140625" style="259" bestFit="1" customWidth="1"/>
    <col min="4118" max="4350" width="8.75" style="259"/>
    <col min="4351" max="4351" width="6.08203125" style="259" bestFit="1" customWidth="1"/>
    <col min="4352" max="4352" width="14.33203125" style="259" bestFit="1" customWidth="1"/>
    <col min="4353" max="4353" width="21.75" style="259" bestFit="1" customWidth="1"/>
    <col min="4354" max="4354" width="0" style="259" hidden="1" customWidth="1"/>
    <col min="4355" max="4355" width="16.4140625" style="259" bestFit="1" customWidth="1"/>
    <col min="4356" max="4356" width="14" style="259" bestFit="1" customWidth="1"/>
    <col min="4357" max="4357" width="15.4140625" style="259" bestFit="1" customWidth="1"/>
    <col min="4358" max="4358" width="9.75" style="259" bestFit="1" customWidth="1"/>
    <col min="4359" max="4359" width="8.75" style="259" bestFit="1" customWidth="1"/>
    <col min="4360" max="4360" width="11.4140625" style="259" bestFit="1" customWidth="1"/>
    <col min="4361" max="4361" width="10.4140625" style="259" bestFit="1" customWidth="1"/>
    <col min="4362" max="4362" width="11.4140625" style="259" bestFit="1" customWidth="1"/>
    <col min="4363" max="4363" width="12.4140625" style="259" bestFit="1" customWidth="1"/>
    <col min="4364" max="4364" width="9.08203125" style="259" bestFit="1" customWidth="1"/>
    <col min="4365" max="4365" width="12.4140625" style="259" bestFit="1" customWidth="1"/>
    <col min="4366" max="4366" width="16.4140625" style="259" bestFit="1" customWidth="1"/>
    <col min="4367" max="4367" width="13.75" style="259" bestFit="1" customWidth="1"/>
    <col min="4368" max="4368" width="8.58203125" style="259" bestFit="1" customWidth="1"/>
    <col min="4369" max="4369" width="6.58203125" style="259" bestFit="1" customWidth="1"/>
    <col min="4370" max="4370" width="9.08203125" style="259" customWidth="1"/>
    <col min="4371" max="4371" width="6.08203125" style="259" bestFit="1" customWidth="1"/>
    <col min="4372" max="4372" width="9.33203125" style="259" bestFit="1" customWidth="1"/>
    <col min="4373" max="4373" width="10.4140625" style="259" bestFit="1" customWidth="1"/>
    <col min="4374" max="4606" width="8.75" style="259"/>
    <col min="4607" max="4607" width="6.08203125" style="259" bestFit="1" customWidth="1"/>
    <col min="4608" max="4608" width="14.33203125" style="259" bestFit="1" customWidth="1"/>
    <col min="4609" max="4609" width="21.75" style="259" bestFit="1" customWidth="1"/>
    <col min="4610" max="4610" width="0" style="259" hidden="1" customWidth="1"/>
    <col min="4611" max="4611" width="16.4140625" style="259" bestFit="1" customWidth="1"/>
    <col min="4612" max="4612" width="14" style="259" bestFit="1" customWidth="1"/>
    <col min="4613" max="4613" width="15.4140625" style="259" bestFit="1" customWidth="1"/>
    <col min="4614" max="4614" width="9.75" style="259" bestFit="1" customWidth="1"/>
    <col min="4615" max="4615" width="8.75" style="259" bestFit="1" customWidth="1"/>
    <col min="4616" max="4616" width="11.4140625" style="259" bestFit="1" customWidth="1"/>
    <col min="4617" max="4617" width="10.4140625" style="259" bestFit="1" customWidth="1"/>
    <col min="4618" max="4618" width="11.4140625" style="259" bestFit="1" customWidth="1"/>
    <col min="4619" max="4619" width="12.4140625" style="259" bestFit="1" customWidth="1"/>
    <col min="4620" max="4620" width="9.08203125" style="259" bestFit="1" customWidth="1"/>
    <col min="4621" max="4621" width="12.4140625" style="259" bestFit="1" customWidth="1"/>
    <col min="4622" max="4622" width="16.4140625" style="259" bestFit="1" customWidth="1"/>
    <col min="4623" max="4623" width="13.75" style="259" bestFit="1" customWidth="1"/>
    <col min="4624" max="4624" width="8.58203125" style="259" bestFit="1" customWidth="1"/>
    <col min="4625" max="4625" width="6.58203125" style="259" bestFit="1" customWidth="1"/>
    <col min="4626" max="4626" width="9.08203125" style="259" customWidth="1"/>
    <col min="4627" max="4627" width="6.08203125" style="259" bestFit="1" customWidth="1"/>
    <col min="4628" max="4628" width="9.33203125" style="259" bestFit="1" customWidth="1"/>
    <col min="4629" max="4629" width="10.4140625" style="259" bestFit="1" customWidth="1"/>
    <col min="4630" max="4862" width="8.75" style="259"/>
    <col min="4863" max="4863" width="6.08203125" style="259" bestFit="1" customWidth="1"/>
    <col min="4864" max="4864" width="14.33203125" style="259" bestFit="1" customWidth="1"/>
    <col min="4865" max="4865" width="21.75" style="259" bestFit="1" customWidth="1"/>
    <col min="4866" max="4866" width="0" style="259" hidden="1" customWidth="1"/>
    <col min="4867" max="4867" width="16.4140625" style="259" bestFit="1" customWidth="1"/>
    <col min="4868" max="4868" width="14" style="259" bestFit="1" customWidth="1"/>
    <col min="4869" max="4869" width="15.4140625" style="259" bestFit="1" customWidth="1"/>
    <col min="4870" max="4870" width="9.75" style="259" bestFit="1" customWidth="1"/>
    <col min="4871" max="4871" width="8.75" style="259" bestFit="1" customWidth="1"/>
    <col min="4872" max="4872" width="11.4140625" style="259" bestFit="1" customWidth="1"/>
    <col min="4873" max="4873" width="10.4140625" style="259" bestFit="1" customWidth="1"/>
    <col min="4874" max="4874" width="11.4140625" style="259" bestFit="1" customWidth="1"/>
    <col min="4875" max="4875" width="12.4140625" style="259" bestFit="1" customWidth="1"/>
    <col min="4876" max="4876" width="9.08203125" style="259" bestFit="1" customWidth="1"/>
    <col min="4877" max="4877" width="12.4140625" style="259" bestFit="1" customWidth="1"/>
    <col min="4878" max="4878" width="16.4140625" style="259" bestFit="1" customWidth="1"/>
    <col min="4879" max="4879" width="13.75" style="259" bestFit="1" customWidth="1"/>
    <col min="4880" max="4880" width="8.58203125" style="259" bestFit="1" customWidth="1"/>
    <col min="4881" max="4881" width="6.58203125" style="259" bestFit="1" customWidth="1"/>
    <col min="4882" max="4882" width="9.08203125" style="259" customWidth="1"/>
    <col min="4883" max="4883" width="6.08203125" style="259" bestFit="1" customWidth="1"/>
    <col min="4884" max="4884" width="9.33203125" style="259" bestFit="1" customWidth="1"/>
    <col min="4885" max="4885" width="10.4140625" style="259" bestFit="1" customWidth="1"/>
    <col min="4886" max="5118" width="8.75" style="259"/>
    <col min="5119" max="5119" width="6.08203125" style="259" bestFit="1" customWidth="1"/>
    <col min="5120" max="5120" width="14.33203125" style="259" bestFit="1" customWidth="1"/>
    <col min="5121" max="5121" width="21.75" style="259" bestFit="1" customWidth="1"/>
    <col min="5122" max="5122" width="0" style="259" hidden="1" customWidth="1"/>
    <col min="5123" max="5123" width="16.4140625" style="259" bestFit="1" customWidth="1"/>
    <col min="5124" max="5124" width="14" style="259" bestFit="1" customWidth="1"/>
    <col min="5125" max="5125" width="15.4140625" style="259" bestFit="1" customWidth="1"/>
    <col min="5126" max="5126" width="9.75" style="259" bestFit="1" customWidth="1"/>
    <col min="5127" max="5127" width="8.75" style="259" bestFit="1" customWidth="1"/>
    <col min="5128" max="5128" width="11.4140625" style="259" bestFit="1" customWidth="1"/>
    <col min="5129" max="5129" width="10.4140625" style="259" bestFit="1" customWidth="1"/>
    <col min="5130" max="5130" width="11.4140625" style="259" bestFit="1" customWidth="1"/>
    <col min="5131" max="5131" width="12.4140625" style="259" bestFit="1" customWidth="1"/>
    <col min="5132" max="5132" width="9.08203125" style="259" bestFit="1" customWidth="1"/>
    <col min="5133" max="5133" width="12.4140625" style="259" bestFit="1" customWidth="1"/>
    <col min="5134" max="5134" width="16.4140625" style="259" bestFit="1" customWidth="1"/>
    <col min="5135" max="5135" width="13.75" style="259" bestFit="1" customWidth="1"/>
    <col min="5136" max="5136" width="8.58203125" style="259" bestFit="1" customWidth="1"/>
    <col min="5137" max="5137" width="6.58203125" style="259" bestFit="1" customWidth="1"/>
    <col min="5138" max="5138" width="9.08203125" style="259" customWidth="1"/>
    <col min="5139" max="5139" width="6.08203125" style="259" bestFit="1" customWidth="1"/>
    <col min="5140" max="5140" width="9.33203125" style="259" bestFit="1" customWidth="1"/>
    <col min="5141" max="5141" width="10.4140625" style="259" bestFit="1" customWidth="1"/>
    <col min="5142" max="5374" width="8.75" style="259"/>
    <col min="5375" max="5375" width="6.08203125" style="259" bestFit="1" customWidth="1"/>
    <col min="5376" max="5376" width="14.33203125" style="259" bestFit="1" customWidth="1"/>
    <col min="5377" max="5377" width="21.75" style="259" bestFit="1" customWidth="1"/>
    <col min="5378" max="5378" width="0" style="259" hidden="1" customWidth="1"/>
    <col min="5379" max="5379" width="16.4140625" style="259" bestFit="1" customWidth="1"/>
    <col min="5380" max="5380" width="14" style="259" bestFit="1" customWidth="1"/>
    <col min="5381" max="5381" width="15.4140625" style="259" bestFit="1" customWidth="1"/>
    <col min="5382" max="5382" width="9.75" style="259" bestFit="1" customWidth="1"/>
    <col min="5383" max="5383" width="8.75" style="259" bestFit="1" customWidth="1"/>
    <col min="5384" max="5384" width="11.4140625" style="259" bestFit="1" customWidth="1"/>
    <col min="5385" max="5385" width="10.4140625" style="259" bestFit="1" customWidth="1"/>
    <col min="5386" max="5386" width="11.4140625" style="259" bestFit="1" customWidth="1"/>
    <col min="5387" max="5387" width="12.4140625" style="259" bestFit="1" customWidth="1"/>
    <col min="5388" max="5388" width="9.08203125" style="259" bestFit="1" customWidth="1"/>
    <col min="5389" max="5389" width="12.4140625" style="259" bestFit="1" customWidth="1"/>
    <col min="5390" max="5390" width="16.4140625" style="259" bestFit="1" customWidth="1"/>
    <col min="5391" max="5391" width="13.75" style="259" bestFit="1" customWidth="1"/>
    <col min="5392" max="5392" width="8.58203125" style="259" bestFit="1" customWidth="1"/>
    <col min="5393" max="5393" width="6.58203125" style="259" bestFit="1" customWidth="1"/>
    <col min="5394" max="5394" width="9.08203125" style="259" customWidth="1"/>
    <col min="5395" max="5395" width="6.08203125" style="259" bestFit="1" customWidth="1"/>
    <col min="5396" max="5396" width="9.33203125" style="259" bestFit="1" customWidth="1"/>
    <col min="5397" max="5397" width="10.4140625" style="259" bestFit="1" customWidth="1"/>
    <col min="5398" max="5630" width="8.75" style="259"/>
    <col min="5631" max="5631" width="6.08203125" style="259" bestFit="1" customWidth="1"/>
    <col min="5632" max="5632" width="14.33203125" style="259" bestFit="1" customWidth="1"/>
    <col min="5633" max="5633" width="21.75" style="259" bestFit="1" customWidth="1"/>
    <col min="5634" max="5634" width="0" style="259" hidden="1" customWidth="1"/>
    <col min="5635" max="5635" width="16.4140625" style="259" bestFit="1" customWidth="1"/>
    <col min="5636" max="5636" width="14" style="259" bestFit="1" customWidth="1"/>
    <col min="5637" max="5637" width="15.4140625" style="259" bestFit="1" customWidth="1"/>
    <col min="5638" max="5638" width="9.75" style="259" bestFit="1" customWidth="1"/>
    <col min="5639" max="5639" width="8.75" style="259" bestFit="1" customWidth="1"/>
    <col min="5640" max="5640" width="11.4140625" style="259" bestFit="1" customWidth="1"/>
    <col min="5641" max="5641" width="10.4140625" style="259" bestFit="1" customWidth="1"/>
    <col min="5642" max="5642" width="11.4140625" style="259" bestFit="1" customWidth="1"/>
    <col min="5643" max="5643" width="12.4140625" style="259" bestFit="1" customWidth="1"/>
    <col min="5644" max="5644" width="9.08203125" style="259" bestFit="1" customWidth="1"/>
    <col min="5645" max="5645" width="12.4140625" style="259" bestFit="1" customWidth="1"/>
    <col min="5646" max="5646" width="16.4140625" style="259" bestFit="1" customWidth="1"/>
    <col min="5647" max="5647" width="13.75" style="259" bestFit="1" customWidth="1"/>
    <col min="5648" max="5648" width="8.58203125" style="259" bestFit="1" customWidth="1"/>
    <col min="5649" max="5649" width="6.58203125" style="259" bestFit="1" customWidth="1"/>
    <col min="5650" max="5650" width="9.08203125" style="259" customWidth="1"/>
    <col min="5651" max="5651" width="6.08203125" style="259" bestFit="1" customWidth="1"/>
    <col min="5652" max="5652" width="9.33203125" style="259" bestFit="1" customWidth="1"/>
    <col min="5653" max="5653" width="10.4140625" style="259" bestFit="1" customWidth="1"/>
    <col min="5654" max="5886" width="8.75" style="259"/>
    <col min="5887" max="5887" width="6.08203125" style="259" bestFit="1" customWidth="1"/>
    <col min="5888" max="5888" width="14.33203125" style="259" bestFit="1" customWidth="1"/>
    <col min="5889" max="5889" width="21.75" style="259" bestFit="1" customWidth="1"/>
    <col min="5890" max="5890" width="0" style="259" hidden="1" customWidth="1"/>
    <col min="5891" max="5891" width="16.4140625" style="259" bestFit="1" customWidth="1"/>
    <col min="5892" max="5892" width="14" style="259" bestFit="1" customWidth="1"/>
    <col min="5893" max="5893" width="15.4140625" style="259" bestFit="1" customWidth="1"/>
    <col min="5894" max="5894" width="9.75" style="259" bestFit="1" customWidth="1"/>
    <col min="5895" max="5895" width="8.75" style="259" bestFit="1" customWidth="1"/>
    <col min="5896" max="5896" width="11.4140625" style="259" bestFit="1" customWidth="1"/>
    <col min="5897" max="5897" width="10.4140625" style="259" bestFit="1" customWidth="1"/>
    <col min="5898" max="5898" width="11.4140625" style="259" bestFit="1" customWidth="1"/>
    <col min="5899" max="5899" width="12.4140625" style="259" bestFit="1" customWidth="1"/>
    <col min="5900" max="5900" width="9.08203125" style="259" bestFit="1" customWidth="1"/>
    <col min="5901" max="5901" width="12.4140625" style="259" bestFit="1" customWidth="1"/>
    <col min="5902" max="5902" width="16.4140625" style="259" bestFit="1" customWidth="1"/>
    <col min="5903" max="5903" width="13.75" style="259" bestFit="1" customWidth="1"/>
    <col min="5904" max="5904" width="8.58203125" style="259" bestFit="1" customWidth="1"/>
    <col min="5905" max="5905" width="6.58203125" style="259" bestFit="1" customWidth="1"/>
    <col min="5906" max="5906" width="9.08203125" style="259" customWidth="1"/>
    <col min="5907" max="5907" width="6.08203125" style="259" bestFit="1" customWidth="1"/>
    <col min="5908" max="5908" width="9.33203125" style="259" bestFit="1" customWidth="1"/>
    <col min="5909" max="5909" width="10.4140625" style="259" bestFit="1" customWidth="1"/>
    <col min="5910" max="6142" width="8.75" style="259"/>
    <col min="6143" max="6143" width="6.08203125" style="259" bestFit="1" customWidth="1"/>
    <col min="6144" max="6144" width="14.33203125" style="259" bestFit="1" customWidth="1"/>
    <col min="6145" max="6145" width="21.75" style="259" bestFit="1" customWidth="1"/>
    <col min="6146" max="6146" width="0" style="259" hidden="1" customWidth="1"/>
    <col min="6147" max="6147" width="16.4140625" style="259" bestFit="1" customWidth="1"/>
    <col min="6148" max="6148" width="14" style="259" bestFit="1" customWidth="1"/>
    <col min="6149" max="6149" width="15.4140625" style="259" bestFit="1" customWidth="1"/>
    <col min="6150" max="6150" width="9.75" style="259" bestFit="1" customWidth="1"/>
    <col min="6151" max="6151" width="8.75" style="259" bestFit="1" customWidth="1"/>
    <col min="6152" max="6152" width="11.4140625" style="259" bestFit="1" customWidth="1"/>
    <col min="6153" max="6153" width="10.4140625" style="259" bestFit="1" customWidth="1"/>
    <col min="6154" max="6154" width="11.4140625" style="259" bestFit="1" customWidth="1"/>
    <col min="6155" max="6155" width="12.4140625" style="259" bestFit="1" customWidth="1"/>
    <col min="6156" max="6156" width="9.08203125" style="259" bestFit="1" customWidth="1"/>
    <col min="6157" max="6157" width="12.4140625" style="259" bestFit="1" customWidth="1"/>
    <col min="6158" max="6158" width="16.4140625" style="259" bestFit="1" customWidth="1"/>
    <col min="6159" max="6159" width="13.75" style="259" bestFit="1" customWidth="1"/>
    <col min="6160" max="6160" width="8.58203125" style="259" bestFit="1" customWidth="1"/>
    <col min="6161" max="6161" width="6.58203125" style="259" bestFit="1" customWidth="1"/>
    <col min="6162" max="6162" width="9.08203125" style="259" customWidth="1"/>
    <col min="6163" max="6163" width="6.08203125" style="259" bestFit="1" customWidth="1"/>
    <col min="6164" max="6164" width="9.33203125" style="259" bestFit="1" customWidth="1"/>
    <col min="6165" max="6165" width="10.4140625" style="259" bestFit="1" customWidth="1"/>
    <col min="6166" max="6398" width="8.75" style="259"/>
    <col min="6399" max="6399" width="6.08203125" style="259" bestFit="1" customWidth="1"/>
    <col min="6400" max="6400" width="14.33203125" style="259" bestFit="1" customWidth="1"/>
    <col min="6401" max="6401" width="21.75" style="259" bestFit="1" customWidth="1"/>
    <col min="6402" max="6402" width="0" style="259" hidden="1" customWidth="1"/>
    <col min="6403" max="6403" width="16.4140625" style="259" bestFit="1" customWidth="1"/>
    <col min="6404" max="6404" width="14" style="259" bestFit="1" customWidth="1"/>
    <col min="6405" max="6405" width="15.4140625" style="259" bestFit="1" customWidth="1"/>
    <col min="6406" max="6406" width="9.75" style="259" bestFit="1" customWidth="1"/>
    <col min="6407" max="6407" width="8.75" style="259" bestFit="1" customWidth="1"/>
    <col min="6408" max="6408" width="11.4140625" style="259" bestFit="1" customWidth="1"/>
    <col min="6409" max="6409" width="10.4140625" style="259" bestFit="1" customWidth="1"/>
    <col min="6410" max="6410" width="11.4140625" style="259" bestFit="1" customWidth="1"/>
    <col min="6411" max="6411" width="12.4140625" style="259" bestFit="1" customWidth="1"/>
    <col min="6412" max="6412" width="9.08203125" style="259" bestFit="1" customWidth="1"/>
    <col min="6413" max="6413" width="12.4140625" style="259" bestFit="1" customWidth="1"/>
    <col min="6414" max="6414" width="16.4140625" style="259" bestFit="1" customWidth="1"/>
    <col min="6415" max="6415" width="13.75" style="259" bestFit="1" customWidth="1"/>
    <col min="6416" max="6416" width="8.58203125" style="259" bestFit="1" customWidth="1"/>
    <col min="6417" max="6417" width="6.58203125" style="259" bestFit="1" customWidth="1"/>
    <col min="6418" max="6418" width="9.08203125" style="259" customWidth="1"/>
    <col min="6419" max="6419" width="6.08203125" style="259" bestFit="1" customWidth="1"/>
    <col min="6420" max="6420" width="9.33203125" style="259" bestFit="1" customWidth="1"/>
    <col min="6421" max="6421" width="10.4140625" style="259" bestFit="1" customWidth="1"/>
    <col min="6422" max="6654" width="8.75" style="259"/>
    <col min="6655" max="6655" width="6.08203125" style="259" bestFit="1" customWidth="1"/>
    <col min="6656" max="6656" width="14.33203125" style="259" bestFit="1" customWidth="1"/>
    <col min="6657" max="6657" width="21.75" style="259" bestFit="1" customWidth="1"/>
    <col min="6658" max="6658" width="0" style="259" hidden="1" customWidth="1"/>
    <col min="6659" max="6659" width="16.4140625" style="259" bestFit="1" customWidth="1"/>
    <col min="6660" max="6660" width="14" style="259" bestFit="1" customWidth="1"/>
    <col min="6661" max="6661" width="15.4140625" style="259" bestFit="1" customWidth="1"/>
    <col min="6662" max="6662" width="9.75" style="259" bestFit="1" customWidth="1"/>
    <col min="6663" max="6663" width="8.75" style="259" bestFit="1" customWidth="1"/>
    <col min="6664" max="6664" width="11.4140625" style="259" bestFit="1" customWidth="1"/>
    <col min="6665" max="6665" width="10.4140625" style="259" bestFit="1" customWidth="1"/>
    <col min="6666" max="6666" width="11.4140625" style="259" bestFit="1" customWidth="1"/>
    <col min="6667" max="6667" width="12.4140625" style="259" bestFit="1" customWidth="1"/>
    <col min="6668" max="6668" width="9.08203125" style="259" bestFit="1" customWidth="1"/>
    <col min="6669" max="6669" width="12.4140625" style="259" bestFit="1" customWidth="1"/>
    <col min="6670" max="6670" width="16.4140625" style="259" bestFit="1" customWidth="1"/>
    <col min="6671" max="6671" width="13.75" style="259" bestFit="1" customWidth="1"/>
    <col min="6672" max="6672" width="8.58203125" style="259" bestFit="1" customWidth="1"/>
    <col min="6673" max="6673" width="6.58203125" style="259" bestFit="1" customWidth="1"/>
    <col min="6674" max="6674" width="9.08203125" style="259" customWidth="1"/>
    <col min="6675" max="6675" width="6.08203125" style="259" bestFit="1" customWidth="1"/>
    <col min="6676" max="6676" width="9.33203125" style="259" bestFit="1" customWidth="1"/>
    <col min="6677" max="6677" width="10.4140625" style="259" bestFit="1" customWidth="1"/>
    <col min="6678" max="6910" width="8.75" style="259"/>
    <col min="6911" max="6911" width="6.08203125" style="259" bestFit="1" customWidth="1"/>
    <col min="6912" max="6912" width="14.33203125" style="259" bestFit="1" customWidth="1"/>
    <col min="6913" max="6913" width="21.75" style="259" bestFit="1" customWidth="1"/>
    <col min="6914" max="6914" width="0" style="259" hidden="1" customWidth="1"/>
    <col min="6915" max="6915" width="16.4140625" style="259" bestFit="1" customWidth="1"/>
    <col min="6916" max="6916" width="14" style="259" bestFit="1" customWidth="1"/>
    <col min="6917" max="6917" width="15.4140625" style="259" bestFit="1" customWidth="1"/>
    <col min="6918" max="6918" width="9.75" style="259" bestFit="1" customWidth="1"/>
    <col min="6919" max="6919" width="8.75" style="259" bestFit="1" customWidth="1"/>
    <col min="6920" max="6920" width="11.4140625" style="259" bestFit="1" customWidth="1"/>
    <col min="6921" max="6921" width="10.4140625" style="259" bestFit="1" customWidth="1"/>
    <col min="6922" max="6922" width="11.4140625" style="259" bestFit="1" customWidth="1"/>
    <col min="6923" max="6923" width="12.4140625" style="259" bestFit="1" customWidth="1"/>
    <col min="6924" max="6924" width="9.08203125" style="259" bestFit="1" customWidth="1"/>
    <col min="6925" max="6925" width="12.4140625" style="259" bestFit="1" customWidth="1"/>
    <col min="6926" max="6926" width="16.4140625" style="259" bestFit="1" customWidth="1"/>
    <col min="6927" max="6927" width="13.75" style="259" bestFit="1" customWidth="1"/>
    <col min="6928" max="6928" width="8.58203125" style="259" bestFit="1" customWidth="1"/>
    <col min="6929" max="6929" width="6.58203125" style="259" bestFit="1" customWidth="1"/>
    <col min="6930" max="6930" width="9.08203125" style="259" customWidth="1"/>
    <col min="6931" max="6931" width="6.08203125" style="259" bestFit="1" customWidth="1"/>
    <col min="6932" max="6932" width="9.33203125" style="259" bestFit="1" customWidth="1"/>
    <col min="6933" max="6933" width="10.4140625" style="259" bestFit="1" customWidth="1"/>
    <col min="6934" max="7166" width="8.75" style="259"/>
    <col min="7167" max="7167" width="6.08203125" style="259" bestFit="1" customWidth="1"/>
    <col min="7168" max="7168" width="14.33203125" style="259" bestFit="1" customWidth="1"/>
    <col min="7169" max="7169" width="21.75" style="259" bestFit="1" customWidth="1"/>
    <col min="7170" max="7170" width="0" style="259" hidden="1" customWidth="1"/>
    <col min="7171" max="7171" width="16.4140625" style="259" bestFit="1" customWidth="1"/>
    <col min="7172" max="7172" width="14" style="259" bestFit="1" customWidth="1"/>
    <col min="7173" max="7173" width="15.4140625" style="259" bestFit="1" customWidth="1"/>
    <col min="7174" max="7174" width="9.75" style="259" bestFit="1" customWidth="1"/>
    <col min="7175" max="7175" width="8.75" style="259" bestFit="1" customWidth="1"/>
    <col min="7176" max="7176" width="11.4140625" style="259" bestFit="1" customWidth="1"/>
    <col min="7177" max="7177" width="10.4140625" style="259" bestFit="1" customWidth="1"/>
    <col min="7178" max="7178" width="11.4140625" style="259" bestFit="1" customWidth="1"/>
    <col min="7179" max="7179" width="12.4140625" style="259" bestFit="1" customWidth="1"/>
    <col min="7180" max="7180" width="9.08203125" style="259" bestFit="1" customWidth="1"/>
    <col min="7181" max="7181" width="12.4140625" style="259" bestFit="1" customWidth="1"/>
    <col min="7182" max="7182" width="16.4140625" style="259" bestFit="1" customWidth="1"/>
    <col min="7183" max="7183" width="13.75" style="259" bestFit="1" customWidth="1"/>
    <col min="7184" max="7184" width="8.58203125" style="259" bestFit="1" customWidth="1"/>
    <col min="7185" max="7185" width="6.58203125" style="259" bestFit="1" customWidth="1"/>
    <col min="7186" max="7186" width="9.08203125" style="259" customWidth="1"/>
    <col min="7187" max="7187" width="6.08203125" style="259" bestFit="1" customWidth="1"/>
    <col min="7188" max="7188" width="9.33203125" style="259" bestFit="1" customWidth="1"/>
    <col min="7189" max="7189" width="10.4140625" style="259" bestFit="1" customWidth="1"/>
    <col min="7190" max="7422" width="8.75" style="259"/>
    <col min="7423" max="7423" width="6.08203125" style="259" bestFit="1" customWidth="1"/>
    <col min="7424" max="7424" width="14.33203125" style="259" bestFit="1" customWidth="1"/>
    <col min="7425" max="7425" width="21.75" style="259" bestFit="1" customWidth="1"/>
    <col min="7426" max="7426" width="0" style="259" hidden="1" customWidth="1"/>
    <col min="7427" max="7427" width="16.4140625" style="259" bestFit="1" customWidth="1"/>
    <col min="7428" max="7428" width="14" style="259" bestFit="1" customWidth="1"/>
    <col min="7429" max="7429" width="15.4140625" style="259" bestFit="1" customWidth="1"/>
    <col min="7430" max="7430" width="9.75" style="259" bestFit="1" customWidth="1"/>
    <col min="7431" max="7431" width="8.75" style="259" bestFit="1" customWidth="1"/>
    <col min="7432" max="7432" width="11.4140625" style="259" bestFit="1" customWidth="1"/>
    <col min="7433" max="7433" width="10.4140625" style="259" bestFit="1" customWidth="1"/>
    <col min="7434" max="7434" width="11.4140625" style="259" bestFit="1" customWidth="1"/>
    <col min="7435" max="7435" width="12.4140625" style="259" bestFit="1" customWidth="1"/>
    <col min="7436" max="7436" width="9.08203125" style="259" bestFit="1" customWidth="1"/>
    <col min="7437" max="7437" width="12.4140625" style="259" bestFit="1" customWidth="1"/>
    <col min="7438" max="7438" width="16.4140625" style="259" bestFit="1" customWidth="1"/>
    <col min="7439" max="7439" width="13.75" style="259" bestFit="1" customWidth="1"/>
    <col min="7440" max="7440" width="8.58203125" style="259" bestFit="1" customWidth="1"/>
    <col min="7441" max="7441" width="6.58203125" style="259" bestFit="1" customWidth="1"/>
    <col min="7442" max="7442" width="9.08203125" style="259" customWidth="1"/>
    <col min="7443" max="7443" width="6.08203125" style="259" bestFit="1" customWidth="1"/>
    <col min="7444" max="7444" width="9.33203125" style="259" bestFit="1" customWidth="1"/>
    <col min="7445" max="7445" width="10.4140625" style="259" bestFit="1" customWidth="1"/>
    <col min="7446" max="7678" width="8.75" style="259"/>
    <col min="7679" max="7679" width="6.08203125" style="259" bestFit="1" customWidth="1"/>
    <col min="7680" max="7680" width="14.33203125" style="259" bestFit="1" customWidth="1"/>
    <col min="7681" max="7681" width="21.75" style="259" bestFit="1" customWidth="1"/>
    <col min="7682" max="7682" width="0" style="259" hidden="1" customWidth="1"/>
    <col min="7683" max="7683" width="16.4140625" style="259" bestFit="1" customWidth="1"/>
    <col min="7684" max="7684" width="14" style="259" bestFit="1" customWidth="1"/>
    <col min="7685" max="7685" width="15.4140625" style="259" bestFit="1" customWidth="1"/>
    <col min="7686" max="7686" width="9.75" style="259" bestFit="1" customWidth="1"/>
    <col min="7687" max="7687" width="8.75" style="259" bestFit="1" customWidth="1"/>
    <col min="7688" max="7688" width="11.4140625" style="259" bestFit="1" customWidth="1"/>
    <col min="7689" max="7689" width="10.4140625" style="259" bestFit="1" customWidth="1"/>
    <col min="7690" max="7690" width="11.4140625" style="259" bestFit="1" customWidth="1"/>
    <col min="7691" max="7691" width="12.4140625" style="259" bestFit="1" customWidth="1"/>
    <col min="7692" max="7692" width="9.08203125" style="259" bestFit="1" customWidth="1"/>
    <col min="7693" max="7693" width="12.4140625" style="259" bestFit="1" customWidth="1"/>
    <col min="7694" max="7694" width="16.4140625" style="259" bestFit="1" customWidth="1"/>
    <col min="7695" max="7695" width="13.75" style="259" bestFit="1" customWidth="1"/>
    <col min="7696" max="7696" width="8.58203125" style="259" bestFit="1" customWidth="1"/>
    <col min="7697" max="7697" width="6.58203125" style="259" bestFit="1" customWidth="1"/>
    <col min="7698" max="7698" width="9.08203125" style="259" customWidth="1"/>
    <col min="7699" max="7699" width="6.08203125" style="259" bestFit="1" customWidth="1"/>
    <col min="7700" max="7700" width="9.33203125" style="259" bestFit="1" customWidth="1"/>
    <col min="7701" max="7701" width="10.4140625" style="259" bestFit="1" customWidth="1"/>
    <col min="7702" max="7934" width="8.75" style="259"/>
    <col min="7935" max="7935" width="6.08203125" style="259" bestFit="1" customWidth="1"/>
    <col min="7936" max="7936" width="14.33203125" style="259" bestFit="1" customWidth="1"/>
    <col min="7937" max="7937" width="21.75" style="259" bestFit="1" customWidth="1"/>
    <col min="7938" max="7938" width="0" style="259" hidden="1" customWidth="1"/>
    <col min="7939" max="7939" width="16.4140625" style="259" bestFit="1" customWidth="1"/>
    <col min="7940" max="7940" width="14" style="259" bestFit="1" customWidth="1"/>
    <col min="7941" max="7941" width="15.4140625" style="259" bestFit="1" customWidth="1"/>
    <col min="7942" max="7942" width="9.75" style="259" bestFit="1" customWidth="1"/>
    <col min="7943" max="7943" width="8.75" style="259" bestFit="1" customWidth="1"/>
    <col min="7944" max="7944" width="11.4140625" style="259" bestFit="1" customWidth="1"/>
    <col min="7945" max="7945" width="10.4140625" style="259" bestFit="1" customWidth="1"/>
    <col min="7946" max="7946" width="11.4140625" style="259" bestFit="1" customWidth="1"/>
    <col min="7947" max="7947" width="12.4140625" style="259" bestFit="1" customWidth="1"/>
    <col min="7948" max="7948" width="9.08203125" style="259" bestFit="1" customWidth="1"/>
    <col min="7949" max="7949" width="12.4140625" style="259" bestFit="1" customWidth="1"/>
    <col min="7950" max="7950" width="16.4140625" style="259" bestFit="1" customWidth="1"/>
    <col min="7951" max="7951" width="13.75" style="259" bestFit="1" customWidth="1"/>
    <col min="7952" max="7952" width="8.58203125" style="259" bestFit="1" customWidth="1"/>
    <col min="7953" max="7953" width="6.58203125" style="259" bestFit="1" customWidth="1"/>
    <col min="7954" max="7954" width="9.08203125" style="259" customWidth="1"/>
    <col min="7955" max="7955" width="6.08203125" style="259" bestFit="1" customWidth="1"/>
    <col min="7956" max="7956" width="9.33203125" style="259" bestFit="1" customWidth="1"/>
    <col min="7957" max="7957" width="10.4140625" style="259" bestFit="1" customWidth="1"/>
    <col min="7958" max="8190" width="8.75" style="259"/>
    <col min="8191" max="8191" width="6.08203125" style="259" bestFit="1" customWidth="1"/>
    <col min="8192" max="8192" width="14.33203125" style="259" bestFit="1" customWidth="1"/>
    <col min="8193" max="8193" width="21.75" style="259" bestFit="1" customWidth="1"/>
    <col min="8194" max="8194" width="0" style="259" hidden="1" customWidth="1"/>
    <col min="8195" max="8195" width="16.4140625" style="259" bestFit="1" customWidth="1"/>
    <col min="8196" max="8196" width="14" style="259" bestFit="1" customWidth="1"/>
    <col min="8197" max="8197" width="15.4140625" style="259" bestFit="1" customWidth="1"/>
    <col min="8198" max="8198" width="9.75" style="259" bestFit="1" customWidth="1"/>
    <col min="8199" max="8199" width="8.75" style="259" bestFit="1" customWidth="1"/>
    <col min="8200" max="8200" width="11.4140625" style="259" bestFit="1" customWidth="1"/>
    <col min="8201" max="8201" width="10.4140625" style="259" bestFit="1" customWidth="1"/>
    <col min="8202" max="8202" width="11.4140625" style="259" bestFit="1" customWidth="1"/>
    <col min="8203" max="8203" width="12.4140625" style="259" bestFit="1" customWidth="1"/>
    <col min="8204" max="8204" width="9.08203125" style="259" bestFit="1" customWidth="1"/>
    <col min="8205" max="8205" width="12.4140625" style="259" bestFit="1" customWidth="1"/>
    <col min="8206" max="8206" width="16.4140625" style="259" bestFit="1" customWidth="1"/>
    <col min="8207" max="8207" width="13.75" style="259" bestFit="1" customWidth="1"/>
    <col min="8208" max="8208" width="8.58203125" style="259" bestFit="1" customWidth="1"/>
    <col min="8209" max="8209" width="6.58203125" style="259" bestFit="1" customWidth="1"/>
    <col min="8210" max="8210" width="9.08203125" style="259" customWidth="1"/>
    <col min="8211" max="8211" width="6.08203125" style="259" bestFit="1" customWidth="1"/>
    <col min="8212" max="8212" width="9.33203125" style="259" bestFit="1" customWidth="1"/>
    <col min="8213" max="8213" width="10.4140625" style="259" bestFit="1" customWidth="1"/>
    <col min="8214" max="8446" width="8.75" style="259"/>
    <col min="8447" max="8447" width="6.08203125" style="259" bestFit="1" customWidth="1"/>
    <col min="8448" max="8448" width="14.33203125" style="259" bestFit="1" customWidth="1"/>
    <col min="8449" max="8449" width="21.75" style="259" bestFit="1" customWidth="1"/>
    <col min="8450" max="8450" width="0" style="259" hidden="1" customWidth="1"/>
    <col min="8451" max="8451" width="16.4140625" style="259" bestFit="1" customWidth="1"/>
    <col min="8452" max="8452" width="14" style="259" bestFit="1" customWidth="1"/>
    <col min="8453" max="8453" width="15.4140625" style="259" bestFit="1" customWidth="1"/>
    <col min="8454" max="8454" width="9.75" style="259" bestFit="1" customWidth="1"/>
    <col min="8455" max="8455" width="8.75" style="259" bestFit="1" customWidth="1"/>
    <col min="8456" max="8456" width="11.4140625" style="259" bestFit="1" customWidth="1"/>
    <col min="8457" max="8457" width="10.4140625" style="259" bestFit="1" customWidth="1"/>
    <col min="8458" max="8458" width="11.4140625" style="259" bestFit="1" customWidth="1"/>
    <col min="8459" max="8459" width="12.4140625" style="259" bestFit="1" customWidth="1"/>
    <col min="8460" max="8460" width="9.08203125" style="259" bestFit="1" customWidth="1"/>
    <col min="8461" max="8461" width="12.4140625" style="259" bestFit="1" customWidth="1"/>
    <col min="8462" max="8462" width="16.4140625" style="259" bestFit="1" customWidth="1"/>
    <col min="8463" max="8463" width="13.75" style="259" bestFit="1" customWidth="1"/>
    <col min="8464" max="8464" width="8.58203125" style="259" bestFit="1" customWidth="1"/>
    <col min="8465" max="8465" width="6.58203125" style="259" bestFit="1" customWidth="1"/>
    <col min="8466" max="8466" width="9.08203125" style="259" customWidth="1"/>
    <col min="8467" max="8467" width="6.08203125" style="259" bestFit="1" customWidth="1"/>
    <col min="8468" max="8468" width="9.33203125" style="259" bestFit="1" customWidth="1"/>
    <col min="8469" max="8469" width="10.4140625" style="259" bestFit="1" customWidth="1"/>
    <col min="8470" max="8702" width="8.75" style="259"/>
    <col min="8703" max="8703" width="6.08203125" style="259" bestFit="1" customWidth="1"/>
    <col min="8704" max="8704" width="14.33203125" style="259" bestFit="1" customWidth="1"/>
    <col min="8705" max="8705" width="21.75" style="259" bestFit="1" customWidth="1"/>
    <col min="8706" max="8706" width="0" style="259" hidden="1" customWidth="1"/>
    <col min="8707" max="8707" width="16.4140625" style="259" bestFit="1" customWidth="1"/>
    <col min="8708" max="8708" width="14" style="259" bestFit="1" customWidth="1"/>
    <col min="8709" max="8709" width="15.4140625" style="259" bestFit="1" customWidth="1"/>
    <col min="8710" max="8710" width="9.75" style="259" bestFit="1" customWidth="1"/>
    <col min="8711" max="8711" width="8.75" style="259" bestFit="1" customWidth="1"/>
    <col min="8712" max="8712" width="11.4140625" style="259" bestFit="1" customWidth="1"/>
    <col min="8713" max="8713" width="10.4140625" style="259" bestFit="1" customWidth="1"/>
    <col min="8714" max="8714" width="11.4140625" style="259" bestFit="1" customWidth="1"/>
    <col min="8715" max="8715" width="12.4140625" style="259" bestFit="1" customWidth="1"/>
    <col min="8716" max="8716" width="9.08203125" style="259" bestFit="1" customWidth="1"/>
    <col min="8717" max="8717" width="12.4140625" style="259" bestFit="1" customWidth="1"/>
    <col min="8718" max="8718" width="16.4140625" style="259" bestFit="1" customWidth="1"/>
    <col min="8719" max="8719" width="13.75" style="259" bestFit="1" customWidth="1"/>
    <col min="8720" max="8720" width="8.58203125" style="259" bestFit="1" customWidth="1"/>
    <col min="8721" max="8721" width="6.58203125" style="259" bestFit="1" customWidth="1"/>
    <col min="8722" max="8722" width="9.08203125" style="259" customWidth="1"/>
    <col min="8723" max="8723" width="6.08203125" style="259" bestFit="1" customWidth="1"/>
    <col min="8724" max="8724" width="9.33203125" style="259" bestFit="1" customWidth="1"/>
    <col min="8725" max="8725" width="10.4140625" style="259" bestFit="1" customWidth="1"/>
    <col min="8726" max="8958" width="8.75" style="259"/>
    <col min="8959" max="8959" width="6.08203125" style="259" bestFit="1" customWidth="1"/>
    <col min="8960" max="8960" width="14.33203125" style="259" bestFit="1" customWidth="1"/>
    <col min="8961" max="8961" width="21.75" style="259" bestFit="1" customWidth="1"/>
    <col min="8962" max="8962" width="0" style="259" hidden="1" customWidth="1"/>
    <col min="8963" max="8963" width="16.4140625" style="259" bestFit="1" customWidth="1"/>
    <col min="8964" max="8964" width="14" style="259" bestFit="1" customWidth="1"/>
    <col min="8965" max="8965" width="15.4140625" style="259" bestFit="1" customWidth="1"/>
    <col min="8966" max="8966" width="9.75" style="259" bestFit="1" customWidth="1"/>
    <col min="8967" max="8967" width="8.75" style="259" bestFit="1" customWidth="1"/>
    <col min="8968" max="8968" width="11.4140625" style="259" bestFit="1" customWidth="1"/>
    <col min="8969" max="8969" width="10.4140625" style="259" bestFit="1" customWidth="1"/>
    <col min="8970" max="8970" width="11.4140625" style="259" bestFit="1" customWidth="1"/>
    <col min="8971" max="8971" width="12.4140625" style="259" bestFit="1" customWidth="1"/>
    <col min="8972" max="8972" width="9.08203125" style="259" bestFit="1" customWidth="1"/>
    <col min="8973" max="8973" width="12.4140625" style="259" bestFit="1" customWidth="1"/>
    <col min="8974" max="8974" width="16.4140625" style="259" bestFit="1" customWidth="1"/>
    <col min="8975" max="8975" width="13.75" style="259" bestFit="1" customWidth="1"/>
    <col min="8976" max="8976" width="8.58203125" style="259" bestFit="1" customWidth="1"/>
    <col min="8977" max="8977" width="6.58203125" style="259" bestFit="1" customWidth="1"/>
    <col min="8978" max="8978" width="9.08203125" style="259" customWidth="1"/>
    <col min="8979" max="8979" width="6.08203125" style="259" bestFit="1" customWidth="1"/>
    <col min="8980" max="8980" width="9.33203125" style="259" bestFit="1" customWidth="1"/>
    <col min="8981" max="8981" width="10.4140625" style="259" bestFit="1" customWidth="1"/>
    <col min="8982" max="9214" width="8.75" style="259"/>
    <col min="9215" max="9215" width="6.08203125" style="259" bestFit="1" customWidth="1"/>
    <col min="9216" max="9216" width="14.33203125" style="259" bestFit="1" customWidth="1"/>
    <col min="9217" max="9217" width="21.75" style="259" bestFit="1" customWidth="1"/>
    <col min="9218" max="9218" width="0" style="259" hidden="1" customWidth="1"/>
    <col min="9219" max="9219" width="16.4140625" style="259" bestFit="1" customWidth="1"/>
    <col min="9220" max="9220" width="14" style="259" bestFit="1" customWidth="1"/>
    <col min="9221" max="9221" width="15.4140625" style="259" bestFit="1" customWidth="1"/>
    <col min="9222" max="9222" width="9.75" style="259" bestFit="1" customWidth="1"/>
    <col min="9223" max="9223" width="8.75" style="259" bestFit="1" customWidth="1"/>
    <col min="9224" max="9224" width="11.4140625" style="259" bestFit="1" customWidth="1"/>
    <col min="9225" max="9225" width="10.4140625" style="259" bestFit="1" customWidth="1"/>
    <col min="9226" max="9226" width="11.4140625" style="259" bestFit="1" customWidth="1"/>
    <col min="9227" max="9227" width="12.4140625" style="259" bestFit="1" customWidth="1"/>
    <col min="9228" max="9228" width="9.08203125" style="259" bestFit="1" customWidth="1"/>
    <col min="9229" max="9229" width="12.4140625" style="259" bestFit="1" customWidth="1"/>
    <col min="9230" max="9230" width="16.4140625" style="259" bestFit="1" customWidth="1"/>
    <col min="9231" max="9231" width="13.75" style="259" bestFit="1" customWidth="1"/>
    <col min="9232" max="9232" width="8.58203125" style="259" bestFit="1" customWidth="1"/>
    <col min="9233" max="9233" width="6.58203125" style="259" bestFit="1" customWidth="1"/>
    <col min="9234" max="9234" width="9.08203125" style="259" customWidth="1"/>
    <col min="9235" max="9235" width="6.08203125" style="259" bestFit="1" customWidth="1"/>
    <col min="9236" max="9236" width="9.33203125" style="259" bestFit="1" customWidth="1"/>
    <col min="9237" max="9237" width="10.4140625" style="259" bestFit="1" customWidth="1"/>
    <col min="9238" max="9470" width="8.75" style="259"/>
    <col min="9471" max="9471" width="6.08203125" style="259" bestFit="1" customWidth="1"/>
    <col min="9472" max="9472" width="14.33203125" style="259" bestFit="1" customWidth="1"/>
    <col min="9473" max="9473" width="21.75" style="259" bestFit="1" customWidth="1"/>
    <col min="9474" max="9474" width="0" style="259" hidden="1" customWidth="1"/>
    <col min="9475" max="9475" width="16.4140625" style="259" bestFit="1" customWidth="1"/>
    <col min="9476" max="9476" width="14" style="259" bestFit="1" customWidth="1"/>
    <col min="9477" max="9477" width="15.4140625" style="259" bestFit="1" customWidth="1"/>
    <col min="9478" max="9478" width="9.75" style="259" bestFit="1" customWidth="1"/>
    <col min="9479" max="9479" width="8.75" style="259" bestFit="1" customWidth="1"/>
    <col min="9480" max="9480" width="11.4140625" style="259" bestFit="1" customWidth="1"/>
    <col min="9481" max="9481" width="10.4140625" style="259" bestFit="1" customWidth="1"/>
    <col min="9482" max="9482" width="11.4140625" style="259" bestFit="1" customWidth="1"/>
    <col min="9483" max="9483" width="12.4140625" style="259" bestFit="1" customWidth="1"/>
    <col min="9484" max="9484" width="9.08203125" style="259" bestFit="1" customWidth="1"/>
    <col min="9485" max="9485" width="12.4140625" style="259" bestFit="1" customWidth="1"/>
    <col min="9486" max="9486" width="16.4140625" style="259" bestFit="1" customWidth="1"/>
    <col min="9487" max="9487" width="13.75" style="259" bestFit="1" customWidth="1"/>
    <col min="9488" max="9488" width="8.58203125" style="259" bestFit="1" customWidth="1"/>
    <col min="9489" max="9489" width="6.58203125" style="259" bestFit="1" customWidth="1"/>
    <col min="9490" max="9490" width="9.08203125" style="259" customWidth="1"/>
    <col min="9491" max="9491" width="6.08203125" style="259" bestFit="1" customWidth="1"/>
    <col min="9492" max="9492" width="9.33203125" style="259" bestFit="1" customWidth="1"/>
    <col min="9493" max="9493" width="10.4140625" style="259" bestFit="1" customWidth="1"/>
    <col min="9494" max="9726" width="8.75" style="259"/>
    <col min="9727" max="9727" width="6.08203125" style="259" bestFit="1" customWidth="1"/>
    <col min="9728" max="9728" width="14.33203125" style="259" bestFit="1" customWidth="1"/>
    <col min="9729" max="9729" width="21.75" style="259" bestFit="1" customWidth="1"/>
    <col min="9730" max="9730" width="0" style="259" hidden="1" customWidth="1"/>
    <col min="9731" max="9731" width="16.4140625" style="259" bestFit="1" customWidth="1"/>
    <col min="9732" max="9732" width="14" style="259" bestFit="1" customWidth="1"/>
    <col min="9733" max="9733" width="15.4140625" style="259" bestFit="1" customWidth="1"/>
    <col min="9734" max="9734" width="9.75" style="259" bestFit="1" customWidth="1"/>
    <col min="9735" max="9735" width="8.75" style="259" bestFit="1" customWidth="1"/>
    <col min="9736" max="9736" width="11.4140625" style="259" bestFit="1" customWidth="1"/>
    <col min="9737" max="9737" width="10.4140625" style="259" bestFit="1" customWidth="1"/>
    <col min="9738" max="9738" width="11.4140625" style="259" bestFit="1" customWidth="1"/>
    <col min="9739" max="9739" width="12.4140625" style="259" bestFit="1" customWidth="1"/>
    <col min="9740" max="9740" width="9.08203125" style="259" bestFit="1" customWidth="1"/>
    <col min="9741" max="9741" width="12.4140625" style="259" bestFit="1" customWidth="1"/>
    <col min="9742" max="9742" width="16.4140625" style="259" bestFit="1" customWidth="1"/>
    <col min="9743" max="9743" width="13.75" style="259" bestFit="1" customWidth="1"/>
    <col min="9744" max="9744" width="8.58203125" style="259" bestFit="1" customWidth="1"/>
    <col min="9745" max="9745" width="6.58203125" style="259" bestFit="1" customWidth="1"/>
    <col min="9746" max="9746" width="9.08203125" style="259" customWidth="1"/>
    <col min="9747" max="9747" width="6.08203125" style="259" bestFit="1" customWidth="1"/>
    <col min="9748" max="9748" width="9.33203125" style="259" bestFit="1" customWidth="1"/>
    <col min="9749" max="9749" width="10.4140625" style="259" bestFit="1" customWidth="1"/>
    <col min="9750" max="9982" width="8.75" style="259"/>
    <col min="9983" max="9983" width="6.08203125" style="259" bestFit="1" customWidth="1"/>
    <col min="9984" max="9984" width="14.33203125" style="259" bestFit="1" customWidth="1"/>
    <col min="9985" max="9985" width="21.75" style="259" bestFit="1" customWidth="1"/>
    <col min="9986" max="9986" width="0" style="259" hidden="1" customWidth="1"/>
    <col min="9987" max="9987" width="16.4140625" style="259" bestFit="1" customWidth="1"/>
    <col min="9988" max="9988" width="14" style="259" bestFit="1" customWidth="1"/>
    <col min="9989" max="9989" width="15.4140625" style="259" bestFit="1" customWidth="1"/>
    <col min="9990" max="9990" width="9.75" style="259" bestFit="1" customWidth="1"/>
    <col min="9991" max="9991" width="8.75" style="259" bestFit="1" customWidth="1"/>
    <col min="9992" max="9992" width="11.4140625" style="259" bestFit="1" customWidth="1"/>
    <col min="9993" max="9993" width="10.4140625" style="259" bestFit="1" customWidth="1"/>
    <col min="9994" max="9994" width="11.4140625" style="259" bestFit="1" customWidth="1"/>
    <col min="9995" max="9995" width="12.4140625" style="259" bestFit="1" customWidth="1"/>
    <col min="9996" max="9996" width="9.08203125" style="259" bestFit="1" customWidth="1"/>
    <col min="9997" max="9997" width="12.4140625" style="259" bestFit="1" customWidth="1"/>
    <col min="9998" max="9998" width="16.4140625" style="259" bestFit="1" customWidth="1"/>
    <col min="9999" max="9999" width="13.75" style="259" bestFit="1" customWidth="1"/>
    <col min="10000" max="10000" width="8.58203125" style="259" bestFit="1" customWidth="1"/>
    <col min="10001" max="10001" width="6.58203125" style="259" bestFit="1" customWidth="1"/>
    <col min="10002" max="10002" width="9.08203125" style="259" customWidth="1"/>
    <col min="10003" max="10003" width="6.08203125" style="259" bestFit="1" customWidth="1"/>
    <col min="10004" max="10004" width="9.33203125" style="259" bestFit="1" customWidth="1"/>
    <col min="10005" max="10005" width="10.4140625" style="259" bestFit="1" customWidth="1"/>
    <col min="10006" max="10238" width="8.75" style="259"/>
    <col min="10239" max="10239" width="6.08203125" style="259" bestFit="1" customWidth="1"/>
    <col min="10240" max="10240" width="14.33203125" style="259" bestFit="1" customWidth="1"/>
    <col min="10241" max="10241" width="21.75" style="259" bestFit="1" customWidth="1"/>
    <col min="10242" max="10242" width="0" style="259" hidden="1" customWidth="1"/>
    <col min="10243" max="10243" width="16.4140625" style="259" bestFit="1" customWidth="1"/>
    <col min="10244" max="10244" width="14" style="259" bestFit="1" customWidth="1"/>
    <col min="10245" max="10245" width="15.4140625" style="259" bestFit="1" customWidth="1"/>
    <col min="10246" max="10246" width="9.75" style="259" bestFit="1" customWidth="1"/>
    <col min="10247" max="10247" width="8.75" style="259" bestFit="1" customWidth="1"/>
    <col min="10248" max="10248" width="11.4140625" style="259" bestFit="1" customWidth="1"/>
    <col min="10249" max="10249" width="10.4140625" style="259" bestFit="1" customWidth="1"/>
    <col min="10250" max="10250" width="11.4140625" style="259" bestFit="1" customWidth="1"/>
    <col min="10251" max="10251" width="12.4140625" style="259" bestFit="1" customWidth="1"/>
    <col min="10252" max="10252" width="9.08203125" style="259" bestFit="1" customWidth="1"/>
    <col min="10253" max="10253" width="12.4140625" style="259" bestFit="1" customWidth="1"/>
    <col min="10254" max="10254" width="16.4140625" style="259" bestFit="1" customWidth="1"/>
    <col min="10255" max="10255" width="13.75" style="259" bestFit="1" customWidth="1"/>
    <col min="10256" max="10256" width="8.58203125" style="259" bestFit="1" customWidth="1"/>
    <col min="10257" max="10257" width="6.58203125" style="259" bestFit="1" customWidth="1"/>
    <col min="10258" max="10258" width="9.08203125" style="259" customWidth="1"/>
    <col min="10259" max="10259" width="6.08203125" style="259" bestFit="1" customWidth="1"/>
    <col min="10260" max="10260" width="9.33203125" style="259" bestFit="1" customWidth="1"/>
    <col min="10261" max="10261" width="10.4140625" style="259" bestFit="1" customWidth="1"/>
    <col min="10262" max="10494" width="8.75" style="259"/>
    <col min="10495" max="10495" width="6.08203125" style="259" bestFit="1" customWidth="1"/>
    <col min="10496" max="10496" width="14.33203125" style="259" bestFit="1" customWidth="1"/>
    <col min="10497" max="10497" width="21.75" style="259" bestFit="1" customWidth="1"/>
    <col min="10498" max="10498" width="0" style="259" hidden="1" customWidth="1"/>
    <col min="10499" max="10499" width="16.4140625" style="259" bestFit="1" customWidth="1"/>
    <col min="10500" max="10500" width="14" style="259" bestFit="1" customWidth="1"/>
    <col min="10501" max="10501" width="15.4140625" style="259" bestFit="1" customWidth="1"/>
    <col min="10502" max="10502" width="9.75" style="259" bestFit="1" customWidth="1"/>
    <col min="10503" max="10503" width="8.75" style="259" bestFit="1" customWidth="1"/>
    <col min="10504" max="10504" width="11.4140625" style="259" bestFit="1" customWidth="1"/>
    <col min="10505" max="10505" width="10.4140625" style="259" bestFit="1" customWidth="1"/>
    <col min="10506" max="10506" width="11.4140625" style="259" bestFit="1" customWidth="1"/>
    <col min="10507" max="10507" width="12.4140625" style="259" bestFit="1" customWidth="1"/>
    <col min="10508" max="10508" width="9.08203125" style="259" bestFit="1" customWidth="1"/>
    <col min="10509" max="10509" width="12.4140625" style="259" bestFit="1" customWidth="1"/>
    <col min="10510" max="10510" width="16.4140625" style="259" bestFit="1" customWidth="1"/>
    <col min="10511" max="10511" width="13.75" style="259" bestFit="1" customWidth="1"/>
    <col min="10512" max="10512" width="8.58203125" style="259" bestFit="1" customWidth="1"/>
    <col min="10513" max="10513" width="6.58203125" style="259" bestFit="1" customWidth="1"/>
    <col min="10514" max="10514" width="9.08203125" style="259" customWidth="1"/>
    <col min="10515" max="10515" width="6.08203125" style="259" bestFit="1" customWidth="1"/>
    <col min="10516" max="10516" width="9.33203125" style="259" bestFit="1" customWidth="1"/>
    <col min="10517" max="10517" width="10.4140625" style="259" bestFit="1" customWidth="1"/>
    <col min="10518" max="10750" width="8.75" style="259"/>
    <col min="10751" max="10751" width="6.08203125" style="259" bestFit="1" customWidth="1"/>
    <col min="10752" max="10752" width="14.33203125" style="259" bestFit="1" customWidth="1"/>
    <col min="10753" max="10753" width="21.75" style="259" bestFit="1" customWidth="1"/>
    <col min="10754" max="10754" width="0" style="259" hidden="1" customWidth="1"/>
    <col min="10755" max="10755" width="16.4140625" style="259" bestFit="1" customWidth="1"/>
    <col min="10756" max="10756" width="14" style="259" bestFit="1" customWidth="1"/>
    <col min="10757" max="10757" width="15.4140625" style="259" bestFit="1" customWidth="1"/>
    <col min="10758" max="10758" width="9.75" style="259" bestFit="1" customWidth="1"/>
    <col min="10759" max="10759" width="8.75" style="259" bestFit="1" customWidth="1"/>
    <col min="10760" max="10760" width="11.4140625" style="259" bestFit="1" customWidth="1"/>
    <col min="10761" max="10761" width="10.4140625" style="259" bestFit="1" customWidth="1"/>
    <col min="10762" max="10762" width="11.4140625" style="259" bestFit="1" customWidth="1"/>
    <col min="10763" max="10763" width="12.4140625" style="259" bestFit="1" customWidth="1"/>
    <col min="10764" max="10764" width="9.08203125" style="259" bestFit="1" customWidth="1"/>
    <col min="10765" max="10765" width="12.4140625" style="259" bestFit="1" customWidth="1"/>
    <col min="10766" max="10766" width="16.4140625" style="259" bestFit="1" customWidth="1"/>
    <col min="10767" max="10767" width="13.75" style="259" bestFit="1" customWidth="1"/>
    <col min="10768" max="10768" width="8.58203125" style="259" bestFit="1" customWidth="1"/>
    <col min="10769" max="10769" width="6.58203125" style="259" bestFit="1" customWidth="1"/>
    <col min="10770" max="10770" width="9.08203125" style="259" customWidth="1"/>
    <col min="10771" max="10771" width="6.08203125" style="259" bestFit="1" customWidth="1"/>
    <col min="10772" max="10772" width="9.33203125" style="259" bestFit="1" customWidth="1"/>
    <col min="10773" max="10773" width="10.4140625" style="259" bestFit="1" customWidth="1"/>
    <col min="10774" max="11006" width="8.75" style="259"/>
    <col min="11007" max="11007" width="6.08203125" style="259" bestFit="1" customWidth="1"/>
    <col min="11008" max="11008" width="14.33203125" style="259" bestFit="1" customWidth="1"/>
    <col min="11009" max="11009" width="21.75" style="259" bestFit="1" customWidth="1"/>
    <col min="11010" max="11010" width="0" style="259" hidden="1" customWidth="1"/>
    <col min="11011" max="11011" width="16.4140625" style="259" bestFit="1" customWidth="1"/>
    <col min="11012" max="11012" width="14" style="259" bestFit="1" customWidth="1"/>
    <col min="11013" max="11013" width="15.4140625" style="259" bestFit="1" customWidth="1"/>
    <col min="11014" max="11014" width="9.75" style="259" bestFit="1" customWidth="1"/>
    <col min="11015" max="11015" width="8.75" style="259" bestFit="1" customWidth="1"/>
    <col min="11016" max="11016" width="11.4140625" style="259" bestFit="1" customWidth="1"/>
    <col min="11017" max="11017" width="10.4140625" style="259" bestFit="1" customWidth="1"/>
    <col min="11018" max="11018" width="11.4140625" style="259" bestFit="1" customWidth="1"/>
    <col min="11019" max="11019" width="12.4140625" style="259" bestFit="1" customWidth="1"/>
    <col min="11020" max="11020" width="9.08203125" style="259" bestFit="1" customWidth="1"/>
    <col min="11021" max="11021" width="12.4140625" style="259" bestFit="1" customWidth="1"/>
    <col min="11022" max="11022" width="16.4140625" style="259" bestFit="1" customWidth="1"/>
    <col min="11023" max="11023" width="13.75" style="259" bestFit="1" customWidth="1"/>
    <col min="11024" max="11024" width="8.58203125" style="259" bestFit="1" customWidth="1"/>
    <col min="11025" max="11025" width="6.58203125" style="259" bestFit="1" customWidth="1"/>
    <col min="11026" max="11026" width="9.08203125" style="259" customWidth="1"/>
    <col min="11027" max="11027" width="6.08203125" style="259" bestFit="1" customWidth="1"/>
    <col min="11028" max="11028" width="9.33203125" style="259" bestFit="1" customWidth="1"/>
    <col min="11029" max="11029" width="10.4140625" style="259" bestFit="1" customWidth="1"/>
    <col min="11030" max="11262" width="8.75" style="259"/>
    <col min="11263" max="11263" width="6.08203125" style="259" bestFit="1" customWidth="1"/>
    <col min="11264" max="11264" width="14.33203125" style="259" bestFit="1" customWidth="1"/>
    <col min="11265" max="11265" width="21.75" style="259" bestFit="1" customWidth="1"/>
    <col min="11266" max="11266" width="0" style="259" hidden="1" customWidth="1"/>
    <col min="11267" max="11267" width="16.4140625" style="259" bestFit="1" customWidth="1"/>
    <col min="11268" max="11268" width="14" style="259" bestFit="1" customWidth="1"/>
    <col min="11269" max="11269" width="15.4140625" style="259" bestFit="1" customWidth="1"/>
    <col min="11270" max="11270" width="9.75" style="259" bestFit="1" customWidth="1"/>
    <col min="11271" max="11271" width="8.75" style="259" bestFit="1" customWidth="1"/>
    <col min="11272" max="11272" width="11.4140625" style="259" bestFit="1" customWidth="1"/>
    <col min="11273" max="11273" width="10.4140625" style="259" bestFit="1" customWidth="1"/>
    <col min="11274" max="11274" width="11.4140625" style="259" bestFit="1" customWidth="1"/>
    <col min="11275" max="11275" width="12.4140625" style="259" bestFit="1" customWidth="1"/>
    <col min="11276" max="11276" width="9.08203125" style="259" bestFit="1" customWidth="1"/>
    <col min="11277" max="11277" width="12.4140625" style="259" bestFit="1" customWidth="1"/>
    <col min="11278" max="11278" width="16.4140625" style="259" bestFit="1" customWidth="1"/>
    <col min="11279" max="11279" width="13.75" style="259" bestFit="1" customWidth="1"/>
    <col min="11280" max="11280" width="8.58203125" style="259" bestFit="1" customWidth="1"/>
    <col min="11281" max="11281" width="6.58203125" style="259" bestFit="1" customWidth="1"/>
    <col min="11282" max="11282" width="9.08203125" style="259" customWidth="1"/>
    <col min="11283" max="11283" width="6.08203125" style="259" bestFit="1" customWidth="1"/>
    <col min="11284" max="11284" width="9.33203125" style="259" bestFit="1" customWidth="1"/>
    <col min="11285" max="11285" width="10.4140625" style="259" bestFit="1" customWidth="1"/>
    <col min="11286" max="11518" width="8.75" style="259"/>
    <col min="11519" max="11519" width="6.08203125" style="259" bestFit="1" customWidth="1"/>
    <col min="11520" max="11520" width="14.33203125" style="259" bestFit="1" customWidth="1"/>
    <col min="11521" max="11521" width="21.75" style="259" bestFit="1" customWidth="1"/>
    <col min="11522" max="11522" width="0" style="259" hidden="1" customWidth="1"/>
    <col min="11523" max="11523" width="16.4140625" style="259" bestFit="1" customWidth="1"/>
    <col min="11524" max="11524" width="14" style="259" bestFit="1" customWidth="1"/>
    <col min="11525" max="11525" width="15.4140625" style="259" bestFit="1" customWidth="1"/>
    <col min="11526" max="11526" width="9.75" style="259" bestFit="1" customWidth="1"/>
    <col min="11527" max="11527" width="8.75" style="259" bestFit="1" customWidth="1"/>
    <col min="11528" max="11528" width="11.4140625" style="259" bestFit="1" customWidth="1"/>
    <col min="11529" max="11529" width="10.4140625" style="259" bestFit="1" customWidth="1"/>
    <col min="11530" max="11530" width="11.4140625" style="259" bestFit="1" customWidth="1"/>
    <col min="11531" max="11531" width="12.4140625" style="259" bestFit="1" customWidth="1"/>
    <col min="11532" max="11532" width="9.08203125" style="259" bestFit="1" customWidth="1"/>
    <col min="11533" max="11533" width="12.4140625" style="259" bestFit="1" customWidth="1"/>
    <col min="11534" max="11534" width="16.4140625" style="259" bestFit="1" customWidth="1"/>
    <col min="11535" max="11535" width="13.75" style="259" bestFit="1" customWidth="1"/>
    <col min="11536" max="11536" width="8.58203125" style="259" bestFit="1" customWidth="1"/>
    <col min="11537" max="11537" width="6.58203125" style="259" bestFit="1" customWidth="1"/>
    <col min="11538" max="11538" width="9.08203125" style="259" customWidth="1"/>
    <col min="11539" max="11539" width="6.08203125" style="259" bestFit="1" customWidth="1"/>
    <col min="11540" max="11540" width="9.33203125" style="259" bestFit="1" customWidth="1"/>
    <col min="11541" max="11541" width="10.4140625" style="259" bestFit="1" customWidth="1"/>
    <col min="11542" max="11774" width="8.75" style="259"/>
    <col min="11775" max="11775" width="6.08203125" style="259" bestFit="1" customWidth="1"/>
    <col min="11776" max="11776" width="14.33203125" style="259" bestFit="1" customWidth="1"/>
    <col min="11777" max="11777" width="21.75" style="259" bestFit="1" customWidth="1"/>
    <col min="11778" max="11778" width="0" style="259" hidden="1" customWidth="1"/>
    <col min="11779" max="11779" width="16.4140625" style="259" bestFit="1" customWidth="1"/>
    <col min="11780" max="11780" width="14" style="259" bestFit="1" customWidth="1"/>
    <col min="11781" max="11781" width="15.4140625" style="259" bestFit="1" customWidth="1"/>
    <col min="11782" max="11782" width="9.75" style="259" bestFit="1" customWidth="1"/>
    <col min="11783" max="11783" width="8.75" style="259" bestFit="1" customWidth="1"/>
    <col min="11784" max="11784" width="11.4140625" style="259" bestFit="1" customWidth="1"/>
    <col min="11785" max="11785" width="10.4140625" style="259" bestFit="1" customWidth="1"/>
    <col min="11786" max="11786" width="11.4140625" style="259" bestFit="1" customWidth="1"/>
    <col min="11787" max="11787" width="12.4140625" style="259" bestFit="1" customWidth="1"/>
    <col min="11788" max="11788" width="9.08203125" style="259" bestFit="1" customWidth="1"/>
    <col min="11789" max="11789" width="12.4140625" style="259" bestFit="1" customWidth="1"/>
    <col min="11790" max="11790" width="16.4140625" style="259" bestFit="1" customWidth="1"/>
    <col min="11791" max="11791" width="13.75" style="259" bestFit="1" customWidth="1"/>
    <col min="11792" max="11792" width="8.58203125" style="259" bestFit="1" customWidth="1"/>
    <col min="11793" max="11793" width="6.58203125" style="259" bestFit="1" customWidth="1"/>
    <col min="11794" max="11794" width="9.08203125" style="259" customWidth="1"/>
    <col min="11795" max="11795" width="6.08203125" style="259" bestFit="1" customWidth="1"/>
    <col min="11796" max="11796" width="9.33203125" style="259" bestFit="1" customWidth="1"/>
    <col min="11797" max="11797" width="10.4140625" style="259" bestFit="1" customWidth="1"/>
    <col min="11798" max="12030" width="8.75" style="259"/>
    <col min="12031" max="12031" width="6.08203125" style="259" bestFit="1" customWidth="1"/>
    <col min="12032" max="12032" width="14.33203125" style="259" bestFit="1" customWidth="1"/>
    <col min="12033" max="12033" width="21.75" style="259" bestFit="1" customWidth="1"/>
    <col min="12034" max="12034" width="0" style="259" hidden="1" customWidth="1"/>
    <col min="12035" max="12035" width="16.4140625" style="259" bestFit="1" customWidth="1"/>
    <col min="12036" max="12036" width="14" style="259" bestFit="1" customWidth="1"/>
    <col min="12037" max="12037" width="15.4140625" style="259" bestFit="1" customWidth="1"/>
    <col min="12038" max="12038" width="9.75" style="259" bestFit="1" customWidth="1"/>
    <col min="12039" max="12039" width="8.75" style="259" bestFit="1" customWidth="1"/>
    <col min="12040" max="12040" width="11.4140625" style="259" bestFit="1" customWidth="1"/>
    <col min="12041" max="12041" width="10.4140625" style="259" bestFit="1" customWidth="1"/>
    <col min="12042" max="12042" width="11.4140625" style="259" bestFit="1" customWidth="1"/>
    <col min="12043" max="12043" width="12.4140625" style="259" bestFit="1" customWidth="1"/>
    <col min="12044" max="12044" width="9.08203125" style="259" bestFit="1" customWidth="1"/>
    <col min="12045" max="12045" width="12.4140625" style="259" bestFit="1" customWidth="1"/>
    <col min="12046" max="12046" width="16.4140625" style="259" bestFit="1" customWidth="1"/>
    <col min="12047" max="12047" width="13.75" style="259" bestFit="1" customWidth="1"/>
    <col min="12048" max="12048" width="8.58203125" style="259" bestFit="1" customWidth="1"/>
    <col min="12049" max="12049" width="6.58203125" style="259" bestFit="1" customWidth="1"/>
    <col min="12050" max="12050" width="9.08203125" style="259" customWidth="1"/>
    <col min="12051" max="12051" width="6.08203125" style="259" bestFit="1" customWidth="1"/>
    <col min="12052" max="12052" width="9.33203125" style="259" bestFit="1" customWidth="1"/>
    <col min="12053" max="12053" width="10.4140625" style="259" bestFit="1" customWidth="1"/>
    <col min="12054" max="12286" width="8.75" style="259"/>
    <col min="12287" max="12287" width="6.08203125" style="259" bestFit="1" customWidth="1"/>
    <col min="12288" max="12288" width="14.33203125" style="259" bestFit="1" customWidth="1"/>
    <col min="12289" max="12289" width="21.75" style="259" bestFit="1" customWidth="1"/>
    <col min="12290" max="12290" width="0" style="259" hidden="1" customWidth="1"/>
    <col min="12291" max="12291" width="16.4140625" style="259" bestFit="1" customWidth="1"/>
    <col min="12292" max="12292" width="14" style="259" bestFit="1" customWidth="1"/>
    <col min="12293" max="12293" width="15.4140625" style="259" bestFit="1" customWidth="1"/>
    <col min="12294" max="12294" width="9.75" style="259" bestFit="1" customWidth="1"/>
    <col min="12295" max="12295" width="8.75" style="259" bestFit="1" customWidth="1"/>
    <col min="12296" max="12296" width="11.4140625" style="259" bestFit="1" customWidth="1"/>
    <col min="12297" max="12297" width="10.4140625" style="259" bestFit="1" customWidth="1"/>
    <col min="12298" max="12298" width="11.4140625" style="259" bestFit="1" customWidth="1"/>
    <col min="12299" max="12299" width="12.4140625" style="259" bestFit="1" customWidth="1"/>
    <col min="12300" max="12300" width="9.08203125" style="259" bestFit="1" customWidth="1"/>
    <col min="12301" max="12301" width="12.4140625" style="259" bestFit="1" customWidth="1"/>
    <col min="12302" max="12302" width="16.4140625" style="259" bestFit="1" customWidth="1"/>
    <col min="12303" max="12303" width="13.75" style="259" bestFit="1" customWidth="1"/>
    <col min="12304" max="12304" width="8.58203125" style="259" bestFit="1" customWidth="1"/>
    <col min="12305" max="12305" width="6.58203125" style="259" bestFit="1" customWidth="1"/>
    <col min="12306" max="12306" width="9.08203125" style="259" customWidth="1"/>
    <col min="12307" max="12307" width="6.08203125" style="259" bestFit="1" customWidth="1"/>
    <col min="12308" max="12308" width="9.33203125" style="259" bestFit="1" customWidth="1"/>
    <col min="12309" max="12309" width="10.4140625" style="259" bestFit="1" customWidth="1"/>
    <col min="12310" max="12542" width="8.75" style="259"/>
    <col min="12543" max="12543" width="6.08203125" style="259" bestFit="1" customWidth="1"/>
    <col min="12544" max="12544" width="14.33203125" style="259" bestFit="1" customWidth="1"/>
    <col min="12545" max="12545" width="21.75" style="259" bestFit="1" customWidth="1"/>
    <col min="12546" max="12546" width="0" style="259" hidden="1" customWidth="1"/>
    <col min="12547" max="12547" width="16.4140625" style="259" bestFit="1" customWidth="1"/>
    <col min="12548" max="12548" width="14" style="259" bestFit="1" customWidth="1"/>
    <col min="12549" max="12549" width="15.4140625" style="259" bestFit="1" customWidth="1"/>
    <col min="12550" max="12550" width="9.75" style="259" bestFit="1" customWidth="1"/>
    <col min="12551" max="12551" width="8.75" style="259" bestFit="1" customWidth="1"/>
    <col min="12552" max="12552" width="11.4140625" style="259" bestFit="1" customWidth="1"/>
    <col min="12553" max="12553" width="10.4140625" style="259" bestFit="1" customWidth="1"/>
    <col min="12554" max="12554" width="11.4140625" style="259" bestFit="1" customWidth="1"/>
    <col min="12555" max="12555" width="12.4140625" style="259" bestFit="1" customWidth="1"/>
    <col min="12556" max="12556" width="9.08203125" style="259" bestFit="1" customWidth="1"/>
    <col min="12557" max="12557" width="12.4140625" style="259" bestFit="1" customWidth="1"/>
    <col min="12558" max="12558" width="16.4140625" style="259" bestFit="1" customWidth="1"/>
    <col min="12559" max="12559" width="13.75" style="259" bestFit="1" customWidth="1"/>
    <col min="12560" max="12560" width="8.58203125" style="259" bestFit="1" customWidth="1"/>
    <col min="12561" max="12561" width="6.58203125" style="259" bestFit="1" customWidth="1"/>
    <col min="12562" max="12562" width="9.08203125" style="259" customWidth="1"/>
    <col min="12563" max="12563" width="6.08203125" style="259" bestFit="1" customWidth="1"/>
    <col min="12564" max="12564" width="9.33203125" style="259" bestFit="1" customWidth="1"/>
    <col min="12565" max="12565" width="10.4140625" style="259" bestFit="1" customWidth="1"/>
    <col min="12566" max="12798" width="8.75" style="259"/>
    <col min="12799" max="12799" width="6.08203125" style="259" bestFit="1" customWidth="1"/>
    <col min="12800" max="12800" width="14.33203125" style="259" bestFit="1" customWidth="1"/>
    <col min="12801" max="12801" width="21.75" style="259" bestFit="1" customWidth="1"/>
    <col min="12802" max="12802" width="0" style="259" hidden="1" customWidth="1"/>
    <col min="12803" max="12803" width="16.4140625" style="259" bestFit="1" customWidth="1"/>
    <col min="12804" max="12804" width="14" style="259" bestFit="1" customWidth="1"/>
    <col min="12805" max="12805" width="15.4140625" style="259" bestFit="1" customWidth="1"/>
    <col min="12806" max="12806" width="9.75" style="259" bestFit="1" customWidth="1"/>
    <col min="12807" max="12807" width="8.75" style="259" bestFit="1" customWidth="1"/>
    <col min="12808" max="12808" width="11.4140625" style="259" bestFit="1" customWidth="1"/>
    <col min="12809" max="12809" width="10.4140625" style="259" bestFit="1" customWidth="1"/>
    <col min="12810" max="12810" width="11.4140625" style="259" bestFit="1" customWidth="1"/>
    <col min="12811" max="12811" width="12.4140625" style="259" bestFit="1" customWidth="1"/>
    <col min="12812" max="12812" width="9.08203125" style="259" bestFit="1" customWidth="1"/>
    <col min="12813" max="12813" width="12.4140625" style="259" bestFit="1" customWidth="1"/>
    <col min="12814" max="12814" width="16.4140625" style="259" bestFit="1" customWidth="1"/>
    <col min="12815" max="12815" width="13.75" style="259" bestFit="1" customWidth="1"/>
    <col min="12816" max="12816" width="8.58203125" style="259" bestFit="1" customWidth="1"/>
    <col min="12817" max="12817" width="6.58203125" style="259" bestFit="1" customWidth="1"/>
    <col min="12818" max="12818" width="9.08203125" style="259" customWidth="1"/>
    <col min="12819" max="12819" width="6.08203125" style="259" bestFit="1" customWidth="1"/>
    <col min="12820" max="12820" width="9.33203125" style="259" bestFit="1" customWidth="1"/>
    <col min="12821" max="12821" width="10.4140625" style="259" bestFit="1" customWidth="1"/>
    <col min="12822" max="13054" width="8.75" style="259"/>
    <col min="13055" max="13055" width="6.08203125" style="259" bestFit="1" customWidth="1"/>
    <col min="13056" max="13056" width="14.33203125" style="259" bestFit="1" customWidth="1"/>
    <col min="13057" max="13057" width="21.75" style="259" bestFit="1" customWidth="1"/>
    <col min="13058" max="13058" width="0" style="259" hidden="1" customWidth="1"/>
    <col min="13059" max="13059" width="16.4140625" style="259" bestFit="1" customWidth="1"/>
    <col min="13060" max="13060" width="14" style="259" bestFit="1" customWidth="1"/>
    <col min="13061" max="13061" width="15.4140625" style="259" bestFit="1" customWidth="1"/>
    <col min="13062" max="13062" width="9.75" style="259" bestFit="1" customWidth="1"/>
    <col min="13063" max="13063" width="8.75" style="259" bestFit="1" customWidth="1"/>
    <col min="13064" max="13064" width="11.4140625" style="259" bestFit="1" customWidth="1"/>
    <col min="13065" max="13065" width="10.4140625" style="259" bestFit="1" customWidth="1"/>
    <col min="13066" max="13066" width="11.4140625" style="259" bestFit="1" customWidth="1"/>
    <col min="13067" max="13067" width="12.4140625" style="259" bestFit="1" customWidth="1"/>
    <col min="13068" max="13068" width="9.08203125" style="259" bestFit="1" customWidth="1"/>
    <col min="13069" max="13069" width="12.4140625" style="259" bestFit="1" customWidth="1"/>
    <col min="13070" max="13070" width="16.4140625" style="259" bestFit="1" customWidth="1"/>
    <col min="13071" max="13071" width="13.75" style="259" bestFit="1" customWidth="1"/>
    <col min="13072" max="13072" width="8.58203125" style="259" bestFit="1" customWidth="1"/>
    <col min="13073" max="13073" width="6.58203125" style="259" bestFit="1" customWidth="1"/>
    <col min="13074" max="13074" width="9.08203125" style="259" customWidth="1"/>
    <col min="13075" max="13075" width="6.08203125" style="259" bestFit="1" customWidth="1"/>
    <col min="13076" max="13076" width="9.33203125" style="259" bestFit="1" customWidth="1"/>
    <col min="13077" max="13077" width="10.4140625" style="259" bestFit="1" customWidth="1"/>
    <col min="13078" max="13310" width="8.75" style="259"/>
    <col min="13311" max="13311" width="6.08203125" style="259" bestFit="1" customWidth="1"/>
    <col min="13312" max="13312" width="14.33203125" style="259" bestFit="1" customWidth="1"/>
    <col min="13313" max="13313" width="21.75" style="259" bestFit="1" customWidth="1"/>
    <col min="13314" max="13314" width="0" style="259" hidden="1" customWidth="1"/>
    <col min="13315" max="13315" width="16.4140625" style="259" bestFit="1" customWidth="1"/>
    <col min="13316" max="13316" width="14" style="259" bestFit="1" customWidth="1"/>
    <col min="13317" max="13317" width="15.4140625" style="259" bestFit="1" customWidth="1"/>
    <col min="13318" max="13318" width="9.75" style="259" bestFit="1" customWidth="1"/>
    <col min="13319" max="13319" width="8.75" style="259" bestFit="1" customWidth="1"/>
    <col min="13320" max="13320" width="11.4140625" style="259" bestFit="1" customWidth="1"/>
    <col min="13321" max="13321" width="10.4140625" style="259" bestFit="1" customWidth="1"/>
    <col min="13322" max="13322" width="11.4140625" style="259" bestFit="1" customWidth="1"/>
    <col min="13323" max="13323" width="12.4140625" style="259" bestFit="1" customWidth="1"/>
    <col min="13324" max="13324" width="9.08203125" style="259" bestFit="1" customWidth="1"/>
    <col min="13325" max="13325" width="12.4140625" style="259" bestFit="1" customWidth="1"/>
    <col min="13326" max="13326" width="16.4140625" style="259" bestFit="1" customWidth="1"/>
    <col min="13327" max="13327" width="13.75" style="259" bestFit="1" customWidth="1"/>
    <col min="13328" max="13328" width="8.58203125" style="259" bestFit="1" customWidth="1"/>
    <col min="13329" max="13329" width="6.58203125" style="259" bestFit="1" customWidth="1"/>
    <col min="13330" max="13330" width="9.08203125" style="259" customWidth="1"/>
    <col min="13331" max="13331" width="6.08203125" style="259" bestFit="1" customWidth="1"/>
    <col min="13332" max="13332" width="9.33203125" style="259" bestFit="1" customWidth="1"/>
    <col min="13333" max="13333" width="10.4140625" style="259" bestFit="1" customWidth="1"/>
    <col min="13334" max="13566" width="8.75" style="259"/>
    <col min="13567" max="13567" width="6.08203125" style="259" bestFit="1" customWidth="1"/>
    <col min="13568" max="13568" width="14.33203125" style="259" bestFit="1" customWidth="1"/>
    <col min="13569" max="13569" width="21.75" style="259" bestFit="1" customWidth="1"/>
    <col min="13570" max="13570" width="0" style="259" hidden="1" customWidth="1"/>
    <col min="13571" max="13571" width="16.4140625" style="259" bestFit="1" customWidth="1"/>
    <col min="13572" max="13572" width="14" style="259" bestFit="1" customWidth="1"/>
    <col min="13573" max="13573" width="15.4140625" style="259" bestFit="1" customWidth="1"/>
    <col min="13574" max="13574" width="9.75" style="259" bestFit="1" customWidth="1"/>
    <col min="13575" max="13575" width="8.75" style="259" bestFit="1" customWidth="1"/>
    <col min="13576" max="13576" width="11.4140625" style="259" bestFit="1" customWidth="1"/>
    <col min="13577" max="13577" width="10.4140625" style="259" bestFit="1" customWidth="1"/>
    <col min="13578" max="13578" width="11.4140625" style="259" bestFit="1" customWidth="1"/>
    <col min="13579" max="13579" width="12.4140625" style="259" bestFit="1" customWidth="1"/>
    <col min="13580" max="13580" width="9.08203125" style="259" bestFit="1" customWidth="1"/>
    <col min="13581" max="13581" width="12.4140625" style="259" bestFit="1" customWidth="1"/>
    <col min="13582" max="13582" width="16.4140625" style="259" bestFit="1" customWidth="1"/>
    <col min="13583" max="13583" width="13.75" style="259" bestFit="1" customWidth="1"/>
    <col min="13584" max="13584" width="8.58203125" style="259" bestFit="1" customWidth="1"/>
    <col min="13585" max="13585" width="6.58203125" style="259" bestFit="1" customWidth="1"/>
    <col min="13586" max="13586" width="9.08203125" style="259" customWidth="1"/>
    <col min="13587" max="13587" width="6.08203125" style="259" bestFit="1" customWidth="1"/>
    <col min="13588" max="13588" width="9.33203125" style="259" bestFit="1" customWidth="1"/>
    <col min="13589" max="13589" width="10.4140625" style="259" bestFit="1" customWidth="1"/>
    <col min="13590" max="13822" width="8.75" style="259"/>
    <col min="13823" max="13823" width="6.08203125" style="259" bestFit="1" customWidth="1"/>
    <col min="13824" max="13824" width="14.33203125" style="259" bestFit="1" customWidth="1"/>
    <col min="13825" max="13825" width="21.75" style="259" bestFit="1" customWidth="1"/>
    <col min="13826" max="13826" width="0" style="259" hidden="1" customWidth="1"/>
    <col min="13827" max="13827" width="16.4140625" style="259" bestFit="1" customWidth="1"/>
    <col min="13828" max="13828" width="14" style="259" bestFit="1" customWidth="1"/>
    <col min="13829" max="13829" width="15.4140625" style="259" bestFit="1" customWidth="1"/>
    <col min="13830" max="13830" width="9.75" style="259" bestFit="1" customWidth="1"/>
    <col min="13831" max="13831" width="8.75" style="259" bestFit="1" customWidth="1"/>
    <col min="13832" max="13832" width="11.4140625" style="259" bestFit="1" customWidth="1"/>
    <col min="13833" max="13833" width="10.4140625" style="259" bestFit="1" customWidth="1"/>
    <col min="13834" max="13834" width="11.4140625" style="259" bestFit="1" customWidth="1"/>
    <col min="13835" max="13835" width="12.4140625" style="259" bestFit="1" customWidth="1"/>
    <col min="13836" max="13836" width="9.08203125" style="259" bestFit="1" customWidth="1"/>
    <col min="13837" max="13837" width="12.4140625" style="259" bestFit="1" customWidth="1"/>
    <col min="13838" max="13838" width="16.4140625" style="259" bestFit="1" customWidth="1"/>
    <col min="13839" max="13839" width="13.75" style="259" bestFit="1" customWidth="1"/>
    <col min="13840" max="13840" width="8.58203125" style="259" bestFit="1" customWidth="1"/>
    <col min="13841" max="13841" width="6.58203125" style="259" bestFit="1" customWidth="1"/>
    <col min="13842" max="13842" width="9.08203125" style="259" customWidth="1"/>
    <col min="13843" max="13843" width="6.08203125" style="259" bestFit="1" customWidth="1"/>
    <col min="13844" max="13844" width="9.33203125" style="259" bestFit="1" customWidth="1"/>
    <col min="13845" max="13845" width="10.4140625" style="259" bestFit="1" customWidth="1"/>
    <col min="13846" max="14078" width="8.75" style="259"/>
    <col min="14079" max="14079" width="6.08203125" style="259" bestFit="1" customWidth="1"/>
    <col min="14080" max="14080" width="14.33203125" style="259" bestFit="1" customWidth="1"/>
    <col min="14081" max="14081" width="21.75" style="259" bestFit="1" customWidth="1"/>
    <col min="14082" max="14082" width="0" style="259" hidden="1" customWidth="1"/>
    <col min="14083" max="14083" width="16.4140625" style="259" bestFit="1" customWidth="1"/>
    <col min="14084" max="14084" width="14" style="259" bestFit="1" customWidth="1"/>
    <col min="14085" max="14085" width="15.4140625" style="259" bestFit="1" customWidth="1"/>
    <col min="14086" max="14086" width="9.75" style="259" bestFit="1" customWidth="1"/>
    <col min="14087" max="14087" width="8.75" style="259" bestFit="1" customWidth="1"/>
    <col min="14088" max="14088" width="11.4140625" style="259" bestFit="1" customWidth="1"/>
    <col min="14089" max="14089" width="10.4140625" style="259" bestFit="1" customWidth="1"/>
    <col min="14090" max="14090" width="11.4140625" style="259" bestFit="1" customWidth="1"/>
    <col min="14091" max="14091" width="12.4140625" style="259" bestFit="1" customWidth="1"/>
    <col min="14092" max="14092" width="9.08203125" style="259" bestFit="1" customWidth="1"/>
    <col min="14093" max="14093" width="12.4140625" style="259" bestFit="1" customWidth="1"/>
    <col min="14094" max="14094" width="16.4140625" style="259" bestFit="1" customWidth="1"/>
    <col min="14095" max="14095" width="13.75" style="259" bestFit="1" customWidth="1"/>
    <col min="14096" max="14096" width="8.58203125" style="259" bestFit="1" customWidth="1"/>
    <col min="14097" max="14097" width="6.58203125" style="259" bestFit="1" customWidth="1"/>
    <col min="14098" max="14098" width="9.08203125" style="259" customWidth="1"/>
    <col min="14099" max="14099" width="6.08203125" style="259" bestFit="1" customWidth="1"/>
    <col min="14100" max="14100" width="9.33203125" style="259" bestFit="1" customWidth="1"/>
    <col min="14101" max="14101" width="10.4140625" style="259" bestFit="1" customWidth="1"/>
    <col min="14102" max="14334" width="8.75" style="259"/>
    <col min="14335" max="14335" width="6.08203125" style="259" bestFit="1" customWidth="1"/>
    <col min="14336" max="14336" width="14.33203125" style="259" bestFit="1" customWidth="1"/>
    <col min="14337" max="14337" width="21.75" style="259" bestFit="1" customWidth="1"/>
    <col min="14338" max="14338" width="0" style="259" hidden="1" customWidth="1"/>
    <col min="14339" max="14339" width="16.4140625" style="259" bestFit="1" customWidth="1"/>
    <col min="14340" max="14340" width="14" style="259" bestFit="1" customWidth="1"/>
    <col min="14341" max="14341" width="15.4140625" style="259" bestFit="1" customWidth="1"/>
    <col min="14342" max="14342" width="9.75" style="259" bestFit="1" customWidth="1"/>
    <col min="14343" max="14343" width="8.75" style="259" bestFit="1" customWidth="1"/>
    <col min="14344" max="14344" width="11.4140625" style="259" bestFit="1" customWidth="1"/>
    <col min="14345" max="14345" width="10.4140625" style="259" bestFit="1" customWidth="1"/>
    <col min="14346" max="14346" width="11.4140625" style="259" bestFit="1" customWidth="1"/>
    <col min="14347" max="14347" width="12.4140625" style="259" bestFit="1" customWidth="1"/>
    <col min="14348" max="14348" width="9.08203125" style="259" bestFit="1" customWidth="1"/>
    <col min="14349" max="14349" width="12.4140625" style="259" bestFit="1" customWidth="1"/>
    <col min="14350" max="14350" width="16.4140625" style="259" bestFit="1" customWidth="1"/>
    <col min="14351" max="14351" width="13.75" style="259" bestFit="1" customWidth="1"/>
    <col min="14352" max="14352" width="8.58203125" style="259" bestFit="1" customWidth="1"/>
    <col min="14353" max="14353" width="6.58203125" style="259" bestFit="1" customWidth="1"/>
    <col min="14354" max="14354" width="9.08203125" style="259" customWidth="1"/>
    <col min="14355" max="14355" width="6.08203125" style="259" bestFit="1" customWidth="1"/>
    <col min="14356" max="14356" width="9.33203125" style="259" bestFit="1" customWidth="1"/>
    <col min="14357" max="14357" width="10.4140625" style="259" bestFit="1" customWidth="1"/>
    <col min="14358" max="14590" width="8.75" style="259"/>
    <col min="14591" max="14591" width="6.08203125" style="259" bestFit="1" customWidth="1"/>
    <col min="14592" max="14592" width="14.33203125" style="259" bestFit="1" customWidth="1"/>
    <col min="14593" max="14593" width="21.75" style="259" bestFit="1" customWidth="1"/>
    <col min="14594" max="14594" width="0" style="259" hidden="1" customWidth="1"/>
    <col min="14595" max="14595" width="16.4140625" style="259" bestFit="1" customWidth="1"/>
    <col min="14596" max="14596" width="14" style="259" bestFit="1" customWidth="1"/>
    <col min="14597" max="14597" width="15.4140625" style="259" bestFit="1" customWidth="1"/>
    <col min="14598" max="14598" width="9.75" style="259" bestFit="1" customWidth="1"/>
    <col min="14599" max="14599" width="8.75" style="259" bestFit="1" customWidth="1"/>
    <col min="14600" max="14600" width="11.4140625" style="259" bestFit="1" customWidth="1"/>
    <col min="14601" max="14601" width="10.4140625" style="259" bestFit="1" customWidth="1"/>
    <col min="14602" max="14602" width="11.4140625" style="259" bestFit="1" customWidth="1"/>
    <col min="14603" max="14603" width="12.4140625" style="259" bestFit="1" customWidth="1"/>
    <col min="14604" max="14604" width="9.08203125" style="259" bestFit="1" customWidth="1"/>
    <col min="14605" max="14605" width="12.4140625" style="259" bestFit="1" customWidth="1"/>
    <col min="14606" max="14606" width="16.4140625" style="259" bestFit="1" customWidth="1"/>
    <col min="14607" max="14607" width="13.75" style="259" bestFit="1" customWidth="1"/>
    <col min="14608" max="14608" width="8.58203125" style="259" bestFit="1" customWidth="1"/>
    <col min="14609" max="14609" width="6.58203125" style="259" bestFit="1" customWidth="1"/>
    <col min="14610" max="14610" width="9.08203125" style="259" customWidth="1"/>
    <col min="14611" max="14611" width="6.08203125" style="259" bestFit="1" customWidth="1"/>
    <col min="14612" max="14612" width="9.33203125" style="259" bestFit="1" customWidth="1"/>
    <col min="14613" max="14613" width="10.4140625" style="259" bestFit="1" customWidth="1"/>
    <col min="14614" max="14846" width="8.75" style="259"/>
    <col min="14847" max="14847" width="6.08203125" style="259" bestFit="1" customWidth="1"/>
    <col min="14848" max="14848" width="14.33203125" style="259" bestFit="1" customWidth="1"/>
    <col min="14849" max="14849" width="21.75" style="259" bestFit="1" customWidth="1"/>
    <col min="14850" max="14850" width="0" style="259" hidden="1" customWidth="1"/>
    <col min="14851" max="14851" width="16.4140625" style="259" bestFit="1" customWidth="1"/>
    <col min="14852" max="14852" width="14" style="259" bestFit="1" customWidth="1"/>
    <col min="14853" max="14853" width="15.4140625" style="259" bestFit="1" customWidth="1"/>
    <col min="14854" max="14854" width="9.75" style="259" bestFit="1" customWidth="1"/>
    <col min="14855" max="14855" width="8.75" style="259" bestFit="1" customWidth="1"/>
    <col min="14856" max="14856" width="11.4140625" style="259" bestFit="1" customWidth="1"/>
    <col min="14857" max="14857" width="10.4140625" style="259" bestFit="1" customWidth="1"/>
    <col min="14858" max="14858" width="11.4140625" style="259" bestFit="1" customWidth="1"/>
    <col min="14859" max="14859" width="12.4140625" style="259" bestFit="1" customWidth="1"/>
    <col min="14860" max="14860" width="9.08203125" style="259" bestFit="1" customWidth="1"/>
    <col min="14861" max="14861" width="12.4140625" style="259" bestFit="1" customWidth="1"/>
    <col min="14862" max="14862" width="16.4140625" style="259" bestFit="1" customWidth="1"/>
    <col min="14863" max="14863" width="13.75" style="259" bestFit="1" customWidth="1"/>
    <col min="14864" max="14864" width="8.58203125" style="259" bestFit="1" customWidth="1"/>
    <col min="14865" max="14865" width="6.58203125" style="259" bestFit="1" customWidth="1"/>
    <col min="14866" max="14866" width="9.08203125" style="259" customWidth="1"/>
    <col min="14867" max="14867" width="6.08203125" style="259" bestFit="1" customWidth="1"/>
    <col min="14868" max="14868" width="9.33203125" style="259" bestFit="1" customWidth="1"/>
    <col min="14869" max="14869" width="10.4140625" style="259" bestFit="1" customWidth="1"/>
    <col min="14870" max="15102" width="8.75" style="259"/>
    <col min="15103" max="15103" width="6.08203125" style="259" bestFit="1" customWidth="1"/>
    <col min="15104" max="15104" width="14.33203125" style="259" bestFit="1" customWidth="1"/>
    <col min="15105" max="15105" width="21.75" style="259" bestFit="1" customWidth="1"/>
    <col min="15106" max="15106" width="0" style="259" hidden="1" customWidth="1"/>
    <col min="15107" max="15107" width="16.4140625" style="259" bestFit="1" customWidth="1"/>
    <col min="15108" max="15108" width="14" style="259" bestFit="1" customWidth="1"/>
    <col min="15109" max="15109" width="15.4140625" style="259" bestFit="1" customWidth="1"/>
    <col min="15110" max="15110" width="9.75" style="259" bestFit="1" customWidth="1"/>
    <col min="15111" max="15111" width="8.75" style="259" bestFit="1" customWidth="1"/>
    <col min="15112" max="15112" width="11.4140625" style="259" bestFit="1" customWidth="1"/>
    <col min="15113" max="15113" width="10.4140625" style="259" bestFit="1" customWidth="1"/>
    <col min="15114" max="15114" width="11.4140625" style="259" bestFit="1" customWidth="1"/>
    <col min="15115" max="15115" width="12.4140625" style="259" bestFit="1" customWidth="1"/>
    <col min="15116" max="15116" width="9.08203125" style="259" bestFit="1" customWidth="1"/>
    <col min="15117" max="15117" width="12.4140625" style="259" bestFit="1" customWidth="1"/>
    <col min="15118" max="15118" width="16.4140625" style="259" bestFit="1" customWidth="1"/>
    <col min="15119" max="15119" width="13.75" style="259" bestFit="1" customWidth="1"/>
    <col min="15120" max="15120" width="8.58203125" style="259" bestFit="1" customWidth="1"/>
    <col min="15121" max="15121" width="6.58203125" style="259" bestFit="1" customWidth="1"/>
    <col min="15122" max="15122" width="9.08203125" style="259" customWidth="1"/>
    <col min="15123" max="15123" width="6.08203125" style="259" bestFit="1" customWidth="1"/>
    <col min="15124" max="15124" width="9.33203125" style="259" bestFit="1" customWidth="1"/>
    <col min="15125" max="15125" width="10.4140625" style="259" bestFit="1" customWidth="1"/>
    <col min="15126" max="15358" width="8.75" style="259"/>
    <col min="15359" max="15359" width="6.08203125" style="259" bestFit="1" customWidth="1"/>
    <col min="15360" max="15360" width="14.33203125" style="259" bestFit="1" customWidth="1"/>
    <col min="15361" max="15361" width="21.75" style="259" bestFit="1" customWidth="1"/>
    <col min="15362" max="15362" width="0" style="259" hidden="1" customWidth="1"/>
    <col min="15363" max="15363" width="16.4140625" style="259" bestFit="1" customWidth="1"/>
    <col min="15364" max="15364" width="14" style="259" bestFit="1" customWidth="1"/>
    <col min="15365" max="15365" width="15.4140625" style="259" bestFit="1" customWidth="1"/>
    <col min="15366" max="15366" width="9.75" style="259" bestFit="1" customWidth="1"/>
    <col min="15367" max="15367" width="8.75" style="259" bestFit="1" customWidth="1"/>
    <col min="15368" max="15368" width="11.4140625" style="259" bestFit="1" customWidth="1"/>
    <col min="15369" max="15369" width="10.4140625" style="259" bestFit="1" customWidth="1"/>
    <col min="15370" max="15370" width="11.4140625" style="259" bestFit="1" customWidth="1"/>
    <col min="15371" max="15371" width="12.4140625" style="259" bestFit="1" customWidth="1"/>
    <col min="15372" max="15372" width="9.08203125" style="259" bestFit="1" customWidth="1"/>
    <col min="15373" max="15373" width="12.4140625" style="259" bestFit="1" customWidth="1"/>
    <col min="15374" max="15374" width="16.4140625" style="259" bestFit="1" customWidth="1"/>
    <col min="15375" max="15375" width="13.75" style="259" bestFit="1" customWidth="1"/>
    <col min="15376" max="15376" width="8.58203125" style="259" bestFit="1" customWidth="1"/>
    <col min="15377" max="15377" width="6.58203125" style="259" bestFit="1" customWidth="1"/>
    <col min="15378" max="15378" width="9.08203125" style="259" customWidth="1"/>
    <col min="15379" max="15379" width="6.08203125" style="259" bestFit="1" customWidth="1"/>
    <col min="15380" max="15380" width="9.33203125" style="259" bestFit="1" customWidth="1"/>
    <col min="15381" max="15381" width="10.4140625" style="259" bestFit="1" customWidth="1"/>
    <col min="15382" max="15614" width="8.75" style="259"/>
    <col min="15615" max="15615" width="6.08203125" style="259" bestFit="1" customWidth="1"/>
    <col min="15616" max="15616" width="14.33203125" style="259" bestFit="1" customWidth="1"/>
    <col min="15617" max="15617" width="21.75" style="259" bestFit="1" customWidth="1"/>
    <col min="15618" max="15618" width="0" style="259" hidden="1" customWidth="1"/>
    <col min="15619" max="15619" width="16.4140625" style="259" bestFit="1" customWidth="1"/>
    <col min="15620" max="15620" width="14" style="259" bestFit="1" customWidth="1"/>
    <col min="15621" max="15621" width="15.4140625" style="259" bestFit="1" customWidth="1"/>
    <col min="15622" max="15622" width="9.75" style="259" bestFit="1" customWidth="1"/>
    <col min="15623" max="15623" width="8.75" style="259" bestFit="1" customWidth="1"/>
    <col min="15624" max="15624" width="11.4140625" style="259" bestFit="1" customWidth="1"/>
    <col min="15625" max="15625" width="10.4140625" style="259" bestFit="1" customWidth="1"/>
    <col min="15626" max="15626" width="11.4140625" style="259" bestFit="1" customWidth="1"/>
    <col min="15627" max="15627" width="12.4140625" style="259" bestFit="1" customWidth="1"/>
    <col min="15628" max="15628" width="9.08203125" style="259" bestFit="1" customWidth="1"/>
    <col min="15629" max="15629" width="12.4140625" style="259" bestFit="1" customWidth="1"/>
    <col min="15630" max="15630" width="16.4140625" style="259" bestFit="1" customWidth="1"/>
    <col min="15631" max="15631" width="13.75" style="259" bestFit="1" customWidth="1"/>
    <col min="15632" max="15632" width="8.58203125" style="259" bestFit="1" customWidth="1"/>
    <col min="15633" max="15633" width="6.58203125" style="259" bestFit="1" customWidth="1"/>
    <col min="15634" max="15634" width="9.08203125" style="259" customWidth="1"/>
    <col min="15635" max="15635" width="6.08203125" style="259" bestFit="1" customWidth="1"/>
    <col min="15636" max="15636" width="9.33203125" style="259" bestFit="1" customWidth="1"/>
    <col min="15637" max="15637" width="10.4140625" style="259" bestFit="1" customWidth="1"/>
    <col min="15638" max="15870" width="8.75" style="259"/>
    <col min="15871" max="15871" width="6.08203125" style="259" bestFit="1" customWidth="1"/>
    <col min="15872" max="15872" width="14.33203125" style="259" bestFit="1" customWidth="1"/>
    <col min="15873" max="15873" width="21.75" style="259" bestFit="1" customWidth="1"/>
    <col min="15874" max="15874" width="0" style="259" hidden="1" customWidth="1"/>
    <col min="15875" max="15875" width="16.4140625" style="259" bestFit="1" customWidth="1"/>
    <col min="15876" max="15876" width="14" style="259" bestFit="1" customWidth="1"/>
    <col min="15877" max="15877" width="15.4140625" style="259" bestFit="1" customWidth="1"/>
    <col min="15878" max="15878" width="9.75" style="259" bestFit="1" customWidth="1"/>
    <col min="15879" max="15879" width="8.75" style="259" bestFit="1" customWidth="1"/>
    <col min="15880" max="15880" width="11.4140625" style="259" bestFit="1" customWidth="1"/>
    <col min="15881" max="15881" width="10.4140625" style="259" bestFit="1" customWidth="1"/>
    <col min="15882" max="15882" width="11.4140625" style="259" bestFit="1" customWidth="1"/>
    <col min="15883" max="15883" width="12.4140625" style="259" bestFit="1" customWidth="1"/>
    <col min="15884" max="15884" width="9.08203125" style="259" bestFit="1" customWidth="1"/>
    <col min="15885" max="15885" width="12.4140625" style="259" bestFit="1" customWidth="1"/>
    <col min="15886" max="15886" width="16.4140625" style="259" bestFit="1" customWidth="1"/>
    <col min="15887" max="15887" width="13.75" style="259" bestFit="1" customWidth="1"/>
    <col min="15888" max="15888" width="8.58203125" style="259" bestFit="1" customWidth="1"/>
    <col min="15889" max="15889" width="6.58203125" style="259" bestFit="1" customWidth="1"/>
    <col min="15890" max="15890" width="9.08203125" style="259" customWidth="1"/>
    <col min="15891" max="15891" width="6.08203125" style="259" bestFit="1" customWidth="1"/>
    <col min="15892" max="15892" width="9.33203125" style="259" bestFit="1" customWidth="1"/>
    <col min="15893" max="15893" width="10.4140625" style="259" bestFit="1" customWidth="1"/>
    <col min="15894" max="16126" width="8.75" style="259"/>
    <col min="16127" max="16127" width="6.08203125" style="259" bestFit="1" customWidth="1"/>
    <col min="16128" max="16128" width="14.33203125" style="259" bestFit="1" customWidth="1"/>
    <col min="16129" max="16129" width="21.75" style="259" bestFit="1" customWidth="1"/>
    <col min="16130" max="16130" width="0" style="259" hidden="1" customWidth="1"/>
    <col min="16131" max="16131" width="16.4140625" style="259" bestFit="1" customWidth="1"/>
    <col min="16132" max="16132" width="14" style="259" bestFit="1" customWidth="1"/>
    <col min="16133" max="16133" width="15.4140625" style="259" bestFit="1" customWidth="1"/>
    <col min="16134" max="16134" width="9.75" style="259" bestFit="1" customWidth="1"/>
    <col min="16135" max="16135" width="8.75" style="259" bestFit="1" customWidth="1"/>
    <col min="16136" max="16136" width="11.4140625" style="259" bestFit="1" customWidth="1"/>
    <col min="16137" max="16137" width="10.4140625" style="259" bestFit="1" customWidth="1"/>
    <col min="16138" max="16138" width="11.4140625" style="259" bestFit="1" customWidth="1"/>
    <col min="16139" max="16139" width="12.4140625" style="259" bestFit="1" customWidth="1"/>
    <col min="16140" max="16140" width="9.08203125" style="259" bestFit="1" customWidth="1"/>
    <col min="16141" max="16141" width="12.4140625" style="259" bestFit="1" customWidth="1"/>
    <col min="16142" max="16142" width="16.4140625" style="259" bestFit="1" customWidth="1"/>
    <col min="16143" max="16143" width="13.75" style="259" bestFit="1" customWidth="1"/>
    <col min="16144" max="16144" width="8.58203125" style="259" bestFit="1" customWidth="1"/>
    <col min="16145" max="16145" width="6.58203125" style="259" bestFit="1" customWidth="1"/>
    <col min="16146" max="16146" width="9.08203125" style="259" customWidth="1"/>
    <col min="16147" max="16147" width="6.08203125" style="259" bestFit="1" customWidth="1"/>
    <col min="16148" max="16148" width="9.33203125" style="259" bestFit="1" customWidth="1"/>
    <col min="16149" max="16149" width="10.4140625" style="259" bestFit="1" customWidth="1"/>
    <col min="16150" max="16381" width="8.75" style="259"/>
    <col min="16382" max="16384" width="8.75" style="259" customWidth="1"/>
  </cols>
  <sheetData>
    <row r="1" spans="1:50" x14ac:dyDescent="0.25">
      <c r="A1" s="289">
        <v>1</v>
      </c>
      <c r="B1" s="289">
        <v>2</v>
      </c>
      <c r="C1" s="289">
        <v>3</v>
      </c>
      <c r="D1" s="344">
        <v>4</v>
      </c>
      <c r="E1" s="344">
        <v>5</v>
      </c>
      <c r="F1" s="344">
        <v>6</v>
      </c>
      <c r="G1" s="344">
        <v>7</v>
      </c>
      <c r="H1" s="289">
        <v>8</v>
      </c>
      <c r="I1" s="289">
        <v>9</v>
      </c>
      <c r="J1" s="351">
        <v>10</v>
      </c>
      <c r="K1" s="289">
        <v>11</v>
      </c>
      <c r="L1" s="289">
        <v>12</v>
      </c>
      <c r="M1" s="289">
        <v>13</v>
      </c>
      <c r="N1" s="351">
        <v>14</v>
      </c>
      <c r="O1" s="351">
        <v>15</v>
      </c>
      <c r="P1" s="351">
        <v>16</v>
      </c>
      <c r="Q1" s="351">
        <v>17</v>
      </c>
      <c r="R1" s="289">
        <v>18</v>
      </c>
      <c r="S1" s="289">
        <v>19</v>
      </c>
      <c r="T1" s="289">
        <v>20</v>
      </c>
      <c r="U1" s="289">
        <v>21</v>
      </c>
      <c r="V1" s="289">
        <v>22</v>
      </c>
      <c r="W1" s="289">
        <v>23</v>
      </c>
      <c r="X1" s="289">
        <v>24</v>
      </c>
      <c r="Y1" s="344">
        <v>25</v>
      </c>
      <c r="Z1" s="344">
        <v>26</v>
      </c>
      <c r="AB1" s="278" t="s">
        <v>755</v>
      </c>
      <c r="AC1" s="278"/>
      <c r="AD1" s="278"/>
      <c r="AE1" s="278"/>
      <c r="AF1" s="283"/>
      <c r="AG1" s="283"/>
      <c r="AH1" s="283"/>
      <c r="AI1" s="283"/>
      <c r="AJ1" s="283"/>
      <c r="AK1" s="283"/>
      <c r="AL1" s="283"/>
      <c r="AM1" s="283"/>
      <c r="AN1" s="283"/>
      <c r="AO1" s="283"/>
      <c r="AP1" s="283"/>
      <c r="AQ1" s="283"/>
      <c r="AR1" s="283"/>
      <c r="AS1" s="283"/>
      <c r="AT1" s="283"/>
      <c r="AU1" s="283"/>
      <c r="AV1" s="284"/>
      <c r="AW1" s="281"/>
      <c r="AX1" s="281"/>
    </row>
    <row r="2" spans="1:50" s="256" customFormat="1" ht="50.5" x14ac:dyDescent="0.3">
      <c r="A2" s="290" t="s">
        <v>66</v>
      </c>
      <c r="B2" s="290" t="s">
        <v>67</v>
      </c>
      <c r="C2" s="290" t="s">
        <v>68</v>
      </c>
      <c r="D2" s="349" t="s">
        <v>69</v>
      </c>
      <c r="E2" s="349" t="s">
        <v>70</v>
      </c>
      <c r="F2" s="349" t="s">
        <v>71</v>
      </c>
      <c r="G2" s="349" t="s">
        <v>82</v>
      </c>
      <c r="H2" s="291" t="s">
        <v>88</v>
      </c>
      <c r="I2" s="291" t="s">
        <v>89</v>
      </c>
      <c r="J2" s="352" t="s">
        <v>72</v>
      </c>
      <c r="K2" s="293" t="s">
        <v>73</v>
      </c>
      <c r="L2" s="293" t="s">
        <v>74</v>
      </c>
      <c r="M2" s="293" t="s">
        <v>75</v>
      </c>
      <c r="N2" s="352" t="s">
        <v>76</v>
      </c>
      <c r="O2" s="352" t="s">
        <v>77</v>
      </c>
      <c r="P2" s="352" t="s">
        <v>78</v>
      </c>
      <c r="Q2" s="359" t="s">
        <v>31</v>
      </c>
      <c r="R2" s="294" t="s">
        <v>86</v>
      </c>
      <c r="S2" s="294" t="s">
        <v>83</v>
      </c>
      <c r="T2" s="295" t="s">
        <v>84</v>
      </c>
      <c r="U2" s="296" t="s">
        <v>757</v>
      </c>
      <c r="V2" s="295" t="s">
        <v>85</v>
      </c>
      <c r="W2" s="295" t="s">
        <v>87</v>
      </c>
      <c r="X2" s="292" t="s">
        <v>865</v>
      </c>
      <c r="Y2" s="372" t="s">
        <v>866</v>
      </c>
      <c r="Z2" s="372" t="s">
        <v>867</v>
      </c>
      <c r="AB2" s="279" t="str">
        <f t="shared" ref="AB2:AG2" si="0">+D2</f>
        <v>GROSS ASSESSED VALUATION</v>
      </c>
      <c r="AC2" s="279" t="str">
        <f t="shared" si="0"/>
        <v>TIF</v>
      </c>
      <c r="AD2" s="279" t="str">
        <f t="shared" si="0"/>
        <v>NET ASSESSED VALUATION</v>
      </c>
      <c r="AE2" s="279" t="str">
        <f t="shared" si="0"/>
        <v xml:space="preserve"> ABATE AMOUNT</v>
      </c>
      <c r="AF2" s="285" t="str">
        <f t="shared" si="0"/>
        <v>Mill Levy per HB20-1418</v>
      </c>
      <c r="AG2" s="285" t="str">
        <f t="shared" si="0"/>
        <v>Remaining Tax Credit</v>
      </c>
      <c r="AH2" s="285" t="str">
        <f t="shared" ref="AH2:AX2" si="1">+J2</f>
        <v>GENERAL FUND MILL</v>
      </c>
      <c r="AI2" s="285" t="str">
        <f t="shared" si="1"/>
        <v>CATEGORICAL</v>
      </c>
      <c r="AJ2" s="285" t="str">
        <f t="shared" si="1"/>
        <v>Total Prog Reserve</v>
      </c>
      <c r="AK2" s="285" t="str">
        <f t="shared" si="1"/>
        <v>HOLD HARMLESS OVERRIDE</v>
      </c>
      <c r="AL2" s="285" t="str">
        <f t="shared" si="1"/>
        <v>EXCESS OVERRIDE</v>
      </c>
      <c r="AM2" s="285" t="str">
        <f t="shared" si="1"/>
        <v>VOTER APPROVED OVERRIDE</v>
      </c>
      <c r="AN2" s="285" t="str">
        <f t="shared" si="1"/>
        <v>ABATEMENT mill</v>
      </c>
      <c r="AO2" s="285" t="str">
        <f t="shared" si="1"/>
        <v>TOTAL MILLS</v>
      </c>
      <c r="AP2" s="285" t="str">
        <f t="shared" si="1"/>
        <v>BOND</v>
      </c>
      <c r="AQ2" s="285" t="str">
        <f t="shared" si="1"/>
        <v>TRANSP</v>
      </c>
      <c r="AR2" s="285" t="str">
        <f t="shared" si="1"/>
        <v>SPEC BLDG</v>
      </c>
      <c r="AS2" s="285" t="str">
        <f t="shared" si="1"/>
        <v>Suppl. Cap Constr, Tech, Def Maint</v>
      </c>
      <c r="AT2" s="285" t="str">
        <f t="shared" si="1"/>
        <v>Other</v>
      </c>
      <c r="AU2" s="285" t="str">
        <f t="shared" si="1"/>
        <v>Total Mills</v>
      </c>
      <c r="AV2" s="286" t="str">
        <f t="shared" si="1"/>
        <v>FULL TOTAL PROGRAM MILL (ML2)</v>
      </c>
      <c r="AW2" s="282" t="str">
        <f t="shared" si="1"/>
        <v>TOTAL PRG (GT1)</v>
      </c>
      <c r="AX2" s="282" t="str">
        <f t="shared" si="1"/>
        <v>STATE SHARE FUND (GT4)</v>
      </c>
    </row>
    <row r="3" spans="1:50" s="256" customFormat="1" ht="14.5" x14ac:dyDescent="0.35">
      <c r="A3" s="289" t="s">
        <v>34</v>
      </c>
      <c r="B3" s="289" t="s">
        <v>90</v>
      </c>
      <c r="C3" s="297" t="s">
        <v>91</v>
      </c>
      <c r="D3" s="377">
        <v>1252217540</v>
      </c>
      <c r="E3" s="377">
        <v>31065779</v>
      </c>
      <c r="F3" s="377">
        <v>1221151761</v>
      </c>
      <c r="G3" s="377">
        <v>210550.34</v>
      </c>
      <c r="H3" s="347">
        <v>27</v>
      </c>
      <c r="I3" s="347">
        <v>0</v>
      </c>
      <c r="J3" s="353">
        <f t="shared" ref="J3:J39" si="2">+H3-I3</f>
        <v>27</v>
      </c>
      <c r="K3" s="287">
        <v>0</v>
      </c>
      <c r="L3" s="300">
        <v>0</v>
      </c>
      <c r="M3" s="287">
        <v>0.17300000000000001</v>
      </c>
      <c r="N3" s="353">
        <v>0</v>
      </c>
      <c r="O3" s="354">
        <v>3.7810000000000001</v>
      </c>
      <c r="P3" s="355">
        <f t="shared" ref="P3:P34" si="3">+G3/F3*1000</f>
        <v>0.17241947047398967</v>
      </c>
      <c r="Q3" s="360">
        <f>SUM(J3:P3)</f>
        <v>31.126419470473987</v>
      </c>
      <c r="R3" s="299"/>
      <c r="S3" s="299"/>
      <c r="T3" s="299"/>
      <c r="U3" s="299"/>
      <c r="V3" s="299"/>
      <c r="W3" s="299">
        <f>Q3+(SUM(R3:V3))</f>
        <v>31.126419470473987</v>
      </c>
      <c r="X3" s="287">
        <v>58.731000000000002</v>
      </c>
      <c r="Y3" s="344">
        <v>73698347.109999999</v>
      </c>
      <c r="Z3" s="344">
        <v>39194701.924399994</v>
      </c>
      <c r="AB3" s="261">
        <f>+D3-'Data FY23-24 Final'!D3</f>
        <v>20015030</v>
      </c>
      <c r="AC3" s="261">
        <f>+E3-'Data FY23-24 Final'!E3</f>
        <v>-181741</v>
      </c>
      <c r="AD3" s="261">
        <f>+F3-'Data FY23-24 Final'!F3</f>
        <v>20196771</v>
      </c>
      <c r="AE3" s="261">
        <f>+G3-'Data FY23-24 Final'!G3</f>
        <v>50865.679999999993</v>
      </c>
      <c r="AF3" s="288">
        <f>+H3-'Data FY23-24 Final'!H3</f>
        <v>0</v>
      </c>
      <c r="AG3" s="288">
        <f>+I3-'Data FY23-24 Final'!I3</f>
        <v>0</v>
      </c>
      <c r="AH3" s="288">
        <f>+J3-'Data FY23-24 Final'!J3</f>
        <v>0</v>
      </c>
      <c r="AI3" s="288">
        <f>+K3-'Data FY23-24 Final'!K3</f>
        <v>0</v>
      </c>
      <c r="AJ3" s="288">
        <f>+L3-'Data FY23-24 Final'!L3</f>
        <v>0</v>
      </c>
      <c r="AK3" s="288">
        <f>+M3-'Data FY23-24 Final'!M3</f>
        <v>-4.9999999999999767E-3</v>
      </c>
      <c r="AL3" s="288">
        <f>+N3-'Data FY23-24 Final'!N3</f>
        <v>0</v>
      </c>
      <c r="AM3" s="288">
        <f>+O3-'Data FY23-24 Final'!O3</f>
        <v>-11.382999999999999</v>
      </c>
      <c r="AN3" s="288">
        <f>+P3-'Data FY23-24 Final'!P3</f>
        <v>3.9419470473989665E-2</v>
      </c>
      <c r="AO3" s="288">
        <f>+Q3-'Data FY23-24 Final'!Q3</f>
        <v>-11.348580529526014</v>
      </c>
      <c r="AP3" s="288">
        <f>+R3-'Data FY23-24 Final'!R3</f>
        <v>-10.079000000000001</v>
      </c>
      <c r="AQ3" s="288">
        <f>+S3-'Data FY23-24 Final'!S3</f>
        <v>0</v>
      </c>
      <c r="AR3" s="288">
        <f>+T3-'Data FY23-24 Final'!T3</f>
        <v>0</v>
      </c>
      <c r="AS3" s="288">
        <f>+U3-'Data FY23-24 Final'!U3</f>
        <v>0</v>
      </c>
      <c r="AT3" s="288">
        <f>+V3-'Data FY23-24 Final'!V3</f>
        <v>0</v>
      </c>
      <c r="AU3" s="288">
        <f>+W3-'Data FY23-24 Final'!W3</f>
        <v>-21.427580529526015</v>
      </c>
      <c r="AV3" s="288">
        <f>+X3-'Data FY23-24 Final'!X3</f>
        <v>1.0000000000047748E-3</v>
      </c>
      <c r="AW3" s="261">
        <f>+Y3-'Data FY23-24 Final'!Y3</f>
        <v>882330.06000000238</v>
      </c>
      <c r="AX3" s="261">
        <f>+Z3-'Data FY23-24 Final'!Z3</f>
        <v>330247.64440000057</v>
      </c>
    </row>
    <row r="4" spans="1:50" s="256" customFormat="1" ht="14.5" x14ac:dyDescent="0.35">
      <c r="A4" s="289" t="s">
        <v>92</v>
      </c>
      <c r="B4" s="289" t="s">
        <v>90</v>
      </c>
      <c r="C4" s="297" t="s">
        <v>93</v>
      </c>
      <c r="D4" s="377">
        <v>4620562450</v>
      </c>
      <c r="E4" s="377">
        <v>489662407</v>
      </c>
      <c r="F4" s="377">
        <v>4130900043</v>
      </c>
      <c r="G4" s="377">
        <v>1125676.67</v>
      </c>
      <c r="H4" s="347">
        <v>27</v>
      </c>
      <c r="I4" s="347">
        <v>0</v>
      </c>
      <c r="J4" s="353">
        <f t="shared" si="2"/>
        <v>27</v>
      </c>
      <c r="K4" s="287">
        <v>0</v>
      </c>
      <c r="L4" s="300">
        <v>0</v>
      </c>
      <c r="M4" s="287">
        <v>0</v>
      </c>
      <c r="N4" s="353">
        <v>0</v>
      </c>
      <c r="O4" s="354">
        <v>14.17</v>
      </c>
      <c r="P4" s="355">
        <f t="shared" si="3"/>
        <v>0.27250155130417902</v>
      </c>
      <c r="Q4" s="360">
        <f t="shared" ref="Q4:Q67" si="4">SUM(J4:P4)</f>
        <v>41.442501551304183</v>
      </c>
      <c r="R4" s="299"/>
      <c r="S4" s="299"/>
      <c r="T4" s="299"/>
      <c r="U4" s="299"/>
      <c r="V4" s="299"/>
      <c r="W4" s="299">
        <f t="shared" ref="W4:W67" si="5">Q4+(SUM(R4:V4))</f>
        <v>41.442501551304183</v>
      </c>
      <c r="X4" s="287">
        <v>94.312999999999988</v>
      </c>
      <c r="Y4" s="344">
        <v>428726738.31999999</v>
      </c>
      <c r="Z4" s="344">
        <v>302383464.96509999</v>
      </c>
      <c r="AB4" s="261">
        <f>+D4-'Data FY23-24 Final'!D4</f>
        <v>-130582450</v>
      </c>
      <c r="AC4" s="261">
        <f>+E4-'Data FY23-24 Final'!E4</f>
        <v>-17201029</v>
      </c>
      <c r="AD4" s="261">
        <f>+F4-'Data FY23-24 Final'!F4</f>
        <v>-113381421</v>
      </c>
      <c r="AE4" s="261">
        <f>+G4-'Data FY23-24 Final'!G4</f>
        <v>1125676.67</v>
      </c>
      <c r="AF4" s="288">
        <f>+H4-'Data FY23-24 Final'!H4</f>
        <v>0</v>
      </c>
      <c r="AG4" s="288">
        <f>+I4-'Data FY23-24 Final'!I4</f>
        <v>0</v>
      </c>
      <c r="AH4" s="288">
        <f>+J4-'Data FY23-24 Final'!J4</f>
        <v>0</v>
      </c>
      <c r="AI4" s="288">
        <f>+K4-'Data FY23-24 Final'!K4</f>
        <v>0</v>
      </c>
      <c r="AJ4" s="288">
        <f>+L4-'Data FY23-24 Final'!L4</f>
        <v>0</v>
      </c>
      <c r="AK4" s="288">
        <f>+M4-'Data FY23-24 Final'!M4</f>
        <v>0</v>
      </c>
      <c r="AL4" s="288">
        <f>+N4-'Data FY23-24 Final'!N4</f>
        <v>0</v>
      </c>
      <c r="AM4" s="288">
        <f>+O4-'Data FY23-24 Final'!O4</f>
        <v>-1.7609999999999992</v>
      </c>
      <c r="AN4" s="288">
        <f>+P4-'Data FY23-24 Final'!P4</f>
        <v>0.10850155130417902</v>
      </c>
      <c r="AO4" s="288">
        <f>+Q4-'Data FY23-24 Final'!Q4</f>
        <v>-1.6524984486958161</v>
      </c>
      <c r="AP4" s="288">
        <f>+R4-'Data FY23-24 Final'!R4</f>
        <v>-18.664999999999999</v>
      </c>
      <c r="AQ4" s="288">
        <f>+S4-'Data FY23-24 Final'!S4</f>
        <v>0</v>
      </c>
      <c r="AR4" s="288">
        <f>+T4-'Data FY23-24 Final'!T4</f>
        <v>0</v>
      </c>
      <c r="AS4" s="288">
        <f>+U4-'Data FY23-24 Final'!U4</f>
        <v>0</v>
      </c>
      <c r="AT4" s="288">
        <f>+V4-'Data FY23-24 Final'!V4</f>
        <v>0</v>
      </c>
      <c r="AU4" s="288">
        <f>+W4-'Data FY23-24 Final'!W4</f>
        <v>-20.317498448695815</v>
      </c>
      <c r="AV4" s="288">
        <f>+X4-'Data FY23-24 Final'!X4</f>
        <v>0</v>
      </c>
      <c r="AW4" s="261">
        <f>+Y4-'Data FY23-24 Final'!Y4</f>
        <v>54578501.560224831</v>
      </c>
      <c r="AX4" s="261">
        <f>+Z4-'Data FY23-24 Final'!Z4</f>
        <v>48551046.84332481</v>
      </c>
    </row>
    <row r="5" spans="1:50" s="256" customFormat="1" ht="13" x14ac:dyDescent="0.3">
      <c r="A5" s="289" t="s">
        <v>94</v>
      </c>
      <c r="B5" s="289" t="s">
        <v>90</v>
      </c>
      <c r="C5" s="297" t="s">
        <v>95</v>
      </c>
      <c r="D5" s="378">
        <v>1259798150</v>
      </c>
      <c r="E5" s="378">
        <v>10756010</v>
      </c>
      <c r="F5" s="378">
        <v>1249042140</v>
      </c>
      <c r="G5" s="379">
        <v>196258.99</v>
      </c>
      <c r="H5" s="347">
        <v>27</v>
      </c>
      <c r="I5" s="347">
        <v>0</v>
      </c>
      <c r="J5" s="353">
        <f t="shared" si="2"/>
        <v>27</v>
      </c>
      <c r="K5" s="287">
        <v>0</v>
      </c>
      <c r="L5" s="300">
        <v>0</v>
      </c>
      <c r="M5" s="287">
        <v>0</v>
      </c>
      <c r="N5" s="353">
        <v>0</v>
      </c>
      <c r="O5" s="354">
        <v>3.847</v>
      </c>
      <c r="P5" s="355">
        <f t="shared" si="3"/>
        <v>0.15712759699204384</v>
      </c>
      <c r="Q5" s="360">
        <f t="shared" si="4"/>
        <v>31.004127596992046</v>
      </c>
      <c r="R5" s="299"/>
      <c r="S5" s="299"/>
      <c r="T5" s="299"/>
      <c r="U5" s="299"/>
      <c r="V5" s="299"/>
      <c r="W5" s="299">
        <f t="shared" si="5"/>
        <v>31.004127596992046</v>
      </c>
      <c r="X5" s="287">
        <v>54.253999999999998</v>
      </c>
      <c r="Y5" s="344">
        <v>70408109.950000003</v>
      </c>
      <c r="Z5" s="344">
        <v>34647506.811000004</v>
      </c>
      <c r="AB5" s="261">
        <f>+D5-'Data FY23-24 Final'!D5</f>
        <v>15403770</v>
      </c>
      <c r="AC5" s="261">
        <f>+E5-'Data FY23-24 Final'!E5</f>
        <v>611270</v>
      </c>
      <c r="AD5" s="261">
        <f>+F5-'Data FY23-24 Final'!F5</f>
        <v>14792500</v>
      </c>
      <c r="AE5" s="261">
        <f>+G5-'Data FY23-24 Final'!G5</f>
        <v>140809.99</v>
      </c>
      <c r="AF5" s="288">
        <f>+H5-'Data FY23-24 Final'!H5</f>
        <v>0</v>
      </c>
      <c r="AG5" s="288">
        <f>+I5-'Data FY23-24 Final'!I5</f>
        <v>0</v>
      </c>
      <c r="AH5" s="288">
        <f>+J5-'Data FY23-24 Final'!J5</f>
        <v>0</v>
      </c>
      <c r="AI5" s="288">
        <f>+K5-'Data FY23-24 Final'!K5</f>
        <v>0</v>
      </c>
      <c r="AJ5" s="288">
        <f>+L5-'Data FY23-24 Final'!L5</f>
        <v>0</v>
      </c>
      <c r="AK5" s="288">
        <f>+M5-'Data FY23-24 Final'!M5</f>
        <v>0</v>
      </c>
      <c r="AL5" s="288">
        <f>+N5-'Data FY23-24 Final'!N5</f>
        <v>0</v>
      </c>
      <c r="AM5" s="288">
        <f>+O5-'Data FY23-24 Final'!O5</f>
        <v>-0.11500000000000021</v>
      </c>
      <c r="AN5" s="288">
        <f>+P5-'Data FY23-24 Final'!P5</f>
        <v>0.11212759699204385</v>
      </c>
      <c r="AO5" s="288">
        <f>+Q5-'Data FY23-24 Final'!Q5</f>
        <v>-2.8724030079558815E-3</v>
      </c>
      <c r="AP5" s="288">
        <f>+R5-'Data FY23-24 Final'!R5</f>
        <v>-6.0679999999999996</v>
      </c>
      <c r="AQ5" s="288">
        <f>+S5-'Data FY23-24 Final'!S5</f>
        <v>0</v>
      </c>
      <c r="AR5" s="288">
        <f>+T5-'Data FY23-24 Final'!T5</f>
        <v>0</v>
      </c>
      <c r="AS5" s="288">
        <f>+U5-'Data FY23-24 Final'!U5</f>
        <v>0</v>
      </c>
      <c r="AT5" s="288">
        <f>+V5-'Data FY23-24 Final'!V5</f>
        <v>0</v>
      </c>
      <c r="AU5" s="288">
        <f>+W5-'Data FY23-24 Final'!W5</f>
        <v>-6.0708724030079573</v>
      </c>
      <c r="AV5" s="288">
        <f>+X5-'Data FY23-24 Final'!X5</f>
        <v>0</v>
      </c>
      <c r="AW5" s="261">
        <f>+Y5-'Data FY23-24 Final'!Y5</f>
        <v>8183519.1819999963</v>
      </c>
      <c r="AX5" s="261">
        <f>+Z5-'Data FY23-24 Final'!Z5</f>
        <v>7108879.112999998</v>
      </c>
    </row>
    <row r="6" spans="1:50" s="256" customFormat="1" ht="13" x14ac:dyDescent="0.3">
      <c r="A6" s="289" t="s">
        <v>96</v>
      </c>
      <c r="B6" s="289" t="s">
        <v>90</v>
      </c>
      <c r="C6" s="297" t="s">
        <v>97</v>
      </c>
      <c r="D6" s="378">
        <v>3500120270</v>
      </c>
      <c r="E6" s="378">
        <v>281124974</v>
      </c>
      <c r="F6" s="378">
        <v>1343922.46</v>
      </c>
      <c r="G6" s="379">
        <v>1371501.77</v>
      </c>
      <c r="H6" s="347">
        <v>27</v>
      </c>
      <c r="I6" s="347">
        <v>0</v>
      </c>
      <c r="J6" s="353">
        <f t="shared" si="2"/>
        <v>27</v>
      </c>
      <c r="K6" s="287">
        <v>0</v>
      </c>
      <c r="L6" s="300">
        <v>0</v>
      </c>
      <c r="M6" s="287">
        <v>0</v>
      </c>
      <c r="N6" s="353">
        <v>0</v>
      </c>
      <c r="O6" s="354">
        <v>0.22900000000000001</v>
      </c>
      <c r="P6" s="355">
        <f t="shared" si="3"/>
        <v>1020.521503896884</v>
      </c>
      <c r="Q6" s="360">
        <f t="shared" si="4"/>
        <v>1047.7505038968841</v>
      </c>
      <c r="R6" s="299"/>
      <c r="S6" s="299"/>
      <c r="T6" s="299"/>
      <c r="U6" s="299"/>
      <c r="V6" s="299"/>
      <c r="W6" s="299">
        <f t="shared" si="5"/>
        <v>1047.7505038968841</v>
      </c>
      <c r="X6" s="287">
        <v>73.143000000000001</v>
      </c>
      <c r="Y6" s="344">
        <v>242026466.53</v>
      </c>
      <c r="Z6" s="344">
        <v>151154517.09559998</v>
      </c>
      <c r="AB6" s="261">
        <f>+D6-'Data FY23-24 Final'!D6</f>
        <v>69589560</v>
      </c>
      <c r="AC6" s="261">
        <f>+E6-'Data FY23-24 Final'!E6</f>
        <v>-124358207</v>
      </c>
      <c r="AD6" s="261">
        <f>+F6-'Data FY23-24 Final'!F6</f>
        <v>-3023703606.54</v>
      </c>
      <c r="AE6" s="261">
        <f>+G6-'Data FY23-24 Final'!G6</f>
        <v>1196223.6400000001</v>
      </c>
      <c r="AF6" s="288">
        <f>+H6-'Data FY23-24 Final'!H6</f>
        <v>0</v>
      </c>
      <c r="AG6" s="288">
        <f>+I6-'Data FY23-24 Final'!I6</f>
        <v>0</v>
      </c>
      <c r="AH6" s="288">
        <f>+J6-'Data FY23-24 Final'!J6</f>
        <v>0</v>
      </c>
      <c r="AI6" s="288">
        <f>+K6-'Data FY23-24 Final'!K6</f>
        <v>0</v>
      </c>
      <c r="AJ6" s="288">
        <f>+L6-'Data FY23-24 Final'!L6</f>
        <v>0</v>
      </c>
      <c r="AK6" s="288">
        <f>+M6-'Data FY23-24 Final'!M6</f>
        <v>0</v>
      </c>
      <c r="AL6" s="288">
        <f>+N6-'Data FY23-24 Final'!N6</f>
        <v>0</v>
      </c>
      <c r="AM6" s="288">
        <f>+O6-'Data FY23-24 Final'!O6</f>
        <v>-8.0190000000000001</v>
      </c>
      <c r="AN6" s="288">
        <f>+P6-'Data FY23-24 Final'!P6</f>
        <v>1020.463503896884</v>
      </c>
      <c r="AO6" s="288">
        <f>+Q6-'Data FY23-24 Final'!Q6</f>
        <v>1012.444503896884</v>
      </c>
      <c r="AP6" s="288">
        <f>+R6-'Data FY23-24 Final'!R6</f>
        <v>-20.984000000000002</v>
      </c>
      <c r="AQ6" s="288">
        <f>+S6-'Data FY23-24 Final'!S6</f>
        <v>0</v>
      </c>
      <c r="AR6" s="288">
        <f>+T6-'Data FY23-24 Final'!T6</f>
        <v>0</v>
      </c>
      <c r="AS6" s="288">
        <f>+U6-'Data FY23-24 Final'!U6</f>
        <v>0</v>
      </c>
      <c r="AT6" s="288">
        <f>+V6-'Data FY23-24 Final'!V6</f>
        <v>0</v>
      </c>
      <c r="AU6" s="288">
        <f>+W6-'Data FY23-24 Final'!W6</f>
        <v>991.46050389688412</v>
      </c>
      <c r="AV6" s="288">
        <f>+X6-'Data FY23-24 Final'!X6</f>
        <v>0</v>
      </c>
      <c r="AW6" s="261">
        <f>+Y6-'Data FY23-24 Final'!Y6</f>
        <v>9746833.2960000038</v>
      </c>
      <c r="AX6" s="261">
        <f>+Z6-'Data FY23-24 Final'!Z6</f>
        <v>2611763.2745999694</v>
      </c>
    </row>
    <row r="7" spans="1:50" s="256" customFormat="1" ht="13" x14ac:dyDescent="0.3">
      <c r="A7" s="289" t="s">
        <v>98</v>
      </c>
      <c r="B7" s="289" t="s">
        <v>90</v>
      </c>
      <c r="C7" s="297" t="s">
        <v>99</v>
      </c>
      <c r="D7" s="378">
        <v>457771826</v>
      </c>
      <c r="E7" s="378">
        <v>0</v>
      </c>
      <c r="F7" s="378">
        <v>457771826</v>
      </c>
      <c r="G7" s="379">
        <v>28857.57</v>
      </c>
      <c r="H7" s="347">
        <v>25.265000000000001</v>
      </c>
      <c r="I7" s="347">
        <v>0</v>
      </c>
      <c r="J7" s="353">
        <f t="shared" si="2"/>
        <v>25.265000000000001</v>
      </c>
      <c r="K7" s="287">
        <v>0</v>
      </c>
      <c r="L7" s="300">
        <v>0</v>
      </c>
      <c r="M7" s="287">
        <v>0</v>
      </c>
      <c r="N7" s="353">
        <v>0</v>
      </c>
      <c r="O7" s="354">
        <v>2.2790000000000004</v>
      </c>
      <c r="P7" s="355">
        <f t="shared" si="3"/>
        <v>6.3039200669374532E-2</v>
      </c>
      <c r="Q7" s="360">
        <f t="shared" si="4"/>
        <v>27.607039200669377</v>
      </c>
      <c r="R7" s="299"/>
      <c r="S7" s="299"/>
      <c r="T7" s="299"/>
      <c r="U7" s="299"/>
      <c r="V7" s="299"/>
      <c r="W7" s="299">
        <f t="shared" si="5"/>
        <v>27.607039200669377</v>
      </c>
      <c r="X7" s="287">
        <v>26.891999999999999</v>
      </c>
      <c r="Y7" s="344">
        <v>14621610.439999999</v>
      </c>
      <c r="Z7" s="344">
        <v>856810.9352700006</v>
      </c>
      <c r="AB7" s="261">
        <f>+D7-'Data FY23-24 Final'!D7</f>
        <v>-57840150</v>
      </c>
      <c r="AC7" s="261">
        <f>+E7-'Data FY23-24 Final'!E7</f>
        <v>0</v>
      </c>
      <c r="AD7" s="261">
        <f>+F7-'Data FY23-24 Final'!F7</f>
        <v>-57840150</v>
      </c>
      <c r="AE7" s="261">
        <f>+G7-'Data FY23-24 Final'!G7</f>
        <v>24623.57</v>
      </c>
      <c r="AF7" s="288">
        <f>+H7-'Data FY23-24 Final'!H7</f>
        <v>0</v>
      </c>
      <c r="AG7" s="288">
        <f>+I7-'Data FY23-24 Final'!I7</f>
        <v>0</v>
      </c>
      <c r="AH7" s="288">
        <f>+J7-'Data FY23-24 Final'!J7</f>
        <v>0</v>
      </c>
      <c r="AI7" s="288">
        <f>+K7-'Data FY23-24 Final'!K7</f>
        <v>0</v>
      </c>
      <c r="AJ7" s="288">
        <f>+L7-'Data FY23-24 Final'!L7</f>
        <v>0</v>
      </c>
      <c r="AK7" s="288">
        <f>+M7-'Data FY23-24 Final'!M7</f>
        <v>0</v>
      </c>
      <c r="AL7" s="288">
        <f>+N7-'Data FY23-24 Final'!N7</f>
        <v>0</v>
      </c>
      <c r="AM7" s="288">
        <f>+O7-'Data FY23-24 Final'!O7</f>
        <v>2.2790000000000004</v>
      </c>
      <c r="AN7" s="288">
        <f>+P7-'Data FY23-24 Final'!P7</f>
        <v>4.5039200669374529E-2</v>
      </c>
      <c r="AO7" s="288">
        <f>+Q7-'Data FY23-24 Final'!Q7</f>
        <v>2.3240392006693753</v>
      </c>
      <c r="AP7" s="288">
        <f>+R7-'Data FY23-24 Final'!R7</f>
        <v>0</v>
      </c>
      <c r="AQ7" s="288">
        <f>+S7-'Data FY23-24 Final'!S7</f>
        <v>0</v>
      </c>
      <c r="AR7" s="288">
        <f>+T7-'Data FY23-24 Final'!T7</f>
        <v>0</v>
      </c>
      <c r="AS7" s="288">
        <f>+U7-'Data FY23-24 Final'!U7</f>
        <v>0</v>
      </c>
      <c r="AT7" s="288">
        <f>+V7-'Data FY23-24 Final'!V7</f>
        <v>0</v>
      </c>
      <c r="AU7" s="288">
        <f>+W7-'Data FY23-24 Final'!W7</f>
        <v>2.3240392006693753</v>
      </c>
      <c r="AV7" s="288">
        <f>+X7-'Data FY23-24 Final'!X7</f>
        <v>0</v>
      </c>
      <c r="AW7" s="261">
        <f>+Y7-'Data FY23-24 Final'!Y7</f>
        <v>-2460102.6199999992</v>
      </c>
      <c r="AX7" s="261">
        <f>+Z7-'Data FY23-24 Final'!Z7</f>
        <v>-2793721.9510899978</v>
      </c>
    </row>
    <row r="8" spans="1:50" s="256" customFormat="1" ht="13" x14ac:dyDescent="0.3">
      <c r="A8" s="289" t="s">
        <v>100</v>
      </c>
      <c r="B8" s="289" t="s">
        <v>90</v>
      </c>
      <c r="C8" s="297" t="s">
        <v>101</v>
      </c>
      <c r="D8" s="378">
        <v>131063217</v>
      </c>
      <c r="E8" s="378">
        <v>0</v>
      </c>
      <c r="F8" s="378">
        <v>132063217</v>
      </c>
      <c r="G8" s="379">
        <v>1349.49</v>
      </c>
      <c r="H8" s="347">
        <v>27</v>
      </c>
      <c r="I8" s="347">
        <v>0</v>
      </c>
      <c r="J8" s="353">
        <f t="shared" si="2"/>
        <v>27</v>
      </c>
      <c r="K8" s="287">
        <v>0</v>
      </c>
      <c r="L8" s="300">
        <v>0</v>
      </c>
      <c r="M8" s="287">
        <v>0</v>
      </c>
      <c r="N8" s="353">
        <v>0</v>
      </c>
      <c r="O8" s="354">
        <v>2.1840000000000002</v>
      </c>
      <c r="P8" s="355">
        <f t="shared" si="3"/>
        <v>1.0218515273635959E-2</v>
      </c>
      <c r="Q8" s="360">
        <f t="shared" si="4"/>
        <v>29.194218515273636</v>
      </c>
      <c r="R8" s="299"/>
      <c r="S8" s="299"/>
      <c r="T8" s="299"/>
      <c r="U8" s="299"/>
      <c r="V8" s="299"/>
      <c r="W8" s="299">
        <f t="shared" si="5"/>
        <v>29.194218515273636</v>
      </c>
      <c r="X8" s="287">
        <v>90.808999999999997</v>
      </c>
      <c r="Y8" s="344">
        <v>12635179.199999999</v>
      </c>
      <c r="Z8" s="344">
        <v>8763932.0892999992</v>
      </c>
      <c r="AB8" s="261">
        <f>+D8-'Data FY23-24 Final'!D8</f>
        <v>705154</v>
      </c>
      <c r="AC8" s="261">
        <f>+E8-'Data FY23-24 Final'!E8</f>
        <v>0</v>
      </c>
      <c r="AD8" s="261">
        <f>+F8-'Data FY23-24 Final'!F8</f>
        <v>1705154</v>
      </c>
      <c r="AE8" s="261">
        <f>+G8-'Data FY23-24 Final'!G8</f>
        <v>-15788.51</v>
      </c>
      <c r="AF8" s="288">
        <f>+H8-'Data FY23-24 Final'!H8</f>
        <v>0</v>
      </c>
      <c r="AG8" s="288">
        <f>+I8-'Data FY23-24 Final'!I8</f>
        <v>0</v>
      </c>
      <c r="AH8" s="288">
        <f>+J8-'Data FY23-24 Final'!J8</f>
        <v>0</v>
      </c>
      <c r="AI8" s="288">
        <f>+K8-'Data FY23-24 Final'!K8</f>
        <v>0</v>
      </c>
      <c r="AJ8" s="288">
        <f>+L8-'Data FY23-24 Final'!L8</f>
        <v>0</v>
      </c>
      <c r="AK8" s="288">
        <f>+M8-'Data FY23-24 Final'!M8</f>
        <v>0</v>
      </c>
      <c r="AL8" s="288">
        <f>+N8-'Data FY23-24 Final'!N8</f>
        <v>0</v>
      </c>
      <c r="AM8" s="288">
        <f>+O8-'Data FY23-24 Final'!O8</f>
        <v>-0.11699999999999999</v>
      </c>
      <c r="AN8" s="288">
        <f>+P8-'Data FY23-24 Final'!P8</f>
        <v>-0.12078148472636405</v>
      </c>
      <c r="AO8" s="288">
        <f>+Q8-'Data FY23-24 Final'!Q8</f>
        <v>-0.23778148472636218</v>
      </c>
      <c r="AP8" s="288">
        <f>+R8-'Data FY23-24 Final'!R8</f>
        <v>-11.507</v>
      </c>
      <c r="AQ8" s="288">
        <f>+S8-'Data FY23-24 Final'!S8</f>
        <v>0</v>
      </c>
      <c r="AR8" s="288">
        <f>+T8-'Data FY23-24 Final'!T8</f>
        <v>0</v>
      </c>
      <c r="AS8" s="288">
        <f>+U8-'Data FY23-24 Final'!U8</f>
        <v>0</v>
      </c>
      <c r="AT8" s="288">
        <f>+V8-'Data FY23-24 Final'!V8</f>
        <v>0</v>
      </c>
      <c r="AU8" s="288">
        <f>+W8-'Data FY23-24 Final'!W8</f>
        <v>-11.744781484726364</v>
      </c>
      <c r="AV8" s="288">
        <f>+X8-'Data FY23-24 Final'!X8</f>
        <v>0</v>
      </c>
      <c r="AW8" s="261">
        <f>+Y8-'Data FY23-24 Final'!Y8</f>
        <v>381977.46999999881</v>
      </c>
      <c r="AX8" s="261">
        <f>+Z8-'Data FY23-24 Final'!Z8</f>
        <v>204761.91029999778</v>
      </c>
    </row>
    <row r="9" spans="1:50" s="256" customFormat="1" ht="13" x14ac:dyDescent="0.3">
      <c r="A9" s="289" t="s">
        <v>102</v>
      </c>
      <c r="B9" s="289" t="s">
        <v>90</v>
      </c>
      <c r="C9" s="297" t="s">
        <v>103</v>
      </c>
      <c r="D9" s="378">
        <v>1117889860</v>
      </c>
      <c r="E9" s="378">
        <v>1688341</v>
      </c>
      <c r="F9" s="378">
        <v>1113201519</v>
      </c>
      <c r="G9" s="379">
        <v>286517.71999999997</v>
      </c>
      <c r="H9" s="347">
        <v>27</v>
      </c>
      <c r="I9" s="347">
        <v>0</v>
      </c>
      <c r="J9" s="353">
        <f t="shared" si="2"/>
        <v>27</v>
      </c>
      <c r="K9" s="287">
        <v>0</v>
      </c>
      <c r="L9" s="300">
        <v>0</v>
      </c>
      <c r="M9" s="287">
        <v>0.442</v>
      </c>
      <c r="N9" s="353">
        <v>0</v>
      </c>
      <c r="O9" s="354">
        <v>6.6920000000000002</v>
      </c>
      <c r="P9" s="355">
        <f t="shared" si="3"/>
        <v>0.25738171850266761</v>
      </c>
      <c r="Q9" s="360">
        <f t="shared" si="4"/>
        <v>34.391381718502664</v>
      </c>
      <c r="R9" s="299"/>
      <c r="S9" s="299"/>
      <c r="T9" s="299"/>
      <c r="U9" s="299"/>
      <c r="V9" s="299"/>
      <c r="W9" s="299">
        <f t="shared" si="5"/>
        <v>34.391381718502664</v>
      </c>
      <c r="X9" s="287">
        <v>81.93</v>
      </c>
      <c r="Y9" s="344">
        <v>97590261.239999995</v>
      </c>
      <c r="Z9" s="344">
        <v>64391041.822799996</v>
      </c>
      <c r="AB9" s="261">
        <f>+D9-'Data FY23-24 Final'!D9</f>
        <v>4447880</v>
      </c>
      <c r="AC9" s="261">
        <f>+E9-'Data FY23-24 Final'!E9</f>
        <v>-737129</v>
      </c>
      <c r="AD9" s="261">
        <f>+F9-'Data FY23-24 Final'!F9</f>
        <v>2185009</v>
      </c>
      <c r="AE9" s="261">
        <f>+G9-'Data FY23-24 Final'!G9</f>
        <v>230448.71999999997</v>
      </c>
      <c r="AF9" s="288">
        <f>+H9-'Data FY23-24 Final'!H9</f>
        <v>0</v>
      </c>
      <c r="AG9" s="288">
        <f>+I9-'Data FY23-24 Final'!I9</f>
        <v>0</v>
      </c>
      <c r="AH9" s="288">
        <f>+J9-'Data FY23-24 Final'!J9</f>
        <v>0</v>
      </c>
      <c r="AI9" s="288">
        <f>+K9-'Data FY23-24 Final'!K9</f>
        <v>0</v>
      </c>
      <c r="AJ9" s="288">
        <f>+L9-'Data FY23-24 Final'!L9</f>
        <v>0</v>
      </c>
      <c r="AK9" s="288">
        <f>+M9-'Data FY23-24 Final'!M9</f>
        <v>-2.5000000000000022E-2</v>
      </c>
      <c r="AL9" s="288">
        <f>+N9-'Data FY23-24 Final'!N9</f>
        <v>0</v>
      </c>
      <c r="AM9" s="288">
        <f>+O9-'Data FY23-24 Final'!O9</f>
        <v>-17.745000000000001</v>
      </c>
      <c r="AN9" s="288">
        <f>+P9-'Data FY23-24 Final'!P9</f>
        <v>0.20738171850266762</v>
      </c>
      <c r="AO9" s="288">
        <f>+Q9-'Data FY23-24 Final'!Q9</f>
        <v>-17.562618281497336</v>
      </c>
      <c r="AP9" s="288">
        <f>+R9-'Data FY23-24 Final'!R9</f>
        <v>-7.4909999999999997</v>
      </c>
      <c r="AQ9" s="288">
        <f>+S9-'Data FY23-24 Final'!S9</f>
        <v>0</v>
      </c>
      <c r="AR9" s="288">
        <f>+T9-'Data FY23-24 Final'!T9</f>
        <v>0</v>
      </c>
      <c r="AS9" s="288">
        <f>+U9-'Data FY23-24 Final'!U9</f>
        <v>0</v>
      </c>
      <c r="AT9" s="288">
        <f>+V9-'Data FY23-24 Final'!V9</f>
        <v>0</v>
      </c>
      <c r="AU9" s="288">
        <f>+W9-'Data FY23-24 Final'!W9</f>
        <v>-25.053618281497336</v>
      </c>
      <c r="AV9" s="288">
        <f>+X9-'Data FY23-24 Final'!X9</f>
        <v>0</v>
      </c>
      <c r="AW9" s="261">
        <f>+Y9-'Data FY23-24 Final'!Y9</f>
        <v>11428265.977999985</v>
      </c>
      <c r="AX9" s="261">
        <f>+Z9-'Data FY23-24 Final'!Z9</f>
        <v>9932045.920799993</v>
      </c>
    </row>
    <row r="10" spans="1:50" s="256" customFormat="1" ht="13" x14ac:dyDescent="0.3">
      <c r="A10" s="289" t="s">
        <v>104</v>
      </c>
      <c r="B10" s="289" t="s">
        <v>105</v>
      </c>
      <c r="C10" s="297" t="s">
        <v>105</v>
      </c>
      <c r="D10" s="378">
        <v>165589403</v>
      </c>
      <c r="E10" s="378">
        <v>0</v>
      </c>
      <c r="F10" s="378">
        <v>165589403</v>
      </c>
      <c r="G10" s="379">
        <v>3773</v>
      </c>
      <c r="H10" s="347">
        <v>27</v>
      </c>
      <c r="I10" s="347">
        <v>0</v>
      </c>
      <c r="J10" s="353">
        <f t="shared" si="2"/>
        <v>27</v>
      </c>
      <c r="K10" s="287">
        <v>0</v>
      </c>
      <c r="L10" s="300">
        <v>0</v>
      </c>
      <c r="M10" s="287">
        <v>0</v>
      </c>
      <c r="N10" s="353">
        <v>0</v>
      </c>
      <c r="O10" s="354">
        <v>0</v>
      </c>
      <c r="P10" s="355">
        <f t="shared" si="3"/>
        <v>2.2785274490059005E-2</v>
      </c>
      <c r="Q10" s="360">
        <f t="shared" si="4"/>
        <v>27.022785274490058</v>
      </c>
      <c r="R10" s="299"/>
      <c r="S10" s="299"/>
      <c r="T10" s="299"/>
      <c r="U10" s="299"/>
      <c r="V10" s="299"/>
      <c r="W10" s="299">
        <f t="shared" si="5"/>
        <v>27.022785274490058</v>
      </c>
      <c r="X10" s="287">
        <v>126.00200000000001</v>
      </c>
      <c r="Y10" s="344">
        <v>22771462.649999999</v>
      </c>
      <c r="Z10" s="344">
        <v>17449799.174099997</v>
      </c>
      <c r="AB10" s="261">
        <f>+D10-'Data FY23-24 Final'!D10</f>
        <v>2214375</v>
      </c>
      <c r="AC10" s="261">
        <f>+E10-'Data FY23-24 Final'!E10</f>
        <v>0</v>
      </c>
      <c r="AD10" s="261">
        <f>+F10-'Data FY23-24 Final'!F10</f>
        <v>2214375</v>
      </c>
      <c r="AE10" s="261">
        <f>+G10-'Data FY23-24 Final'!G10</f>
        <v>-22891</v>
      </c>
      <c r="AF10" s="288">
        <f>+H10-'Data FY23-24 Final'!H10</f>
        <v>0</v>
      </c>
      <c r="AG10" s="288">
        <f>+I10-'Data FY23-24 Final'!I10</f>
        <v>0</v>
      </c>
      <c r="AH10" s="288">
        <f>+J10-'Data FY23-24 Final'!J10</f>
        <v>0</v>
      </c>
      <c r="AI10" s="288">
        <f>+K10-'Data FY23-24 Final'!K10</f>
        <v>0</v>
      </c>
      <c r="AJ10" s="288">
        <f>+L10-'Data FY23-24 Final'!L10</f>
        <v>0</v>
      </c>
      <c r="AK10" s="288">
        <f>+M10-'Data FY23-24 Final'!M10</f>
        <v>0</v>
      </c>
      <c r="AL10" s="288">
        <f>+N10-'Data FY23-24 Final'!N10</f>
        <v>0</v>
      </c>
      <c r="AM10" s="288">
        <f>+O10-'Data FY23-24 Final'!O10</f>
        <v>0</v>
      </c>
      <c r="AN10" s="288">
        <f>+P10-'Data FY23-24 Final'!P10</f>
        <v>-0.14021472550994099</v>
      </c>
      <c r="AO10" s="288">
        <f>+Q10-'Data FY23-24 Final'!Q10</f>
        <v>-0.14021472550994218</v>
      </c>
      <c r="AP10" s="288">
        <f>+R10-'Data FY23-24 Final'!R10</f>
        <v>-6.7329999999999997</v>
      </c>
      <c r="AQ10" s="288">
        <f>+S10-'Data FY23-24 Final'!S10</f>
        <v>0</v>
      </c>
      <c r="AR10" s="288">
        <f>+T10-'Data FY23-24 Final'!T10</f>
        <v>0</v>
      </c>
      <c r="AS10" s="288">
        <f>+U10-'Data FY23-24 Final'!U10</f>
        <v>0</v>
      </c>
      <c r="AT10" s="288">
        <f>+V10-'Data FY23-24 Final'!V10</f>
        <v>0</v>
      </c>
      <c r="AU10" s="288">
        <f>+W10-'Data FY23-24 Final'!W10</f>
        <v>-6.8732147255099427</v>
      </c>
      <c r="AV10" s="288">
        <f>+X10-'Data FY23-24 Final'!X10</f>
        <v>0</v>
      </c>
      <c r="AW10" s="261">
        <f>+Y10-'Data FY23-24 Final'!Y10</f>
        <v>129681.83999999985</v>
      </c>
      <c r="AX10" s="261">
        <f>+Z10-'Data FY23-24 Final'!Z10</f>
        <v>-214959.55990000069</v>
      </c>
    </row>
    <row r="11" spans="1:50" s="256" customFormat="1" ht="13" x14ac:dyDescent="0.3">
      <c r="A11" s="289" t="s">
        <v>106</v>
      </c>
      <c r="B11" s="289" t="s">
        <v>105</v>
      </c>
      <c r="C11" s="297" t="s">
        <v>107</v>
      </c>
      <c r="D11" s="378">
        <v>48539447</v>
      </c>
      <c r="E11" s="378">
        <v>0</v>
      </c>
      <c r="F11" s="378">
        <v>48539447</v>
      </c>
      <c r="G11" s="379">
        <v>2068.11</v>
      </c>
      <c r="H11" s="347">
        <v>27</v>
      </c>
      <c r="I11" s="347">
        <v>0</v>
      </c>
      <c r="J11" s="353">
        <f t="shared" si="2"/>
        <v>27</v>
      </c>
      <c r="K11" s="287">
        <v>0</v>
      </c>
      <c r="L11" s="300">
        <v>0</v>
      </c>
      <c r="M11" s="287">
        <v>0</v>
      </c>
      <c r="N11" s="353">
        <v>0</v>
      </c>
      <c r="O11" s="354">
        <v>0</v>
      </c>
      <c r="P11" s="355">
        <f t="shared" si="3"/>
        <v>4.2606789484025229E-2</v>
      </c>
      <c r="Q11" s="360">
        <f t="shared" si="4"/>
        <v>27.042606789484026</v>
      </c>
      <c r="R11" s="299"/>
      <c r="S11" s="299"/>
      <c r="T11" s="299"/>
      <c r="U11" s="299"/>
      <c r="V11" s="299"/>
      <c r="W11" s="299">
        <f t="shared" si="5"/>
        <v>27.042606789484026</v>
      </c>
      <c r="X11" s="287">
        <v>77.784000000000006</v>
      </c>
      <c r="Y11" s="344">
        <v>3897280.79</v>
      </c>
      <c r="Z11" s="344">
        <v>2453913.1628999999</v>
      </c>
      <c r="AB11" s="261">
        <f>+D11-'Data FY23-24 Final'!D11</f>
        <v>1573900</v>
      </c>
      <c r="AC11" s="261">
        <f>+E11-'Data FY23-24 Final'!E11</f>
        <v>0</v>
      </c>
      <c r="AD11" s="261">
        <f>+F11-'Data FY23-24 Final'!F11</f>
        <v>1573900</v>
      </c>
      <c r="AE11" s="261">
        <f>+G11-'Data FY23-24 Final'!G11</f>
        <v>125.11000000000013</v>
      </c>
      <c r="AF11" s="288">
        <f>+H11-'Data FY23-24 Final'!H11</f>
        <v>0</v>
      </c>
      <c r="AG11" s="288">
        <f>+I11-'Data FY23-24 Final'!I11</f>
        <v>0</v>
      </c>
      <c r="AH11" s="288">
        <f>+J11-'Data FY23-24 Final'!J11</f>
        <v>0</v>
      </c>
      <c r="AI11" s="288">
        <f>+K11-'Data FY23-24 Final'!K11</f>
        <v>0</v>
      </c>
      <c r="AJ11" s="288">
        <f>+L11-'Data FY23-24 Final'!L11</f>
        <v>0</v>
      </c>
      <c r="AK11" s="288">
        <f>+M11-'Data FY23-24 Final'!M11</f>
        <v>0</v>
      </c>
      <c r="AL11" s="288">
        <f>+N11-'Data FY23-24 Final'!N11</f>
        <v>0</v>
      </c>
      <c r="AM11" s="288">
        <f>+O11-'Data FY23-24 Final'!O11</f>
        <v>0</v>
      </c>
      <c r="AN11" s="288">
        <f>+P11-'Data FY23-24 Final'!P11</f>
        <v>1.606789484025227E-3</v>
      </c>
      <c r="AO11" s="288">
        <f>+Q11-'Data FY23-24 Final'!Q11</f>
        <v>1.6067894840254837E-3</v>
      </c>
      <c r="AP11" s="288">
        <f>+R11-'Data FY23-24 Final'!R11</f>
        <v>-6.59</v>
      </c>
      <c r="AQ11" s="288">
        <f>+S11-'Data FY23-24 Final'!S11</f>
        <v>0</v>
      </c>
      <c r="AR11" s="288">
        <f>+T11-'Data FY23-24 Final'!T11</f>
        <v>0</v>
      </c>
      <c r="AS11" s="288">
        <f>+U11-'Data FY23-24 Final'!U11</f>
        <v>0</v>
      </c>
      <c r="AT11" s="288">
        <f>+V11-'Data FY23-24 Final'!V11</f>
        <v>0</v>
      </c>
      <c r="AU11" s="288">
        <f>+W11-'Data FY23-24 Final'!W11</f>
        <v>-6.5883932105159744</v>
      </c>
      <c r="AV11" s="288">
        <f>+X11-'Data FY23-24 Final'!X11</f>
        <v>0</v>
      </c>
      <c r="AW11" s="261">
        <f>+Y11-'Data FY23-24 Final'!Y11</f>
        <v>-41111.10999999987</v>
      </c>
      <c r="AX11" s="261">
        <f>+Z11-'Data FY23-24 Final'!Z11</f>
        <v>-75576.158100000117</v>
      </c>
    </row>
    <row r="12" spans="1:50" s="256" customFormat="1" ht="13" x14ac:dyDescent="0.3">
      <c r="A12" s="289" t="s">
        <v>108</v>
      </c>
      <c r="B12" s="289" t="s">
        <v>109</v>
      </c>
      <c r="C12" s="297" t="s">
        <v>110</v>
      </c>
      <c r="D12" s="378">
        <v>918660064</v>
      </c>
      <c r="E12" s="378">
        <v>67573166</v>
      </c>
      <c r="F12" s="378">
        <v>851086898</v>
      </c>
      <c r="G12" s="379">
        <v>214719.35999999999</v>
      </c>
      <c r="H12" s="347">
        <v>27</v>
      </c>
      <c r="I12" s="347">
        <v>1.1049999999999969</v>
      </c>
      <c r="J12" s="353">
        <f t="shared" si="2"/>
        <v>25.895000000000003</v>
      </c>
      <c r="K12" s="287">
        <v>0</v>
      </c>
      <c r="L12" s="300">
        <v>0</v>
      </c>
      <c r="M12" s="287">
        <v>0</v>
      </c>
      <c r="N12" s="353">
        <v>0</v>
      </c>
      <c r="O12" s="354">
        <v>5.3220000000000001</v>
      </c>
      <c r="P12" s="355">
        <f t="shared" si="3"/>
        <v>0.2522884096848122</v>
      </c>
      <c r="Q12" s="360">
        <f t="shared" si="4"/>
        <v>31.469288409684815</v>
      </c>
      <c r="R12" s="299"/>
      <c r="S12" s="299"/>
      <c r="T12" s="299"/>
      <c r="U12" s="299"/>
      <c r="V12" s="299"/>
      <c r="W12" s="299">
        <f t="shared" si="5"/>
        <v>31.469288409684815</v>
      </c>
      <c r="X12" s="287">
        <v>27.728999999999999</v>
      </c>
      <c r="Y12" s="344">
        <v>25255064.199999999</v>
      </c>
      <c r="Z12" s="344">
        <v>2479112.6974999988</v>
      </c>
      <c r="AB12" s="261">
        <f>+D12-'Data FY23-24 Final'!D12</f>
        <v>32572090</v>
      </c>
      <c r="AC12" s="261">
        <f>+E12-'Data FY23-24 Final'!E12</f>
        <v>11614960</v>
      </c>
      <c r="AD12" s="261">
        <f>+F12-'Data FY23-24 Final'!F12</f>
        <v>20957130</v>
      </c>
      <c r="AE12" s="261">
        <f>+G12-'Data FY23-24 Final'!G12</f>
        <v>68256.359999999986</v>
      </c>
      <c r="AF12" s="288">
        <f>+H12-'Data FY23-24 Final'!H12</f>
        <v>0</v>
      </c>
      <c r="AG12" s="288">
        <f>+I12-'Data FY23-24 Final'!I12</f>
        <v>-1.0000000000000031</v>
      </c>
      <c r="AH12" s="288">
        <f>+J12-'Data FY23-24 Final'!J12</f>
        <v>1.0000000000000036</v>
      </c>
      <c r="AI12" s="288">
        <f>+K12-'Data FY23-24 Final'!K12</f>
        <v>0</v>
      </c>
      <c r="AJ12" s="288">
        <f>+L12-'Data FY23-24 Final'!L12</f>
        <v>0</v>
      </c>
      <c r="AK12" s="288">
        <f>+M12-'Data FY23-24 Final'!M12</f>
        <v>0</v>
      </c>
      <c r="AL12" s="288">
        <f>+N12-'Data FY23-24 Final'!N12</f>
        <v>0</v>
      </c>
      <c r="AM12" s="288">
        <f>+O12-'Data FY23-24 Final'!O12</f>
        <v>-2.0935269999999999</v>
      </c>
      <c r="AN12" s="288">
        <f>+P12-'Data FY23-24 Final'!P12</f>
        <v>7.5854409684812191E-2</v>
      </c>
      <c r="AO12" s="288">
        <f>+Q12-'Data FY23-24 Final'!Q12</f>
        <v>-1.0176725903151862</v>
      </c>
      <c r="AP12" s="288">
        <f>+R12-'Data FY23-24 Final'!R12</f>
        <v>-11.769479</v>
      </c>
      <c r="AQ12" s="288">
        <f>+S12-'Data FY23-24 Final'!S12</f>
        <v>0</v>
      </c>
      <c r="AR12" s="288">
        <f>+T12-'Data FY23-24 Final'!T12</f>
        <v>0</v>
      </c>
      <c r="AS12" s="288">
        <f>+U12-'Data FY23-24 Final'!U12</f>
        <v>-4.818524</v>
      </c>
      <c r="AT12" s="288">
        <f>+V12-'Data FY23-24 Final'!V12</f>
        <v>0</v>
      </c>
      <c r="AU12" s="288">
        <f>+W12-'Data FY23-24 Final'!W12</f>
        <v>-17.605675590315187</v>
      </c>
      <c r="AV12" s="288">
        <f>+X12-'Data FY23-24 Final'!X12</f>
        <v>0</v>
      </c>
      <c r="AW12" s="261">
        <f>+Y12-'Data FY23-24 Final'!Y12</f>
        <v>259333.83999999985</v>
      </c>
      <c r="AX12" s="261">
        <f>+Z12-'Data FY23-24 Final'!Z12</f>
        <v>-638422.78813999891</v>
      </c>
    </row>
    <row r="13" spans="1:50" s="256" customFormat="1" ht="13" x14ac:dyDescent="0.3">
      <c r="A13" s="289" t="s">
        <v>111</v>
      </c>
      <c r="B13" s="289" t="s">
        <v>109</v>
      </c>
      <c r="C13" s="297" t="s">
        <v>112</v>
      </c>
      <c r="D13" s="378">
        <v>369308356</v>
      </c>
      <c r="E13" s="378">
        <v>38079511</v>
      </c>
      <c r="F13" s="378">
        <v>331228845</v>
      </c>
      <c r="G13" s="379">
        <v>104899.25</v>
      </c>
      <c r="H13" s="347">
        <v>27</v>
      </c>
      <c r="I13" s="347">
        <v>2.0530000000000008</v>
      </c>
      <c r="J13" s="353">
        <f t="shared" si="2"/>
        <v>24.946999999999999</v>
      </c>
      <c r="K13" s="287">
        <v>0</v>
      </c>
      <c r="L13" s="300">
        <v>0</v>
      </c>
      <c r="M13" s="287">
        <v>0</v>
      </c>
      <c r="N13" s="353">
        <v>0</v>
      </c>
      <c r="O13" s="354">
        <v>2.8570000000000002</v>
      </c>
      <c r="P13" s="355">
        <f t="shared" si="3"/>
        <v>0.31669720673028945</v>
      </c>
      <c r="Q13" s="360">
        <f t="shared" si="4"/>
        <v>28.120697206730288</v>
      </c>
      <c r="R13" s="299"/>
      <c r="S13" s="299"/>
      <c r="T13" s="299"/>
      <c r="U13" s="299"/>
      <c r="V13" s="299"/>
      <c r="W13" s="299">
        <f t="shared" si="5"/>
        <v>28.120697206730288</v>
      </c>
      <c r="X13" s="287">
        <v>38.282999999999994</v>
      </c>
      <c r="Y13" s="344">
        <v>13798224.43</v>
      </c>
      <c r="Z13" s="344">
        <v>5017649.8969859993</v>
      </c>
      <c r="AB13" s="261">
        <f>+D13-'Data FY23-24 Final'!D13</f>
        <v>-2657463</v>
      </c>
      <c r="AC13" s="261">
        <f>+E13-'Data FY23-24 Final'!E13</f>
        <v>-3312768</v>
      </c>
      <c r="AD13" s="261">
        <f>+F13-'Data FY23-24 Final'!F13</f>
        <v>655305</v>
      </c>
      <c r="AE13" s="261">
        <f>+G13-'Data FY23-24 Final'!G13</f>
        <v>-19840.75</v>
      </c>
      <c r="AF13" s="288">
        <f>+H13-'Data FY23-24 Final'!H13</f>
        <v>0</v>
      </c>
      <c r="AG13" s="288">
        <f>+I13-'Data FY23-24 Final'!I13</f>
        <v>-0.99999999999999911</v>
      </c>
      <c r="AH13" s="288">
        <f>+J13-'Data FY23-24 Final'!J13</f>
        <v>1</v>
      </c>
      <c r="AI13" s="288">
        <f>+K13-'Data FY23-24 Final'!K13</f>
        <v>0</v>
      </c>
      <c r="AJ13" s="288">
        <f>+L13-'Data FY23-24 Final'!L13</f>
        <v>0</v>
      </c>
      <c r="AK13" s="288">
        <f>+M13-'Data FY23-24 Final'!M13</f>
        <v>0</v>
      </c>
      <c r="AL13" s="288">
        <f>+N13-'Data FY23-24 Final'!N13</f>
        <v>0</v>
      </c>
      <c r="AM13" s="288">
        <f>+O13-'Data FY23-24 Final'!O13</f>
        <v>-8.7049999999999983</v>
      </c>
      <c r="AN13" s="288">
        <f>+P13-'Data FY23-24 Final'!P13</f>
        <v>-6.0302793269710553E-2</v>
      </c>
      <c r="AO13" s="288">
        <f>+Q13-'Data FY23-24 Final'!Q13</f>
        <v>-7.765302793269715</v>
      </c>
      <c r="AP13" s="288">
        <f>+R13-'Data FY23-24 Final'!R13</f>
        <v>-4.3860000000000001</v>
      </c>
      <c r="AQ13" s="288">
        <f>+S13-'Data FY23-24 Final'!S13</f>
        <v>0</v>
      </c>
      <c r="AR13" s="288">
        <f>+T13-'Data FY23-24 Final'!T13</f>
        <v>0</v>
      </c>
      <c r="AS13" s="288">
        <f>+U13-'Data FY23-24 Final'!U13</f>
        <v>0</v>
      </c>
      <c r="AT13" s="288">
        <f>+V13-'Data FY23-24 Final'!V13</f>
        <v>0</v>
      </c>
      <c r="AU13" s="288">
        <f>+W13-'Data FY23-24 Final'!W13</f>
        <v>-12.151302793269711</v>
      </c>
      <c r="AV13" s="288">
        <f>+X13-'Data FY23-24 Final'!X13</f>
        <v>0</v>
      </c>
      <c r="AW13" s="261">
        <f>+Y13-'Data FY23-24 Final'!Y13</f>
        <v>292860.16000000015</v>
      </c>
      <c r="AX13" s="261">
        <f>+Z13-'Data FY23-24 Final'!Z13</f>
        <v>-104192.10063400026</v>
      </c>
    </row>
    <row r="14" spans="1:50" s="256" customFormat="1" ht="13" x14ac:dyDescent="0.3">
      <c r="A14" s="289" t="s">
        <v>113</v>
      </c>
      <c r="B14" s="289" t="s">
        <v>109</v>
      </c>
      <c r="C14" s="297" t="s">
        <v>114</v>
      </c>
      <c r="D14" s="378">
        <v>8983595707</v>
      </c>
      <c r="E14" s="378">
        <v>64460780</v>
      </c>
      <c r="F14" s="378">
        <v>8919134927</v>
      </c>
      <c r="G14" s="379">
        <v>2223882.73</v>
      </c>
      <c r="H14" s="347">
        <v>18.756</v>
      </c>
      <c r="I14" s="347">
        <v>0</v>
      </c>
      <c r="J14" s="353">
        <f t="shared" si="2"/>
        <v>18.756</v>
      </c>
      <c r="K14" s="287">
        <v>0</v>
      </c>
      <c r="L14" s="300">
        <v>0</v>
      </c>
      <c r="M14" s="287">
        <v>0.69</v>
      </c>
      <c r="N14" s="353">
        <v>4.1000000000000002E-2</v>
      </c>
      <c r="O14" s="354">
        <v>8.3090000000000011</v>
      </c>
      <c r="P14" s="355">
        <f t="shared" si="3"/>
        <v>0.24933838855468635</v>
      </c>
      <c r="Q14" s="360">
        <f t="shared" si="4"/>
        <v>28.04533838855469</v>
      </c>
      <c r="R14" s="299"/>
      <c r="S14" s="299"/>
      <c r="T14" s="299"/>
      <c r="U14" s="301"/>
      <c r="V14" s="301"/>
      <c r="W14" s="299">
        <f t="shared" si="5"/>
        <v>28.04533838855469</v>
      </c>
      <c r="X14" s="287">
        <v>58.149000000000001</v>
      </c>
      <c r="Y14" s="344">
        <v>555729448.97000003</v>
      </c>
      <c r="Z14" s="344">
        <v>368670038.26174408</v>
      </c>
      <c r="AB14" s="261">
        <f>+D14-'Data FY23-24 Final'!D14</f>
        <v>41042333</v>
      </c>
      <c r="AC14" s="261">
        <f>+E14-'Data FY23-24 Final'!E14</f>
        <v>-730025</v>
      </c>
      <c r="AD14" s="261">
        <f>+F14-'Data FY23-24 Final'!F14</f>
        <v>41772358</v>
      </c>
      <c r="AE14" s="261">
        <f>+G14-'Data FY23-24 Final'!G14</f>
        <v>-380463.27</v>
      </c>
      <c r="AF14" s="288">
        <f>+H14-'Data FY23-24 Final'!H14</f>
        <v>0</v>
      </c>
      <c r="AG14" s="288">
        <f>+I14-'Data FY23-24 Final'!I14</f>
        <v>0</v>
      </c>
      <c r="AH14" s="288">
        <f>+J14-'Data FY23-24 Final'!J14</f>
        <v>0</v>
      </c>
      <c r="AI14" s="288">
        <f>+K14-'Data FY23-24 Final'!K14</f>
        <v>0</v>
      </c>
      <c r="AJ14" s="288">
        <f>+L14-'Data FY23-24 Final'!L14</f>
        <v>0</v>
      </c>
      <c r="AK14" s="288">
        <f>+M14-'Data FY23-24 Final'!M14</f>
        <v>-3.7000000000000033E-2</v>
      </c>
      <c r="AL14" s="288">
        <f>+N14-'Data FY23-24 Final'!N14</f>
        <v>-3.9999999999999966E-3</v>
      </c>
      <c r="AM14" s="288">
        <f>+O14-'Data FY23-24 Final'!O14</f>
        <v>-6.8689999999999998</v>
      </c>
      <c r="AN14" s="288">
        <f>+P14-'Data FY23-24 Final'!P14</f>
        <v>-4.3661611445313636E-2</v>
      </c>
      <c r="AO14" s="288">
        <f>+Q14-'Data FY23-24 Final'!Q14</f>
        <v>-6.9536616114453125</v>
      </c>
      <c r="AP14" s="288">
        <f>+R14-'Data FY23-24 Final'!R14</f>
        <v>-7.7759999999999998</v>
      </c>
      <c r="AQ14" s="288">
        <f>+S14-'Data FY23-24 Final'!S14</f>
        <v>0</v>
      </c>
      <c r="AR14" s="288">
        <f>+T14-'Data FY23-24 Final'!T14</f>
        <v>0</v>
      </c>
      <c r="AS14" s="288">
        <f>+U14-'Data FY23-24 Final'!U14</f>
        <v>-4.7919999999999998</v>
      </c>
      <c r="AT14" s="288">
        <f>+V14-'Data FY23-24 Final'!V14</f>
        <v>0</v>
      </c>
      <c r="AU14" s="288">
        <f>+W14-'Data FY23-24 Final'!W14</f>
        <v>-19.52166161144531</v>
      </c>
      <c r="AV14" s="288">
        <f>+X14-'Data FY23-24 Final'!X14</f>
        <v>0</v>
      </c>
      <c r="AW14" s="261">
        <f>+Y14-'Data FY23-24 Final'!Y14</f>
        <v>2056624.5</v>
      </c>
      <c r="AX14" s="261">
        <f>+Z14-'Data FY23-24 Final'!Z14</f>
        <v>-6345572.6340919137</v>
      </c>
    </row>
    <row r="15" spans="1:50" s="256" customFormat="1" ht="13" x14ac:dyDescent="0.3">
      <c r="A15" s="289" t="s">
        <v>115</v>
      </c>
      <c r="B15" s="289" t="s">
        <v>109</v>
      </c>
      <c r="C15" s="297" t="s">
        <v>116</v>
      </c>
      <c r="D15" s="378">
        <v>2526957375</v>
      </c>
      <c r="E15" s="378">
        <v>32853380</v>
      </c>
      <c r="F15" s="378">
        <v>2494103995</v>
      </c>
      <c r="G15" s="379">
        <v>914033.02</v>
      </c>
      <c r="H15" s="347">
        <v>27</v>
      </c>
      <c r="I15" s="347">
        <v>0</v>
      </c>
      <c r="J15" s="353">
        <f t="shared" si="2"/>
        <v>27</v>
      </c>
      <c r="K15" s="287">
        <v>0</v>
      </c>
      <c r="L15" s="300">
        <v>0</v>
      </c>
      <c r="M15" s="287">
        <v>0.88099999999999989</v>
      </c>
      <c r="N15" s="353">
        <v>0</v>
      </c>
      <c r="O15" s="354">
        <v>10.083</v>
      </c>
      <c r="P15" s="355">
        <f t="shared" si="3"/>
        <v>0.36647750929086664</v>
      </c>
      <c r="Q15" s="360">
        <f t="shared" si="4"/>
        <v>38.330477509290866</v>
      </c>
      <c r="R15" s="299"/>
      <c r="S15" s="299"/>
      <c r="T15" s="299"/>
      <c r="U15" s="299"/>
      <c r="V15" s="299"/>
      <c r="W15" s="299">
        <f t="shared" si="5"/>
        <v>38.330477509290866</v>
      </c>
      <c r="X15" s="287">
        <v>51.186</v>
      </c>
      <c r="Y15" s="344">
        <v>138888647.13</v>
      </c>
      <c r="Z15" s="344">
        <v>63564468.178899996</v>
      </c>
      <c r="AB15" s="261">
        <f>+D15-'Data FY23-24 Final'!D15</f>
        <v>22440109</v>
      </c>
      <c r="AC15" s="261">
        <f>+E15-'Data FY23-24 Final'!E15</f>
        <v>-659124</v>
      </c>
      <c r="AD15" s="261">
        <f>+F15-'Data FY23-24 Final'!F15</f>
        <v>23099233</v>
      </c>
      <c r="AE15" s="261">
        <f>+G15-'Data FY23-24 Final'!G15</f>
        <v>77881.020000000019</v>
      </c>
      <c r="AF15" s="288">
        <f>+H15-'Data FY23-24 Final'!H15</f>
        <v>0</v>
      </c>
      <c r="AG15" s="288">
        <f>+I15-'Data FY23-24 Final'!I15</f>
        <v>0</v>
      </c>
      <c r="AH15" s="288">
        <f>+J15-'Data FY23-24 Final'!J15</f>
        <v>0</v>
      </c>
      <c r="AI15" s="288">
        <f>+K15-'Data FY23-24 Final'!K15</f>
        <v>0</v>
      </c>
      <c r="AJ15" s="288">
        <f>+L15-'Data FY23-24 Final'!L15</f>
        <v>0</v>
      </c>
      <c r="AK15" s="288">
        <f>+M15-'Data FY23-24 Final'!M15</f>
        <v>-5.6000000000000161E-2</v>
      </c>
      <c r="AL15" s="288">
        <f>+N15-'Data FY23-24 Final'!N15</f>
        <v>0</v>
      </c>
      <c r="AM15" s="288">
        <f>+O15-'Data FY23-24 Final'!O15</f>
        <v>-0.64100000000000001</v>
      </c>
      <c r="AN15" s="288">
        <f>+P15-'Data FY23-24 Final'!P15</f>
        <v>2.8477509290866621E-2</v>
      </c>
      <c r="AO15" s="288">
        <f>+Q15-'Data FY23-24 Final'!Q15</f>
        <v>-0.66852249070913672</v>
      </c>
      <c r="AP15" s="288">
        <f>+R15-'Data FY23-24 Final'!R15</f>
        <v>-14.848000000000001</v>
      </c>
      <c r="AQ15" s="288">
        <f>+S15-'Data FY23-24 Final'!S15</f>
        <v>0</v>
      </c>
      <c r="AR15" s="288">
        <f>+T15-'Data FY23-24 Final'!T15</f>
        <v>-9</v>
      </c>
      <c r="AS15" s="288">
        <f>+U15-'Data FY23-24 Final'!U15</f>
        <v>0</v>
      </c>
      <c r="AT15" s="288">
        <f>+V15-'Data FY23-24 Final'!V15</f>
        <v>0</v>
      </c>
      <c r="AU15" s="288">
        <f>+W15-'Data FY23-24 Final'!W15</f>
        <v>-24.516522490709136</v>
      </c>
      <c r="AV15" s="288">
        <f>+X15-'Data FY23-24 Final'!X15</f>
        <v>0</v>
      </c>
      <c r="AW15" s="261">
        <f>+Y15-'Data FY23-24 Final'!Y15</f>
        <v>1276081.5499999821</v>
      </c>
      <c r="AX15" s="261">
        <f>+Z15-'Data FY23-24 Final'!Z15</f>
        <v>-2443693.0071000159</v>
      </c>
    </row>
    <row r="16" spans="1:50" s="256" customFormat="1" ht="13" x14ac:dyDescent="0.3">
      <c r="A16" s="289" t="s">
        <v>117</v>
      </c>
      <c r="B16" s="289" t="s">
        <v>109</v>
      </c>
      <c r="C16" s="297" t="s">
        <v>118</v>
      </c>
      <c r="D16" s="378">
        <v>53113064</v>
      </c>
      <c r="E16" s="378">
        <v>0</v>
      </c>
      <c r="F16" s="378">
        <v>53113064</v>
      </c>
      <c r="G16" s="379">
        <v>0</v>
      </c>
      <c r="H16" s="347">
        <v>27</v>
      </c>
      <c r="I16" s="347">
        <v>0</v>
      </c>
      <c r="J16" s="353">
        <f t="shared" si="2"/>
        <v>27</v>
      </c>
      <c r="K16" s="287">
        <v>0</v>
      </c>
      <c r="L16" s="300">
        <v>0</v>
      </c>
      <c r="M16" s="287">
        <v>0.11299999999999999</v>
      </c>
      <c r="N16" s="353">
        <v>0</v>
      </c>
      <c r="O16" s="354">
        <v>0</v>
      </c>
      <c r="P16" s="355">
        <f t="shared" si="3"/>
        <v>0</v>
      </c>
      <c r="Q16" s="360">
        <f t="shared" si="4"/>
        <v>27.113</v>
      </c>
      <c r="R16" s="299"/>
      <c r="S16" s="299"/>
      <c r="T16" s="299"/>
      <c r="U16" s="299"/>
      <c r="V16" s="299"/>
      <c r="W16" s="299">
        <f t="shared" si="5"/>
        <v>27.113</v>
      </c>
      <c r="X16" s="287">
        <v>79.423999999999992</v>
      </c>
      <c r="Y16" s="344">
        <v>4657169.2699999996</v>
      </c>
      <c r="Z16" s="344">
        <v>3013381.6686999993</v>
      </c>
      <c r="AB16" s="261">
        <f>+D16-'Data FY23-24 Final'!D16</f>
        <v>1178230</v>
      </c>
      <c r="AC16" s="261">
        <f>+E16-'Data FY23-24 Final'!E16</f>
        <v>0</v>
      </c>
      <c r="AD16" s="261">
        <f>+F16-'Data FY23-24 Final'!F16</f>
        <v>1178230</v>
      </c>
      <c r="AE16" s="261">
        <f>+G16-'Data FY23-24 Final'!G16</f>
        <v>-6239</v>
      </c>
      <c r="AF16" s="288">
        <f>+H16-'Data FY23-24 Final'!H16</f>
        <v>0</v>
      </c>
      <c r="AG16" s="288">
        <f>+I16-'Data FY23-24 Final'!I16</f>
        <v>0</v>
      </c>
      <c r="AH16" s="288">
        <f>+J16-'Data FY23-24 Final'!J16</f>
        <v>0</v>
      </c>
      <c r="AI16" s="288">
        <f>+K16-'Data FY23-24 Final'!K16</f>
        <v>0</v>
      </c>
      <c r="AJ16" s="288">
        <f>+L16-'Data FY23-24 Final'!L16</f>
        <v>0</v>
      </c>
      <c r="AK16" s="288">
        <f>+M16-'Data FY23-24 Final'!M16</f>
        <v>-1.2000000000000011E-2</v>
      </c>
      <c r="AL16" s="288">
        <f>+N16-'Data FY23-24 Final'!N16</f>
        <v>0</v>
      </c>
      <c r="AM16" s="288">
        <f>+O16-'Data FY23-24 Final'!O16</f>
        <v>0</v>
      </c>
      <c r="AN16" s="288">
        <f>+P16-'Data FY23-24 Final'!P16</f>
        <v>-0.12</v>
      </c>
      <c r="AO16" s="288">
        <f>+Q16-'Data FY23-24 Final'!Q16</f>
        <v>-0.13200000000000145</v>
      </c>
      <c r="AP16" s="288">
        <f>+R16-'Data FY23-24 Final'!R16</f>
        <v>-10.238</v>
      </c>
      <c r="AQ16" s="288">
        <f>+S16-'Data FY23-24 Final'!S16</f>
        <v>0</v>
      </c>
      <c r="AR16" s="288">
        <f>+T16-'Data FY23-24 Final'!T16</f>
        <v>0</v>
      </c>
      <c r="AS16" s="288">
        <f>+U16-'Data FY23-24 Final'!U16</f>
        <v>0</v>
      </c>
      <c r="AT16" s="288">
        <f>+V16-'Data FY23-24 Final'!V16</f>
        <v>0</v>
      </c>
      <c r="AU16" s="288">
        <f>+W16-'Data FY23-24 Final'!W16</f>
        <v>-10.369999999999997</v>
      </c>
      <c r="AV16" s="288">
        <f>+X16-'Data FY23-24 Final'!X16</f>
        <v>0</v>
      </c>
      <c r="AW16" s="261">
        <f>+Y16-'Data FY23-24 Final'!Y16</f>
        <v>-176178.35000000056</v>
      </c>
      <c r="AX16" s="261">
        <f>+Z16-'Data FY23-24 Final'!Z16</f>
        <v>-325319.68330000062</v>
      </c>
    </row>
    <row r="17" spans="1:50" s="256" customFormat="1" ht="13" x14ac:dyDescent="0.3">
      <c r="A17" s="289" t="s">
        <v>119</v>
      </c>
      <c r="B17" s="289" t="s">
        <v>109</v>
      </c>
      <c r="C17" s="297" t="s">
        <v>120</v>
      </c>
      <c r="D17" s="378">
        <v>5734000442</v>
      </c>
      <c r="E17" s="378">
        <v>154341052</v>
      </c>
      <c r="F17" s="378">
        <v>5579659390</v>
      </c>
      <c r="G17" s="379">
        <v>2966616.36</v>
      </c>
      <c r="H17" s="347">
        <v>27</v>
      </c>
      <c r="I17" s="347">
        <v>0</v>
      </c>
      <c r="J17" s="353">
        <f t="shared" si="2"/>
        <v>27</v>
      </c>
      <c r="K17" s="287">
        <v>0</v>
      </c>
      <c r="L17" s="300">
        <v>0</v>
      </c>
      <c r="M17" s="287">
        <v>0</v>
      </c>
      <c r="N17" s="353">
        <v>0</v>
      </c>
      <c r="O17" s="354">
        <v>6.6280000000000001</v>
      </c>
      <c r="P17" s="355">
        <f t="shared" si="3"/>
        <v>0.53168413206670673</v>
      </c>
      <c r="Q17" s="360">
        <f t="shared" si="4"/>
        <v>34.159684132066708</v>
      </c>
      <c r="R17" s="299"/>
      <c r="S17" s="299"/>
      <c r="T17" s="299"/>
      <c r="U17" s="299"/>
      <c r="V17" s="299"/>
      <c r="W17" s="299">
        <f t="shared" si="5"/>
        <v>34.159684132066708</v>
      </c>
      <c r="X17" s="287">
        <v>76.611000000000004</v>
      </c>
      <c r="Y17" s="344">
        <v>437869310.33999997</v>
      </c>
      <c r="Z17" s="344">
        <v>279475904.22769994</v>
      </c>
      <c r="AB17" s="261">
        <f>+D17-'Data FY23-24 Final'!D17</f>
        <v>283300136</v>
      </c>
      <c r="AC17" s="261">
        <f>+E17-'Data FY23-24 Final'!E17</f>
        <v>12980912</v>
      </c>
      <c r="AD17" s="261">
        <f>+F17-'Data FY23-24 Final'!F17</f>
        <v>270319224</v>
      </c>
      <c r="AE17" s="261">
        <f>+G17-'Data FY23-24 Final'!G17</f>
        <v>1279980.0299999998</v>
      </c>
      <c r="AF17" s="288">
        <f>+H17-'Data FY23-24 Final'!H17</f>
        <v>0</v>
      </c>
      <c r="AG17" s="288">
        <f>+I17-'Data FY23-24 Final'!I17</f>
        <v>0</v>
      </c>
      <c r="AH17" s="288">
        <f>+J17-'Data FY23-24 Final'!J17</f>
        <v>0</v>
      </c>
      <c r="AI17" s="288">
        <f>+K17-'Data FY23-24 Final'!K17</f>
        <v>0</v>
      </c>
      <c r="AJ17" s="288">
        <f>+L17-'Data FY23-24 Final'!L17</f>
        <v>0</v>
      </c>
      <c r="AK17" s="288">
        <f>+M17-'Data FY23-24 Final'!M17</f>
        <v>0</v>
      </c>
      <c r="AL17" s="288">
        <f>+N17-'Data FY23-24 Final'!N17</f>
        <v>0</v>
      </c>
      <c r="AM17" s="288">
        <f>+O17-'Data FY23-24 Final'!O17</f>
        <v>-15.484999999999999</v>
      </c>
      <c r="AN17" s="288">
        <f>+P17-'Data FY23-24 Final'!P17</f>
        <v>0.21368413206670672</v>
      </c>
      <c r="AO17" s="288">
        <f>+Q17-'Data FY23-24 Final'!Q17</f>
        <v>-15.271315867933289</v>
      </c>
      <c r="AP17" s="288">
        <f>+R17-'Data FY23-24 Final'!R17</f>
        <v>-21.9</v>
      </c>
      <c r="AQ17" s="288">
        <f>+S17-'Data FY23-24 Final'!S17</f>
        <v>0</v>
      </c>
      <c r="AR17" s="288">
        <f>+T17-'Data FY23-24 Final'!T17</f>
        <v>0</v>
      </c>
      <c r="AS17" s="288">
        <f>+U17-'Data FY23-24 Final'!U17</f>
        <v>0</v>
      </c>
      <c r="AT17" s="288">
        <f>+V17-'Data FY23-24 Final'!V17</f>
        <v>0</v>
      </c>
      <c r="AU17" s="288">
        <f>+W17-'Data FY23-24 Final'!W17</f>
        <v>-37.171315867933295</v>
      </c>
      <c r="AV17" s="288">
        <f>+X17-'Data FY23-24 Final'!X17</f>
        <v>0</v>
      </c>
      <c r="AW17" s="261">
        <f>+Y17-'Data FY23-24 Final'!Y17</f>
        <v>13834676.755999982</v>
      </c>
      <c r="AX17" s="261">
        <f>+Z17-'Data FY23-24 Final'!Z17</f>
        <v>5376611.1656999588</v>
      </c>
    </row>
    <row r="18" spans="1:50" s="256" customFormat="1" ht="13" x14ac:dyDescent="0.3">
      <c r="A18" s="289" t="s">
        <v>121</v>
      </c>
      <c r="B18" s="289" t="s">
        <v>109</v>
      </c>
      <c r="C18" s="297" t="s">
        <v>122</v>
      </c>
      <c r="D18" s="378">
        <v>71864018</v>
      </c>
      <c r="E18" s="378">
        <v>0</v>
      </c>
      <c r="F18" s="378">
        <v>71864018</v>
      </c>
      <c r="G18" s="379">
        <v>14109.119999999999</v>
      </c>
      <c r="H18" s="347">
        <v>27</v>
      </c>
      <c r="I18" s="347">
        <v>0</v>
      </c>
      <c r="J18" s="353">
        <f t="shared" si="2"/>
        <v>27</v>
      </c>
      <c r="K18" s="287">
        <v>0</v>
      </c>
      <c r="L18" s="300">
        <v>0</v>
      </c>
      <c r="M18" s="287">
        <v>0</v>
      </c>
      <c r="N18" s="353">
        <v>0</v>
      </c>
      <c r="O18" s="354">
        <v>0</v>
      </c>
      <c r="P18" s="355">
        <f t="shared" si="3"/>
        <v>0.19633079798015188</v>
      </c>
      <c r="Q18" s="360">
        <f t="shared" si="4"/>
        <v>27.196330797980153</v>
      </c>
      <c r="R18" s="299"/>
      <c r="S18" s="299"/>
      <c r="T18" s="299"/>
      <c r="U18" s="299"/>
      <c r="V18" s="299"/>
      <c r="W18" s="299">
        <f t="shared" si="5"/>
        <v>27.196330797980153</v>
      </c>
      <c r="X18" s="287">
        <v>741.23399999999992</v>
      </c>
      <c r="Y18" s="344">
        <v>54928039.439999998</v>
      </c>
      <c r="Z18" s="344">
        <v>52818494.861354999</v>
      </c>
      <c r="AB18" s="261">
        <f>+D18-'Data FY23-24 Final'!D18</f>
        <v>3100870</v>
      </c>
      <c r="AC18" s="261">
        <f>+E18-'Data FY23-24 Final'!E18</f>
        <v>0</v>
      </c>
      <c r="AD18" s="261">
        <f>+F18-'Data FY23-24 Final'!F18</f>
        <v>3100870</v>
      </c>
      <c r="AE18" s="261">
        <f>+G18-'Data FY23-24 Final'!G18</f>
        <v>13696.119999999999</v>
      </c>
      <c r="AF18" s="288">
        <f>+H18-'Data FY23-24 Final'!H18</f>
        <v>0</v>
      </c>
      <c r="AG18" s="288">
        <f>+I18-'Data FY23-24 Final'!I18</f>
        <v>-9.0999999999999998E-2</v>
      </c>
      <c r="AH18" s="288">
        <f>+J18-'Data FY23-24 Final'!J18</f>
        <v>9.100000000000108E-2</v>
      </c>
      <c r="AI18" s="288">
        <f>+K18-'Data FY23-24 Final'!K18</f>
        <v>0</v>
      </c>
      <c r="AJ18" s="288">
        <f>+L18-'Data FY23-24 Final'!L18</f>
        <v>0</v>
      </c>
      <c r="AK18" s="288">
        <f>+M18-'Data FY23-24 Final'!M18</f>
        <v>0</v>
      </c>
      <c r="AL18" s="288">
        <f>+N18-'Data FY23-24 Final'!N18</f>
        <v>0</v>
      </c>
      <c r="AM18" s="288">
        <f>+O18-'Data FY23-24 Final'!O18</f>
        <v>-3.4950000000000001</v>
      </c>
      <c r="AN18" s="288">
        <f>+P18-'Data FY23-24 Final'!P18</f>
        <v>0.19033079798015187</v>
      </c>
      <c r="AO18" s="288">
        <f>+Q18-'Data FY23-24 Final'!Q18</f>
        <v>-3.2136692020198474</v>
      </c>
      <c r="AP18" s="288">
        <f>+R18-'Data FY23-24 Final'!R18</f>
        <v>0</v>
      </c>
      <c r="AQ18" s="288">
        <f>+S18-'Data FY23-24 Final'!S18</f>
        <v>0</v>
      </c>
      <c r="AR18" s="288">
        <f>+T18-'Data FY23-24 Final'!T18</f>
        <v>0</v>
      </c>
      <c r="AS18" s="288">
        <f>+U18-'Data FY23-24 Final'!U18</f>
        <v>0</v>
      </c>
      <c r="AT18" s="288">
        <f>+V18-'Data FY23-24 Final'!V18</f>
        <v>0</v>
      </c>
      <c r="AU18" s="288">
        <f>+W18-'Data FY23-24 Final'!W18</f>
        <v>-3.2136692020198474</v>
      </c>
      <c r="AV18" s="288">
        <f>+X18-'Data FY23-24 Final'!X18</f>
        <v>0</v>
      </c>
      <c r="AW18" s="261">
        <f>+Y18-'Data FY23-24 Final'!Y18</f>
        <v>-7594103.9900000021</v>
      </c>
      <c r="AX18" s="261">
        <f>+Z18-'Data FY23-24 Final'!Z18</f>
        <v>-7742651.6091130003</v>
      </c>
    </row>
    <row r="19" spans="1:50" s="256" customFormat="1" ht="13" x14ac:dyDescent="0.3">
      <c r="A19" s="289" t="s">
        <v>123</v>
      </c>
      <c r="B19" s="289" t="s">
        <v>124</v>
      </c>
      <c r="C19" s="297" t="s">
        <v>124</v>
      </c>
      <c r="D19" s="378">
        <v>569830900</v>
      </c>
      <c r="E19" s="378">
        <v>0</v>
      </c>
      <c r="F19" s="378">
        <v>569830900</v>
      </c>
      <c r="G19" s="379">
        <v>55156.020000000004</v>
      </c>
      <c r="H19" s="347">
        <v>27</v>
      </c>
      <c r="I19" s="347">
        <v>1.9859999999999971</v>
      </c>
      <c r="J19" s="353">
        <f t="shared" si="2"/>
        <v>25.014000000000003</v>
      </c>
      <c r="K19" s="287">
        <v>0</v>
      </c>
      <c r="L19" s="300">
        <v>0</v>
      </c>
      <c r="M19" s="287">
        <v>0</v>
      </c>
      <c r="N19" s="353">
        <v>0</v>
      </c>
      <c r="O19" s="354">
        <v>0</v>
      </c>
      <c r="P19" s="355">
        <f t="shared" si="3"/>
        <v>9.6793662821724843E-2</v>
      </c>
      <c r="Q19" s="360">
        <f t="shared" si="4"/>
        <v>25.110793662821727</v>
      </c>
      <c r="R19" s="299"/>
      <c r="S19" s="299"/>
      <c r="T19" s="299"/>
      <c r="U19" s="299"/>
      <c r="V19" s="299"/>
      <c r="W19" s="299">
        <f t="shared" si="5"/>
        <v>25.110793662821727</v>
      </c>
      <c r="X19" s="287">
        <v>28.763000000000002</v>
      </c>
      <c r="Y19" s="344">
        <v>17942785.879999999</v>
      </c>
      <c r="Z19" s="344">
        <v>2821187.6555999988</v>
      </c>
      <c r="AB19" s="261">
        <f>+D19-'Data FY23-24 Final'!D19</f>
        <v>5332570</v>
      </c>
      <c r="AC19" s="261">
        <f>+E19-'Data FY23-24 Final'!E19</f>
        <v>0</v>
      </c>
      <c r="AD19" s="261">
        <f>+F19-'Data FY23-24 Final'!F19</f>
        <v>5332570</v>
      </c>
      <c r="AE19" s="261">
        <f>+G19-'Data FY23-24 Final'!G19</f>
        <v>21669.370000000003</v>
      </c>
      <c r="AF19" s="288">
        <f>+H19-'Data FY23-24 Final'!H19</f>
        <v>0</v>
      </c>
      <c r="AG19" s="288">
        <f>+I19-'Data FY23-24 Final'!I19</f>
        <v>-1.0000000000000031</v>
      </c>
      <c r="AH19" s="288">
        <f>+J19-'Data FY23-24 Final'!J19</f>
        <v>1.0000000000000036</v>
      </c>
      <c r="AI19" s="288">
        <f>+K19-'Data FY23-24 Final'!K19</f>
        <v>0</v>
      </c>
      <c r="AJ19" s="288">
        <f>+L19-'Data FY23-24 Final'!L19</f>
        <v>0</v>
      </c>
      <c r="AK19" s="288">
        <f>+M19-'Data FY23-24 Final'!M19</f>
        <v>0</v>
      </c>
      <c r="AL19" s="288">
        <f>+N19-'Data FY23-24 Final'!N19</f>
        <v>0</v>
      </c>
      <c r="AM19" s="288">
        <f>+O19-'Data FY23-24 Final'!O19</f>
        <v>-3.012</v>
      </c>
      <c r="AN19" s="288">
        <f>+P19-'Data FY23-24 Final'!P19</f>
        <v>3.7793662821724847E-2</v>
      </c>
      <c r="AO19" s="288">
        <f>+Q19-'Data FY23-24 Final'!Q19</f>
        <v>-1.9742063371782734</v>
      </c>
      <c r="AP19" s="288">
        <f>+R19-'Data FY23-24 Final'!R19</f>
        <v>0</v>
      </c>
      <c r="AQ19" s="288">
        <f>+S19-'Data FY23-24 Final'!S19</f>
        <v>0</v>
      </c>
      <c r="AR19" s="288">
        <f>+T19-'Data FY23-24 Final'!T19</f>
        <v>0</v>
      </c>
      <c r="AS19" s="288">
        <f>+U19-'Data FY23-24 Final'!U19</f>
        <v>0</v>
      </c>
      <c r="AT19" s="288">
        <f>+V19-'Data FY23-24 Final'!V19</f>
        <v>0</v>
      </c>
      <c r="AU19" s="288">
        <f>+W19-'Data FY23-24 Final'!W19</f>
        <v>-1.9742063371782734</v>
      </c>
      <c r="AV19" s="288">
        <f>+X19-'Data FY23-24 Final'!X19</f>
        <v>0</v>
      </c>
      <c r="AW19" s="261">
        <f>+Y19-'Data FY23-24 Final'!Y19</f>
        <v>231130.62999999896</v>
      </c>
      <c r="AX19" s="261">
        <f>+Z19-'Data FY23-24 Final'!Z19</f>
        <v>-447596.33778000157</v>
      </c>
    </row>
    <row r="20" spans="1:50" s="256" customFormat="1" ht="13" x14ac:dyDescent="0.3">
      <c r="A20" s="289" t="s">
        <v>125</v>
      </c>
      <c r="B20" s="289" t="s">
        <v>126</v>
      </c>
      <c r="C20" s="297" t="s">
        <v>127</v>
      </c>
      <c r="D20" s="378">
        <v>26383829</v>
      </c>
      <c r="E20" s="378">
        <v>0</v>
      </c>
      <c r="F20" s="378">
        <v>26393829</v>
      </c>
      <c r="G20" s="379">
        <v>354</v>
      </c>
      <c r="H20" s="347">
        <v>27</v>
      </c>
      <c r="I20" s="347">
        <v>3.6989999999999981</v>
      </c>
      <c r="J20" s="353">
        <f t="shared" si="2"/>
        <v>23.301000000000002</v>
      </c>
      <c r="K20" s="287">
        <v>0</v>
      </c>
      <c r="L20" s="300">
        <v>0</v>
      </c>
      <c r="M20" s="287">
        <v>0</v>
      </c>
      <c r="N20" s="353">
        <v>0</v>
      </c>
      <c r="O20" s="354">
        <v>0</v>
      </c>
      <c r="P20" s="355">
        <f t="shared" si="3"/>
        <v>1.3412226016922364E-2</v>
      </c>
      <c r="Q20" s="360">
        <f t="shared" si="4"/>
        <v>23.314412226016923</v>
      </c>
      <c r="R20" s="299"/>
      <c r="S20" s="299"/>
      <c r="T20" s="299"/>
      <c r="U20" s="299"/>
      <c r="V20" s="299"/>
      <c r="W20" s="299">
        <f t="shared" si="5"/>
        <v>23.314412226016923</v>
      </c>
      <c r="X20" s="287">
        <v>107.938</v>
      </c>
      <c r="Y20" s="344">
        <v>2943687.01</v>
      </c>
      <c r="Z20" s="344">
        <v>2296384.7331689997</v>
      </c>
      <c r="AB20" s="261">
        <f>+D20-'Data FY23-24 Final'!D20</f>
        <v>38725</v>
      </c>
      <c r="AC20" s="261">
        <f>+E20-'Data FY23-24 Final'!E20</f>
        <v>0</v>
      </c>
      <c r="AD20" s="261">
        <f>+F20-'Data FY23-24 Final'!F20</f>
        <v>48725</v>
      </c>
      <c r="AE20" s="261">
        <f>+G20-'Data FY23-24 Final'!G20</f>
        <v>-8998</v>
      </c>
      <c r="AF20" s="288">
        <f>+H20-'Data FY23-24 Final'!H20</f>
        <v>0</v>
      </c>
      <c r="AG20" s="288">
        <f>+I20-'Data FY23-24 Final'!I20</f>
        <v>-1.0000000000000018</v>
      </c>
      <c r="AH20" s="288">
        <f>+J20-'Data FY23-24 Final'!J20</f>
        <v>1.0000000000000036</v>
      </c>
      <c r="AI20" s="288">
        <f>+K20-'Data FY23-24 Final'!K20</f>
        <v>0</v>
      </c>
      <c r="AJ20" s="288">
        <f>+L20-'Data FY23-24 Final'!L20</f>
        <v>0</v>
      </c>
      <c r="AK20" s="288">
        <f>+M20-'Data FY23-24 Final'!M20</f>
        <v>0</v>
      </c>
      <c r="AL20" s="288">
        <f>+N20-'Data FY23-24 Final'!N20</f>
        <v>0</v>
      </c>
      <c r="AM20" s="288">
        <f>+O20-'Data FY23-24 Final'!O20</f>
        <v>-6.7889999999999997</v>
      </c>
      <c r="AN20" s="288">
        <f>+P20-'Data FY23-24 Final'!P20</f>
        <v>-0.3415877739830776</v>
      </c>
      <c r="AO20" s="288">
        <f>+Q20-'Data FY23-24 Final'!Q20</f>
        <v>-6.130587773983077</v>
      </c>
      <c r="AP20" s="288">
        <f>+R20-'Data FY23-24 Final'!R20</f>
        <v>-13.664999999999999</v>
      </c>
      <c r="AQ20" s="288">
        <f>+S20-'Data FY23-24 Final'!S20</f>
        <v>0</v>
      </c>
      <c r="AR20" s="288">
        <f>+T20-'Data FY23-24 Final'!T20</f>
        <v>0</v>
      </c>
      <c r="AS20" s="288">
        <f>+U20-'Data FY23-24 Final'!U20</f>
        <v>0</v>
      </c>
      <c r="AT20" s="288">
        <f>+V20-'Data FY23-24 Final'!V20</f>
        <v>0</v>
      </c>
      <c r="AU20" s="288">
        <f>+W20-'Data FY23-24 Final'!W20</f>
        <v>-19.795587773983076</v>
      </c>
      <c r="AV20" s="288">
        <f>+X20-'Data FY23-24 Final'!X20</f>
        <v>0</v>
      </c>
      <c r="AW20" s="261">
        <f>+Y20-'Data FY23-24 Final'!Y20</f>
        <v>-35619.89000000013</v>
      </c>
      <c r="AX20" s="261">
        <f>+Z20-'Data FY23-24 Final'!Z20</f>
        <v>-47539.992527000606</v>
      </c>
    </row>
    <row r="21" spans="1:50" s="256" customFormat="1" ht="13" x14ac:dyDescent="0.3">
      <c r="A21" s="289" t="s">
        <v>128</v>
      </c>
      <c r="B21" s="289" t="s">
        <v>126</v>
      </c>
      <c r="C21" s="297" t="s">
        <v>129</v>
      </c>
      <c r="D21" s="378">
        <v>31798441</v>
      </c>
      <c r="E21" s="378"/>
      <c r="F21" s="378">
        <v>31798441</v>
      </c>
      <c r="G21" s="379">
        <v>0</v>
      </c>
      <c r="H21" s="347">
        <v>26.992000000000001</v>
      </c>
      <c r="I21" s="347">
        <v>4.1909999999999989</v>
      </c>
      <c r="J21" s="353">
        <f t="shared" si="2"/>
        <v>22.801000000000002</v>
      </c>
      <c r="K21" s="287">
        <v>0</v>
      </c>
      <c r="L21" s="300">
        <v>0</v>
      </c>
      <c r="M21" s="287">
        <v>0</v>
      </c>
      <c r="N21" s="353">
        <v>0</v>
      </c>
      <c r="O21" s="354">
        <v>3.3040000000000003</v>
      </c>
      <c r="P21" s="355">
        <f t="shared" si="3"/>
        <v>0</v>
      </c>
      <c r="Q21" s="360">
        <f t="shared" si="4"/>
        <v>26.105000000000004</v>
      </c>
      <c r="R21" s="299"/>
      <c r="S21" s="299"/>
      <c r="T21" s="299"/>
      <c r="U21" s="299"/>
      <c r="V21" s="299"/>
      <c r="W21" s="299">
        <f t="shared" si="5"/>
        <v>26.105000000000004</v>
      </c>
      <c r="X21" s="287">
        <v>36.712000000000003</v>
      </c>
      <c r="Y21" s="344">
        <v>1161026.06</v>
      </c>
      <c r="Z21" s="344">
        <v>451252.10772100004</v>
      </c>
      <c r="AB21" s="261">
        <f>+D21-'Data FY23-24 Final'!D21</f>
        <v>1618943</v>
      </c>
      <c r="AC21" s="261">
        <f>+E21-'Data FY23-24 Final'!E21</f>
        <v>0</v>
      </c>
      <c r="AD21" s="261">
        <f>+F21-'Data FY23-24 Final'!F21</f>
        <v>1618943</v>
      </c>
      <c r="AE21" s="261">
        <f>+G21-'Data FY23-24 Final'!G21</f>
        <v>-987</v>
      </c>
      <c r="AF21" s="288">
        <f>+H21-'Data FY23-24 Final'!H21</f>
        <v>0</v>
      </c>
      <c r="AG21" s="288">
        <f>+I21-'Data FY23-24 Final'!I21</f>
        <v>-1.0000000000000009</v>
      </c>
      <c r="AH21" s="288">
        <f>+J21-'Data FY23-24 Final'!J21</f>
        <v>1.0000000000000036</v>
      </c>
      <c r="AI21" s="288">
        <f>+K21-'Data FY23-24 Final'!K21</f>
        <v>0</v>
      </c>
      <c r="AJ21" s="288">
        <f>+L21-'Data FY23-24 Final'!L21</f>
        <v>0</v>
      </c>
      <c r="AK21" s="288">
        <f>+M21-'Data FY23-24 Final'!M21</f>
        <v>0</v>
      </c>
      <c r="AL21" s="288">
        <f>+N21-'Data FY23-24 Final'!N21</f>
        <v>0</v>
      </c>
      <c r="AM21" s="288">
        <f>+O21-'Data FY23-24 Final'!O21</f>
        <v>3.3040000000000003</v>
      </c>
      <c r="AN21" s="288">
        <f>+P21-'Data FY23-24 Final'!P21</f>
        <v>-3.3000000000000002E-2</v>
      </c>
      <c r="AO21" s="288">
        <f>+Q21-'Data FY23-24 Final'!Q21</f>
        <v>4.2710000000000043</v>
      </c>
      <c r="AP21" s="288">
        <f>+R21-'Data FY23-24 Final'!R21</f>
        <v>0</v>
      </c>
      <c r="AQ21" s="288">
        <f>+S21-'Data FY23-24 Final'!S21</f>
        <v>0</v>
      </c>
      <c r="AR21" s="288">
        <f>+T21-'Data FY23-24 Final'!T21</f>
        <v>0</v>
      </c>
      <c r="AS21" s="288">
        <f>+U21-'Data FY23-24 Final'!U21</f>
        <v>0</v>
      </c>
      <c r="AT21" s="288">
        <f>+V21-'Data FY23-24 Final'!V21</f>
        <v>0</v>
      </c>
      <c r="AU21" s="288">
        <f>+W21-'Data FY23-24 Final'!W21</f>
        <v>4.2710000000000043</v>
      </c>
      <c r="AV21" s="288">
        <f>+X21-'Data FY23-24 Final'!X21</f>
        <v>0</v>
      </c>
      <c r="AW21" s="261">
        <f>+Y21-'Data FY23-24 Final'!Y21</f>
        <v>17173.699999999953</v>
      </c>
      <c r="AX21" s="261">
        <f>+Z21-'Data FY23-24 Final'!Z21</f>
        <v>13899.223618999997</v>
      </c>
    </row>
    <row r="22" spans="1:50" s="256" customFormat="1" ht="13" x14ac:dyDescent="0.3">
      <c r="A22" s="289" t="s">
        <v>130</v>
      </c>
      <c r="B22" s="289" t="s">
        <v>126</v>
      </c>
      <c r="C22" s="297" t="s">
        <v>131</v>
      </c>
      <c r="D22" s="378">
        <v>33334901</v>
      </c>
      <c r="E22" s="378">
        <v>0</v>
      </c>
      <c r="F22" s="378">
        <v>33334901</v>
      </c>
      <c r="G22" s="379">
        <v>267</v>
      </c>
      <c r="H22" s="347">
        <v>27</v>
      </c>
      <c r="I22" s="347">
        <v>0</v>
      </c>
      <c r="J22" s="353">
        <f t="shared" si="2"/>
        <v>27</v>
      </c>
      <c r="K22" s="287">
        <v>0</v>
      </c>
      <c r="L22" s="300">
        <v>0</v>
      </c>
      <c r="M22" s="287">
        <v>0</v>
      </c>
      <c r="N22" s="353">
        <v>0</v>
      </c>
      <c r="O22" s="354">
        <v>0</v>
      </c>
      <c r="P22" s="355">
        <f t="shared" si="3"/>
        <v>8.0096233074158536E-3</v>
      </c>
      <c r="Q22" s="360">
        <f t="shared" si="4"/>
        <v>27.008009623307416</v>
      </c>
      <c r="R22" s="299"/>
      <c r="S22" s="299"/>
      <c r="T22" s="299"/>
      <c r="U22" s="299"/>
      <c r="V22" s="299"/>
      <c r="W22" s="299">
        <f t="shared" si="5"/>
        <v>27.008009623307416</v>
      </c>
      <c r="X22" s="287">
        <v>110.67200000000001</v>
      </c>
      <c r="Y22" s="344">
        <v>3898314.15</v>
      </c>
      <c r="Z22" s="344">
        <v>2880384.7423999999</v>
      </c>
      <c r="AB22" s="261">
        <f>+D22-'Data FY23-24 Final'!D22</f>
        <v>249842</v>
      </c>
      <c r="AC22" s="261">
        <f>+E22-'Data FY23-24 Final'!E22</f>
        <v>0</v>
      </c>
      <c r="AD22" s="261">
        <f>+F22-'Data FY23-24 Final'!F22</f>
        <v>249842</v>
      </c>
      <c r="AE22" s="261">
        <f>+G22-'Data FY23-24 Final'!G22</f>
        <v>267</v>
      </c>
      <c r="AF22" s="288">
        <f>+H22-'Data FY23-24 Final'!H22</f>
        <v>0</v>
      </c>
      <c r="AG22" s="288">
        <f>+I22-'Data FY23-24 Final'!I22</f>
        <v>0</v>
      </c>
      <c r="AH22" s="288">
        <f>+J22-'Data FY23-24 Final'!J22</f>
        <v>0</v>
      </c>
      <c r="AI22" s="288">
        <f>+K22-'Data FY23-24 Final'!K22</f>
        <v>0</v>
      </c>
      <c r="AJ22" s="288">
        <f>+L22-'Data FY23-24 Final'!L22</f>
        <v>0</v>
      </c>
      <c r="AK22" s="288">
        <f>+M22-'Data FY23-24 Final'!M22</f>
        <v>0</v>
      </c>
      <c r="AL22" s="288">
        <f>+N22-'Data FY23-24 Final'!N22</f>
        <v>0</v>
      </c>
      <c r="AM22" s="288">
        <f>+O22-'Data FY23-24 Final'!O22</f>
        <v>0</v>
      </c>
      <c r="AN22" s="288">
        <f>+P22-'Data FY23-24 Final'!P22</f>
        <v>8.0096233074158536E-3</v>
      </c>
      <c r="AO22" s="288">
        <f>+Q22-'Data FY23-24 Final'!Q22</f>
        <v>8.0096233074158363E-3</v>
      </c>
      <c r="AP22" s="288">
        <f>+R22-'Data FY23-24 Final'!R22</f>
        <v>-11.445</v>
      </c>
      <c r="AQ22" s="288">
        <f>+S22-'Data FY23-24 Final'!S22</f>
        <v>0</v>
      </c>
      <c r="AR22" s="288">
        <f>+T22-'Data FY23-24 Final'!T22</f>
        <v>0</v>
      </c>
      <c r="AS22" s="288">
        <f>+U22-'Data FY23-24 Final'!U22</f>
        <v>0</v>
      </c>
      <c r="AT22" s="288">
        <f>+V22-'Data FY23-24 Final'!V22</f>
        <v>0</v>
      </c>
      <c r="AU22" s="288">
        <f>+W22-'Data FY23-24 Final'!W22</f>
        <v>-11.436990376692584</v>
      </c>
      <c r="AV22" s="288">
        <f>+X22-'Data FY23-24 Final'!X22</f>
        <v>0</v>
      </c>
      <c r="AW22" s="261">
        <f>+Y22-'Data FY23-24 Final'!Y22</f>
        <v>26935.319999999832</v>
      </c>
      <c r="AX22" s="261">
        <f>+Z22-'Data FY23-24 Final'!Z22</f>
        <v>-11494.704600000288</v>
      </c>
    </row>
    <row r="23" spans="1:50" s="256" customFormat="1" ht="13" x14ac:dyDescent="0.3">
      <c r="A23" s="289" t="s">
        <v>132</v>
      </c>
      <c r="B23" s="289" t="s">
        <v>126</v>
      </c>
      <c r="C23" s="297" t="s">
        <v>133</v>
      </c>
      <c r="D23" s="378">
        <v>6723958</v>
      </c>
      <c r="E23" s="378">
        <v>0</v>
      </c>
      <c r="F23" s="378">
        <v>6723958</v>
      </c>
      <c r="G23" s="379">
        <v>117</v>
      </c>
      <c r="H23" s="347">
        <v>27</v>
      </c>
      <c r="I23" s="347">
        <v>0</v>
      </c>
      <c r="J23" s="353">
        <f t="shared" si="2"/>
        <v>27</v>
      </c>
      <c r="K23" s="287">
        <v>0</v>
      </c>
      <c r="L23" s="300">
        <v>0</v>
      </c>
      <c r="M23" s="287">
        <v>0</v>
      </c>
      <c r="N23" s="353">
        <v>0</v>
      </c>
      <c r="O23" s="354">
        <v>0</v>
      </c>
      <c r="P23" s="355">
        <f t="shared" si="3"/>
        <v>1.7400465618613324E-2</v>
      </c>
      <c r="Q23" s="360">
        <f t="shared" si="4"/>
        <v>27.017400465618614</v>
      </c>
      <c r="R23" s="299"/>
      <c r="S23" s="299"/>
      <c r="T23" s="299"/>
      <c r="U23" s="299"/>
      <c r="V23" s="299"/>
      <c r="W23" s="299">
        <f t="shared" si="5"/>
        <v>27.017400465618614</v>
      </c>
      <c r="X23" s="287">
        <v>373.803</v>
      </c>
      <c r="Y23" s="344">
        <v>2521154.48</v>
      </c>
      <c r="Z23" s="344">
        <v>2317122.9249</v>
      </c>
      <c r="AB23" s="261">
        <f>+D23-'Data FY23-24 Final'!D23</f>
        <v>120463</v>
      </c>
      <c r="AC23" s="261">
        <f>+E23-'Data FY23-24 Final'!E23</f>
        <v>0</v>
      </c>
      <c r="AD23" s="261">
        <f>+F23-'Data FY23-24 Final'!F23</f>
        <v>120463</v>
      </c>
      <c r="AE23" s="261">
        <f>+G23-'Data FY23-24 Final'!G23</f>
        <v>115</v>
      </c>
      <c r="AF23" s="288">
        <f>+H23-'Data FY23-24 Final'!H23</f>
        <v>0</v>
      </c>
      <c r="AG23" s="288">
        <f>+I23-'Data FY23-24 Final'!I23</f>
        <v>0</v>
      </c>
      <c r="AH23" s="288">
        <f>+J23-'Data FY23-24 Final'!J23</f>
        <v>0</v>
      </c>
      <c r="AI23" s="288">
        <f>+K23-'Data FY23-24 Final'!K23</f>
        <v>0</v>
      </c>
      <c r="AJ23" s="288">
        <f>+L23-'Data FY23-24 Final'!L23</f>
        <v>0</v>
      </c>
      <c r="AK23" s="288">
        <f>+M23-'Data FY23-24 Final'!M23</f>
        <v>0</v>
      </c>
      <c r="AL23" s="288">
        <f>+N23-'Data FY23-24 Final'!N23</f>
        <v>0</v>
      </c>
      <c r="AM23" s="288">
        <f>+O23-'Data FY23-24 Final'!O23</f>
        <v>0</v>
      </c>
      <c r="AN23" s="288">
        <f>+P23-'Data FY23-24 Final'!P23</f>
        <v>1.7400465618613324E-2</v>
      </c>
      <c r="AO23" s="288">
        <f>+Q23-'Data FY23-24 Final'!Q23</f>
        <v>1.7400465618614191E-2</v>
      </c>
      <c r="AP23" s="288">
        <f>+R23-'Data FY23-24 Final'!R23</f>
        <v>0</v>
      </c>
      <c r="AQ23" s="288">
        <f>+S23-'Data FY23-24 Final'!S23</f>
        <v>0</v>
      </c>
      <c r="AR23" s="288">
        <f>+T23-'Data FY23-24 Final'!T23</f>
        <v>0</v>
      </c>
      <c r="AS23" s="288">
        <f>+U23-'Data FY23-24 Final'!U23</f>
        <v>0</v>
      </c>
      <c r="AT23" s="288">
        <f>+V23-'Data FY23-24 Final'!V23</f>
        <v>0</v>
      </c>
      <c r="AU23" s="288">
        <f>+W23-'Data FY23-24 Final'!W23</f>
        <v>1.7400465618614191E-2</v>
      </c>
      <c r="AV23" s="288">
        <f>+X23-'Data FY23-24 Final'!X23</f>
        <v>0</v>
      </c>
      <c r="AW23" s="261">
        <f>+Y23-'Data FY23-24 Final'!Y23</f>
        <v>-859549.94</v>
      </c>
      <c r="AX23" s="261">
        <f>+Z23-'Data FY23-24 Final'!Z23</f>
        <v>-865977.98009999981</v>
      </c>
    </row>
    <row r="24" spans="1:50" s="256" customFormat="1" ht="13" x14ac:dyDescent="0.3">
      <c r="A24" s="289" t="s">
        <v>134</v>
      </c>
      <c r="B24" s="289" t="s">
        <v>126</v>
      </c>
      <c r="C24" s="297" t="s">
        <v>135</v>
      </c>
      <c r="D24" s="378">
        <v>18666723</v>
      </c>
      <c r="E24" s="378">
        <v>0</v>
      </c>
      <c r="F24" s="378">
        <v>18666723</v>
      </c>
      <c r="G24" s="379">
        <v>0</v>
      </c>
      <c r="H24" s="347">
        <v>18.3</v>
      </c>
      <c r="I24" s="347">
        <v>3.5439999999999987</v>
      </c>
      <c r="J24" s="353">
        <f t="shared" si="2"/>
        <v>14.756000000000002</v>
      </c>
      <c r="K24" s="287">
        <v>0</v>
      </c>
      <c r="L24" s="300">
        <v>0</v>
      </c>
      <c r="M24" s="287">
        <v>0.255</v>
      </c>
      <c r="N24" s="353">
        <v>0</v>
      </c>
      <c r="O24" s="354">
        <v>8.222999999999999</v>
      </c>
      <c r="P24" s="355">
        <f t="shared" si="3"/>
        <v>0</v>
      </c>
      <c r="Q24" s="360">
        <f t="shared" si="4"/>
        <v>23.234000000000002</v>
      </c>
      <c r="R24" s="299"/>
      <c r="S24" s="299"/>
      <c r="T24" s="299"/>
      <c r="U24" s="299"/>
      <c r="V24" s="299"/>
      <c r="W24" s="299">
        <f t="shared" si="5"/>
        <v>23.234000000000002</v>
      </c>
      <c r="X24" s="287">
        <v>56.634999999999998</v>
      </c>
      <c r="Y24" s="344">
        <v>1053709.52</v>
      </c>
      <c r="Z24" s="344">
        <v>782177.042304</v>
      </c>
      <c r="AB24" s="261">
        <f>+D24-'Data FY23-24 Final'!D24</f>
        <v>472231</v>
      </c>
      <c r="AC24" s="261">
        <f>+E24-'Data FY23-24 Final'!E24</f>
        <v>0</v>
      </c>
      <c r="AD24" s="261">
        <f>+F24-'Data FY23-24 Final'!F24</f>
        <v>472231</v>
      </c>
      <c r="AE24" s="261">
        <f>+G24-'Data FY23-24 Final'!G24</f>
        <v>-426</v>
      </c>
      <c r="AF24" s="288">
        <f>+H24-'Data FY23-24 Final'!H24</f>
        <v>0</v>
      </c>
      <c r="AG24" s="288">
        <f>+I24-'Data FY23-24 Final'!I24</f>
        <v>-1.0000000000000009</v>
      </c>
      <c r="AH24" s="288">
        <f>+J24-'Data FY23-24 Final'!J24</f>
        <v>1.0000000000000018</v>
      </c>
      <c r="AI24" s="288">
        <f>+K24-'Data FY23-24 Final'!K24</f>
        <v>0</v>
      </c>
      <c r="AJ24" s="288">
        <f>+L24-'Data FY23-24 Final'!L24</f>
        <v>0</v>
      </c>
      <c r="AK24" s="288">
        <f>+M24-'Data FY23-24 Final'!M24</f>
        <v>0</v>
      </c>
      <c r="AL24" s="288">
        <f>+N24-'Data FY23-24 Final'!N24</f>
        <v>0</v>
      </c>
      <c r="AM24" s="288">
        <f>+O24-'Data FY23-24 Final'!O24</f>
        <v>-2.1000000000000796E-2</v>
      </c>
      <c r="AN24" s="288">
        <f>+P24-'Data FY23-24 Final'!P24</f>
        <v>-2.3E-2</v>
      </c>
      <c r="AO24" s="288">
        <f>+Q24-'Data FY23-24 Final'!Q24</f>
        <v>0.95600000000000307</v>
      </c>
      <c r="AP24" s="288">
        <f>+R24-'Data FY23-24 Final'!R24</f>
        <v>0</v>
      </c>
      <c r="AQ24" s="288">
        <f>+S24-'Data FY23-24 Final'!S24</f>
        <v>0</v>
      </c>
      <c r="AR24" s="288">
        <f>+T24-'Data FY23-24 Final'!T24</f>
        <v>0</v>
      </c>
      <c r="AS24" s="288">
        <f>+U24-'Data FY23-24 Final'!U24</f>
        <v>0</v>
      </c>
      <c r="AT24" s="288">
        <f>+V24-'Data FY23-24 Final'!V24</f>
        <v>0</v>
      </c>
      <c r="AU24" s="288">
        <f>+W24-'Data FY23-24 Final'!W24</f>
        <v>0.95600000000000307</v>
      </c>
      <c r="AV24" s="288">
        <f>+X24-'Data FY23-24 Final'!X24</f>
        <v>0</v>
      </c>
      <c r="AW24" s="261">
        <f>+Y24-'Data FY23-24 Final'!Y24</f>
        <v>10172.800000000047</v>
      </c>
      <c r="AX24" s="261">
        <f>+Z24-'Data FY23-24 Final'!Z24</f>
        <v>11078.024256000062</v>
      </c>
    </row>
    <row r="25" spans="1:50" s="256" customFormat="1" x14ac:dyDescent="0.25">
      <c r="A25" s="289" t="s">
        <v>136</v>
      </c>
      <c r="B25" s="289" t="s">
        <v>137</v>
      </c>
      <c r="C25" s="297" t="s">
        <v>138</v>
      </c>
      <c r="D25" s="344">
        <v>74826930</v>
      </c>
      <c r="E25" s="344">
        <v>0</v>
      </c>
      <c r="F25" s="344">
        <f t="shared" ref="F25:F65" si="6">+D25-E25</f>
        <v>74826930</v>
      </c>
      <c r="G25" s="343">
        <v>4173.2</v>
      </c>
      <c r="H25" s="347">
        <v>27</v>
      </c>
      <c r="I25" s="347">
        <v>3.5019999999999989</v>
      </c>
      <c r="J25" s="353">
        <f t="shared" si="2"/>
        <v>23.498000000000001</v>
      </c>
      <c r="K25" s="287">
        <v>0</v>
      </c>
      <c r="L25" s="300">
        <v>0</v>
      </c>
      <c r="M25" s="287">
        <v>0</v>
      </c>
      <c r="N25" s="353">
        <v>0</v>
      </c>
      <c r="O25" s="354">
        <v>0</v>
      </c>
      <c r="P25" s="355">
        <f t="shared" si="3"/>
        <v>5.577136466777402E-2</v>
      </c>
      <c r="Q25" s="360">
        <f t="shared" si="4"/>
        <v>23.553771364667774</v>
      </c>
      <c r="R25" s="299"/>
      <c r="S25" s="299"/>
      <c r="T25" s="299"/>
      <c r="U25" s="299"/>
      <c r="V25" s="299"/>
      <c r="W25" s="299">
        <f t="shared" si="5"/>
        <v>23.553771364667774</v>
      </c>
      <c r="X25" s="287">
        <v>112.17100000000001</v>
      </c>
      <c r="Y25" s="344">
        <v>8527844.4700000007</v>
      </c>
      <c r="Z25" s="344">
        <v>6709935.500860001</v>
      </c>
      <c r="AB25" s="261">
        <f>+D25-'Data FY23-24 Final'!D25</f>
        <v>2937820</v>
      </c>
      <c r="AC25" s="261">
        <f>+E25-'Data FY23-24 Final'!E25</f>
        <v>0</v>
      </c>
      <c r="AD25" s="261">
        <f>+F25-'Data FY23-24 Final'!F25</f>
        <v>2937820</v>
      </c>
      <c r="AE25" s="261">
        <f>+G25-'Data FY23-24 Final'!G25</f>
        <v>0</v>
      </c>
      <c r="AF25" s="288">
        <f>+H25-'Data FY23-24 Final'!H25</f>
        <v>0</v>
      </c>
      <c r="AG25" s="288">
        <f>+I25-'Data FY23-24 Final'!I25</f>
        <v>-1.0000000000000009</v>
      </c>
      <c r="AH25" s="288">
        <f>+J25-'Data FY23-24 Final'!J25</f>
        <v>1</v>
      </c>
      <c r="AI25" s="288">
        <f>+K25-'Data FY23-24 Final'!K25</f>
        <v>0</v>
      </c>
      <c r="AJ25" s="288">
        <f>+L25-'Data FY23-24 Final'!L25</f>
        <v>0</v>
      </c>
      <c r="AK25" s="288">
        <f>+M25-'Data FY23-24 Final'!M25</f>
        <v>0</v>
      </c>
      <c r="AL25" s="288">
        <f>+N25-'Data FY23-24 Final'!N25</f>
        <v>0</v>
      </c>
      <c r="AM25" s="288">
        <f>+O25-'Data FY23-24 Final'!O25</f>
        <v>0</v>
      </c>
      <c r="AN25" s="288">
        <f>+P25-'Data FY23-24 Final'!P25</f>
        <v>5.577136466777402E-2</v>
      </c>
      <c r="AO25" s="288">
        <f>+Q25-'Data FY23-24 Final'!Q25</f>
        <v>1.0557713646677733</v>
      </c>
      <c r="AP25" s="288">
        <f>+R25-'Data FY23-24 Final'!R25</f>
        <v>0</v>
      </c>
      <c r="AQ25" s="288">
        <f>+S25-'Data FY23-24 Final'!S25</f>
        <v>0</v>
      </c>
      <c r="AR25" s="288">
        <f>+T25-'Data FY23-24 Final'!T25</f>
        <v>0</v>
      </c>
      <c r="AS25" s="288">
        <f>+U25-'Data FY23-24 Final'!U25</f>
        <v>0</v>
      </c>
      <c r="AT25" s="288">
        <f>+V25-'Data FY23-24 Final'!V25</f>
        <v>0</v>
      </c>
      <c r="AU25" s="288">
        <f>+W25-'Data FY23-24 Final'!W25</f>
        <v>1.0557713646677733</v>
      </c>
      <c r="AV25" s="288">
        <f>+X25-'Data FY23-24 Final'!X25</f>
        <v>0</v>
      </c>
      <c r="AW25" s="261">
        <f>+Y25-'Data FY23-24 Final'!Y25</f>
        <v>-1862692.0699999984</v>
      </c>
      <c r="AX25" s="261">
        <f>+Z25-'Data FY23-24 Final'!Z25</f>
        <v>-1926230.8723599976</v>
      </c>
    </row>
    <row r="26" spans="1:50" s="256" customFormat="1" x14ac:dyDescent="0.25">
      <c r="A26" s="289" t="s">
        <v>139</v>
      </c>
      <c r="B26" s="289" t="s">
        <v>137</v>
      </c>
      <c r="C26" s="297" t="s">
        <v>140</v>
      </c>
      <c r="D26" s="344">
        <v>27111030</v>
      </c>
      <c r="E26" s="344">
        <v>0</v>
      </c>
      <c r="F26" s="344">
        <f t="shared" si="6"/>
        <v>27111030</v>
      </c>
      <c r="G26" s="343">
        <v>1989.54</v>
      </c>
      <c r="H26" s="347">
        <v>23.59</v>
      </c>
      <c r="I26" s="347">
        <v>0.67499999999999716</v>
      </c>
      <c r="J26" s="353">
        <f t="shared" si="2"/>
        <v>22.915000000000003</v>
      </c>
      <c r="K26" s="287">
        <v>0</v>
      </c>
      <c r="L26" s="300">
        <v>0</v>
      </c>
      <c r="M26" s="287">
        <v>4.6399999999999997</v>
      </c>
      <c r="N26" s="353">
        <v>0</v>
      </c>
      <c r="O26" s="354">
        <v>0</v>
      </c>
      <c r="P26" s="355">
        <f t="shared" si="3"/>
        <v>7.3384891684307077E-2</v>
      </c>
      <c r="Q26" s="360">
        <f t="shared" si="4"/>
        <v>27.628384891684309</v>
      </c>
      <c r="R26" s="299"/>
      <c r="S26" s="299"/>
      <c r="T26" s="299"/>
      <c r="U26" s="299"/>
      <c r="V26" s="299"/>
      <c r="W26" s="299">
        <f t="shared" si="5"/>
        <v>27.628384891684309</v>
      </c>
      <c r="X26" s="287">
        <v>125.68899999999999</v>
      </c>
      <c r="Y26" s="344">
        <v>3467319.42</v>
      </c>
      <c r="Z26" s="344">
        <v>2813428.1371499998</v>
      </c>
      <c r="AB26" s="261">
        <f>+D26-'Data FY23-24 Final'!D26</f>
        <v>573700</v>
      </c>
      <c r="AC26" s="261">
        <f>+E26-'Data FY23-24 Final'!E26</f>
        <v>0</v>
      </c>
      <c r="AD26" s="261">
        <f>+F26-'Data FY23-24 Final'!F26</f>
        <v>573700</v>
      </c>
      <c r="AE26" s="261">
        <f>+G26-'Data FY23-24 Final'!G26</f>
        <v>-0.46000000000003638</v>
      </c>
      <c r="AF26" s="288">
        <f>+H26-'Data FY23-24 Final'!H26</f>
        <v>0</v>
      </c>
      <c r="AG26" s="288">
        <f>+I26-'Data FY23-24 Final'!I26</f>
        <v>-1.0000000000000029</v>
      </c>
      <c r="AH26" s="288">
        <f>+J26-'Data FY23-24 Final'!J26</f>
        <v>1.0000000000000036</v>
      </c>
      <c r="AI26" s="288">
        <f>+K26-'Data FY23-24 Final'!K26</f>
        <v>0</v>
      </c>
      <c r="AJ26" s="288">
        <f>+L26-'Data FY23-24 Final'!L26</f>
        <v>0</v>
      </c>
      <c r="AK26" s="288">
        <f>+M26-'Data FY23-24 Final'!M26</f>
        <v>-0.10000000000000053</v>
      </c>
      <c r="AL26" s="288">
        <f>+N26-'Data FY23-24 Final'!N26</f>
        <v>0</v>
      </c>
      <c r="AM26" s="288">
        <f>+O26-'Data FY23-24 Final'!O26</f>
        <v>0</v>
      </c>
      <c r="AN26" s="288">
        <f>+P26-'Data FY23-24 Final'!P26</f>
        <v>-1.6151083156929202E-3</v>
      </c>
      <c r="AO26" s="288">
        <f>+Q26-'Data FY23-24 Final'!Q26</f>
        <v>0.89838489168430868</v>
      </c>
      <c r="AP26" s="288">
        <f>+R26-'Data FY23-24 Final'!R26</f>
        <v>0</v>
      </c>
      <c r="AQ26" s="288">
        <f>+S26-'Data FY23-24 Final'!S26</f>
        <v>0</v>
      </c>
      <c r="AR26" s="288">
        <f>+T26-'Data FY23-24 Final'!T26</f>
        <v>0</v>
      </c>
      <c r="AS26" s="288">
        <f>+U26-'Data FY23-24 Final'!U26</f>
        <v>0</v>
      </c>
      <c r="AT26" s="288">
        <f>+V26-'Data FY23-24 Final'!V26</f>
        <v>0</v>
      </c>
      <c r="AU26" s="288">
        <f>+W26-'Data FY23-24 Final'!W26</f>
        <v>0.89838489168430868</v>
      </c>
      <c r="AV26" s="288">
        <f>+X26-'Data FY23-24 Final'!X26</f>
        <v>0</v>
      </c>
      <c r="AW26" s="261">
        <f>+Y26-'Data FY23-24 Final'!Y26</f>
        <v>-9187.3999999999069</v>
      </c>
      <c r="AX26" s="261">
        <f>+Z26-'Data FY23-24 Final'!Z26</f>
        <v>-21440.045900000259</v>
      </c>
    </row>
    <row r="27" spans="1:50" s="256" customFormat="1" ht="13" x14ac:dyDescent="0.3">
      <c r="A27" s="289" t="s">
        <v>141</v>
      </c>
      <c r="B27" s="289" t="s">
        <v>142</v>
      </c>
      <c r="C27" s="297" t="s">
        <v>143</v>
      </c>
      <c r="D27" s="378">
        <v>5758430640</v>
      </c>
      <c r="E27" s="378">
        <v>405402032</v>
      </c>
      <c r="F27" s="378">
        <v>5353028608</v>
      </c>
      <c r="G27" s="379">
        <v>1077366.06</v>
      </c>
      <c r="H27" s="347">
        <v>27</v>
      </c>
      <c r="I27" s="347">
        <v>0</v>
      </c>
      <c r="J27" s="353">
        <f t="shared" si="2"/>
        <v>27</v>
      </c>
      <c r="K27" s="287">
        <v>0</v>
      </c>
      <c r="L27" s="300">
        <v>0</v>
      </c>
      <c r="M27" s="287">
        <v>0</v>
      </c>
      <c r="N27" s="353">
        <v>0</v>
      </c>
      <c r="O27" s="354">
        <v>5.077</v>
      </c>
      <c r="P27" s="355">
        <f t="shared" si="3"/>
        <v>0.20126289973304026</v>
      </c>
      <c r="Q27" s="360">
        <f t="shared" si="4"/>
        <v>32.278262899733036</v>
      </c>
      <c r="R27" s="299"/>
      <c r="S27" s="299"/>
      <c r="T27" s="299"/>
      <c r="U27" s="299"/>
      <c r="V27" s="299"/>
      <c r="W27" s="299">
        <f t="shared" si="5"/>
        <v>32.278262899733036</v>
      </c>
      <c r="X27" s="287">
        <v>50.196999999999996</v>
      </c>
      <c r="Y27" s="344">
        <v>328573242.16000003</v>
      </c>
      <c r="Z27" s="344">
        <v>149118577.37030002</v>
      </c>
      <c r="AB27" s="261">
        <f>+D27-'Data FY23-24 Final'!D27</f>
        <v>-835101105</v>
      </c>
      <c r="AC27" s="261">
        <f>+E27-'Data FY23-24 Final'!E27</f>
        <v>-89501172</v>
      </c>
      <c r="AD27" s="261">
        <f>+F27-'Data FY23-24 Final'!F27</f>
        <v>-745599933</v>
      </c>
      <c r="AE27" s="261">
        <f>+G27-'Data FY23-24 Final'!G27</f>
        <v>-583939.1399999999</v>
      </c>
      <c r="AF27" s="288">
        <f>+H27-'Data FY23-24 Final'!H27</f>
        <v>0</v>
      </c>
      <c r="AG27" s="288">
        <f>+I27-'Data FY23-24 Final'!I27</f>
        <v>0</v>
      </c>
      <c r="AH27" s="288">
        <f>+J27-'Data FY23-24 Final'!J27</f>
        <v>0</v>
      </c>
      <c r="AI27" s="288">
        <f>+K27-'Data FY23-24 Final'!K27</f>
        <v>0</v>
      </c>
      <c r="AJ27" s="288">
        <f>+L27-'Data FY23-24 Final'!L27</f>
        <v>0</v>
      </c>
      <c r="AK27" s="288">
        <f>+M27-'Data FY23-24 Final'!M27</f>
        <v>0</v>
      </c>
      <c r="AL27" s="288">
        <f>+N27-'Data FY23-24 Final'!N27</f>
        <v>0</v>
      </c>
      <c r="AM27" s="288">
        <f>+O27-'Data FY23-24 Final'!O27</f>
        <v>-8.1609999999999996</v>
      </c>
      <c r="AN27" s="288">
        <f>+P27-'Data FY23-24 Final'!P27</f>
        <v>-7.0737100266959757E-2</v>
      </c>
      <c r="AO27" s="288">
        <f>+Q27-'Data FY23-24 Final'!Q27</f>
        <v>-8.2317371002669617</v>
      </c>
      <c r="AP27" s="288">
        <f>+R27-'Data FY23-24 Final'!R27</f>
        <v>-16.728000000000002</v>
      </c>
      <c r="AQ27" s="288">
        <f>+S27-'Data FY23-24 Final'!S27</f>
        <v>0</v>
      </c>
      <c r="AR27" s="288">
        <f>+T27-'Data FY23-24 Final'!T27</f>
        <v>0</v>
      </c>
      <c r="AS27" s="288">
        <f>+U27-'Data FY23-24 Final'!U27</f>
        <v>0</v>
      </c>
      <c r="AT27" s="288">
        <f>+V27-'Data FY23-24 Final'!V27</f>
        <v>0</v>
      </c>
      <c r="AU27" s="288">
        <f>+W27-'Data FY23-24 Final'!W27</f>
        <v>-24.959737100266963</v>
      </c>
      <c r="AV27" s="288">
        <f>+X27-'Data FY23-24 Final'!X27</f>
        <v>0</v>
      </c>
      <c r="AW27" s="261">
        <f>+Y27-'Data FY23-24 Final'!Y27</f>
        <v>5913282.1100000143</v>
      </c>
      <c r="AX27" s="261">
        <f>+Z27-'Data FY23-24 Final'!Z27</f>
        <v>-2466647.102699995</v>
      </c>
    </row>
    <row r="28" spans="1:50" s="256" customFormat="1" ht="13" x14ac:dyDescent="0.3">
      <c r="A28" s="289" t="s">
        <v>144</v>
      </c>
      <c r="B28" s="289" t="s">
        <v>142</v>
      </c>
      <c r="C28" s="297" t="s">
        <v>142</v>
      </c>
      <c r="D28" s="378">
        <v>9781695511</v>
      </c>
      <c r="E28" s="378">
        <v>163820571</v>
      </c>
      <c r="F28" s="378">
        <v>9617874940</v>
      </c>
      <c r="G28" s="379">
        <v>3000551.54</v>
      </c>
      <c r="H28" s="347">
        <v>27</v>
      </c>
      <c r="I28" s="347">
        <v>0</v>
      </c>
      <c r="J28" s="353">
        <f t="shared" si="2"/>
        <v>27</v>
      </c>
      <c r="K28" s="287">
        <v>0</v>
      </c>
      <c r="L28" s="300">
        <v>0</v>
      </c>
      <c r="M28" s="287">
        <v>0</v>
      </c>
      <c r="N28" s="353">
        <v>0</v>
      </c>
      <c r="O28" s="354">
        <v>7.4039999999999999</v>
      </c>
      <c r="P28" s="355">
        <f t="shared" si="3"/>
        <v>0.31197656017764774</v>
      </c>
      <c r="Q28" s="360">
        <f t="shared" si="4"/>
        <v>34.715976560177644</v>
      </c>
      <c r="R28" s="299"/>
      <c r="S28" s="299"/>
      <c r="T28" s="299"/>
      <c r="U28" s="301"/>
      <c r="V28" s="301"/>
      <c r="W28" s="299">
        <f t="shared" si="5"/>
        <v>34.715976560177644</v>
      </c>
      <c r="X28" s="287">
        <v>28.071999999999999</v>
      </c>
      <c r="Y28" s="344">
        <v>297342600.48000002</v>
      </c>
      <c r="Z28" s="344">
        <v>10905458.978899999</v>
      </c>
      <c r="AB28" s="261">
        <f>+D28-'Data FY23-24 Final'!D28</f>
        <v>96018522</v>
      </c>
      <c r="AC28" s="261">
        <f>+E28-'Data FY23-24 Final'!E28</f>
        <v>15645565</v>
      </c>
      <c r="AD28" s="261">
        <f>+F28-'Data FY23-24 Final'!F28</f>
        <v>80372957</v>
      </c>
      <c r="AE28" s="261">
        <f>+G28-'Data FY23-24 Final'!G28</f>
        <v>1611785.54</v>
      </c>
      <c r="AF28" s="288">
        <f>+H28-'Data FY23-24 Final'!H28</f>
        <v>0</v>
      </c>
      <c r="AG28" s="288">
        <f>+I28-'Data FY23-24 Final'!I28</f>
        <v>0</v>
      </c>
      <c r="AH28" s="288">
        <f>+J28-'Data FY23-24 Final'!J28</f>
        <v>0</v>
      </c>
      <c r="AI28" s="288">
        <f>+K28-'Data FY23-24 Final'!K28</f>
        <v>0</v>
      </c>
      <c r="AJ28" s="288">
        <f>+L28-'Data FY23-24 Final'!L28</f>
        <v>0</v>
      </c>
      <c r="AK28" s="288">
        <f>+M28-'Data FY23-24 Final'!M28</f>
        <v>0</v>
      </c>
      <c r="AL28" s="288">
        <f>+N28-'Data FY23-24 Final'!N28</f>
        <v>0</v>
      </c>
      <c r="AM28" s="288">
        <f>+O28-'Data FY23-24 Final'!O28</f>
        <v>-0.99799999999999933</v>
      </c>
      <c r="AN28" s="288">
        <f>+P28-'Data FY23-24 Final'!P28</f>
        <v>0.16597656017764775</v>
      </c>
      <c r="AO28" s="288">
        <f>+Q28-'Data FY23-24 Final'!Q28</f>
        <v>-0.8320234398223576</v>
      </c>
      <c r="AP28" s="288">
        <f>+R28-'Data FY23-24 Final'!R28</f>
        <v>-7.7110000000000003</v>
      </c>
      <c r="AQ28" s="288">
        <f>+S28-'Data FY23-24 Final'!S28</f>
        <v>-0.76500000000000001</v>
      </c>
      <c r="AR28" s="288">
        <f>+T28-'Data FY23-24 Final'!T28</f>
        <v>0</v>
      </c>
      <c r="AS28" s="288">
        <f>+U28-'Data FY23-24 Final'!U28</f>
        <v>-4</v>
      </c>
      <c r="AT28" s="288">
        <f>+V28-'Data FY23-24 Final'!V28</f>
        <v>0</v>
      </c>
      <c r="AU28" s="288">
        <f>+W28-'Data FY23-24 Final'!W28</f>
        <v>-13.308023439822357</v>
      </c>
      <c r="AV28" s="288">
        <f>+X28-'Data FY23-24 Final'!X28</f>
        <v>0</v>
      </c>
      <c r="AW28" s="261">
        <f>+Y28-'Data FY23-24 Final'!Y28</f>
        <v>3164535.5699999928</v>
      </c>
      <c r="AX28" s="261">
        <f>+Z28-'Data FY23-24 Final'!Z28</f>
        <v>-14212271.330100017</v>
      </c>
    </row>
    <row r="29" spans="1:50" s="256" customFormat="1" ht="13" x14ac:dyDescent="0.3">
      <c r="A29" s="289" t="s">
        <v>145</v>
      </c>
      <c r="B29" s="289" t="s">
        <v>146</v>
      </c>
      <c r="C29" s="297" t="s">
        <v>147</v>
      </c>
      <c r="D29" s="378">
        <v>414955560</v>
      </c>
      <c r="E29" s="378">
        <v>0</v>
      </c>
      <c r="F29" s="378">
        <v>414955560</v>
      </c>
      <c r="G29" s="379">
        <v>25931.49</v>
      </c>
      <c r="H29" s="347">
        <v>23.149000000000001</v>
      </c>
      <c r="I29" s="347">
        <v>3.1670000000000016</v>
      </c>
      <c r="J29" s="353">
        <f t="shared" si="2"/>
        <v>19.981999999999999</v>
      </c>
      <c r="K29" s="287">
        <v>0</v>
      </c>
      <c r="L29" s="300">
        <v>0</v>
      </c>
      <c r="M29" s="287">
        <v>0</v>
      </c>
      <c r="N29" s="353">
        <v>0</v>
      </c>
      <c r="O29" s="354">
        <v>4.8069999999999995</v>
      </c>
      <c r="P29" s="355">
        <f t="shared" si="3"/>
        <v>6.249221000918749E-2</v>
      </c>
      <c r="Q29" s="360">
        <f t="shared" si="4"/>
        <v>24.851492210009184</v>
      </c>
      <c r="R29" s="299"/>
      <c r="S29" s="299"/>
      <c r="T29" s="299"/>
      <c r="U29" s="299"/>
      <c r="V29" s="299"/>
      <c r="W29" s="299">
        <f t="shared" si="5"/>
        <v>24.851492210009184</v>
      </c>
      <c r="X29" s="287">
        <v>22.533999999999999</v>
      </c>
      <c r="Y29" s="344">
        <v>10378758.529999999</v>
      </c>
      <c r="Z29" s="344">
        <v>1510630.7525999993</v>
      </c>
      <c r="AB29" s="261">
        <f>+D29-'Data FY23-24 Final'!D29</f>
        <v>6667330</v>
      </c>
      <c r="AC29" s="261">
        <f>+E29-'Data FY23-24 Final'!E29</f>
        <v>0</v>
      </c>
      <c r="AD29" s="261">
        <f>+F29-'Data FY23-24 Final'!F29</f>
        <v>6667330</v>
      </c>
      <c r="AE29" s="261">
        <f>+G29-'Data FY23-24 Final'!G29</f>
        <v>22308.22</v>
      </c>
      <c r="AF29" s="288">
        <f>+H29-'Data FY23-24 Final'!H29</f>
        <v>0</v>
      </c>
      <c r="AG29" s="288">
        <f>+I29-'Data FY23-24 Final'!I29</f>
        <v>-0.99999999999999822</v>
      </c>
      <c r="AH29" s="288">
        <f>+J29-'Data FY23-24 Final'!J29</f>
        <v>1</v>
      </c>
      <c r="AI29" s="288">
        <f>+K29-'Data FY23-24 Final'!K29</f>
        <v>0</v>
      </c>
      <c r="AJ29" s="288">
        <f>+L29-'Data FY23-24 Final'!L29</f>
        <v>0</v>
      </c>
      <c r="AK29" s="288">
        <f>+M29-'Data FY23-24 Final'!M29</f>
        <v>0</v>
      </c>
      <c r="AL29" s="288">
        <f>+N29-'Data FY23-24 Final'!N29</f>
        <v>0</v>
      </c>
      <c r="AM29" s="288">
        <f>+O29-'Data FY23-24 Final'!O29</f>
        <v>-1.7830000000000004</v>
      </c>
      <c r="AN29" s="288">
        <f>+P29-'Data FY23-24 Final'!P29</f>
        <v>6.249221000918749E-2</v>
      </c>
      <c r="AO29" s="288">
        <f>+Q29-'Data FY23-24 Final'!Q29</f>
        <v>-0.72050778999081544</v>
      </c>
      <c r="AP29" s="288">
        <f>+R29-'Data FY23-24 Final'!R29</f>
        <v>-6.0279999999999996</v>
      </c>
      <c r="AQ29" s="288">
        <f>+S29-'Data FY23-24 Final'!S29</f>
        <v>0</v>
      </c>
      <c r="AR29" s="288">
        <f>+T29-'Data FY23-24 Final'!T29</f>
        <v>0</v>
      </c>
      <c r="AS29" s="288">
        <f>+U29-'Data FY23-24 Final'!U29</f>
        <v>0</v>
      </c>
      <c r="AT29" s="288">
        <f>+V29-'Data FY23-24 Final'!V29</f>
        <v>0</v>
      </c>
      <c r="AU29" s="288">
        <f>+W29-'Data FY23-24 Final'!W29</f>
        <v>-6.7485077899908177</v>
      </c>
      <c r="AV29" s="288">
        <f>+X29-'Data FY23-24 Final'!X29</f>
        <v>0</v>
      </c>
      <c r="AW29" s="261">
        <f>+Y29-'Data FY23-24 Final'!Y29</f>
        <v>168805.13999999873</v>
      </c>
      <c r="AX29" s="261">
        <f>+Z29-'Data FY23-24 Final'!Z29</f>
        <v>-404090.15554000135</v>
      </c>
    </row>
    <row r="30" spans="1:50" s="256" customFormat="1" ht="13" x14ac:dyDescent="0.3">
      <c r="A30" s="289" t="s">
        <v>148</v>
      </c>
      <c r="B30" s="289" t="s">
        <v>146</v>
      </c>
      <c r="C30" s="297" t="s">
        <v>149</v>
      </c>
      <c r="D30" s="378">
        <v>464644313</v>
      </c>
      <c r="E30" s="378">
        <v>0</v>
      </c>
      <c r="F30" s="378">
        <v>464644313</v>
      </c>
      <c r="G30" s="379">
        <v>35416.269999999997</v>
      </c>
      <c r="H30" s="347">
        <v>24.792999999999999</v>
      </c>
      <c r="I30" s="347">
        <v>6.0999999999999979</v>
      </c>
      <c r="J30" s="353">
        <f t="shared" si="2"/>
        <v>18.693000000000001</v>
      </c>
      <c r="K30" s="287">
        <v>0</v>
      </c>
      <c r="L30" s="300">
        <v>0</v>
      </c>
      <c r="M30" s="287">
        <v>0</v>
      </c>
      <c r="N30" s="353">
        <v>0</v>
      </c>
      <c r="O30" s="354">
        <v>5.2090000000000005</v>
      </c>
      <c r="P30" s="355">
        <f t="shared" si="3"/>
        <v>7.6222325355351964E-2</v>
      </c>
      <c r="Q30" s="360">
        <f t="shared" si="4"/>
        <v>23.978222325355354</v>
      </c>
      <c r="R30" s="299"/>
      <c r="S30" s="299"/>
      <c r="T30" s="299"/>
      <c r="U30" s="299"/>
      <c r="V30" s="299"/>
      <c r="W30" s="299">
        <f t="shared" si="5"/>
        <v>23.978222325355354</v>
      </c>
      <c r="X30" s="287">
        <v>28.722999999999999</v>
      </c>
      <c r="Y30" s="344">
        <v>14404236.93</v>
      </c>
      <c r="Z30" s="344">
        <v>5289158.1917749988</v>
      </c>
      <c r="AB30" s="261">
        <f>+D30-'Data FY23-24 Final'!D30</f>
        <v>3535700</v>
      </c>
      <c r="AC30" s="261">
        <f>+E30-'Data FY23-24 Final'!E30</f>
        <v>0</v>
      </c>
      <c r="AD30" s="261">
        <f>+F30-'Data FY23-24 Final'!F30</f>
        <v>3535700</v>
      </c>
      <c r="AE30" s="261">
        <f>+G30-'Data FY23-24 Final'!G30</f>
        <v>25499.269999999997</v>
      </c>
      <c r="AF30" s="288">
        <f>+H30-'Data FY23-24 Final'!H30</f>
        <v>2.8419999999999987</v>
      </c>
      <c r="AG30" s="288">
        <f>+I30-'Data FY23-24 Final'!I30</f>
        <v>-1.0000000000000018</v>
      </c>
      <c r="AH30" s="288">
        <f>+J30-'Data FY23-24 Final'!J30</f>
        <v>1</v>
      </c>
      <c r="AI30" s="288">
        <f>+K30-'Data FY23-24 Final'!K30</f>
        <v>0</v>
      </c>
      <c r="AJ30" s="288">
        <f>+L30-'Data FY23-24 Final'!L30</f>
        <v>0</v>
      </c>
      <c r="AK30" s="288">
        <f>+M30-'Data FY23-24 Final'!M30</f>
        <v>0</v>
      </c>
      <c r="AL30" s="288">
        <f>+N30-'Data FY23-24 Final'!N30</f>
        <v>0</v>
      </c>
      <c r="AM30" s="288">
        <f>+O30-'Data FY23-24 Final'!O30</f>
        <v>-1.0579999999999998</v>
      </c>
      <c r="AN30" s="288">
        <f>+P30-'Data FY23-24 Final'!P30</f>
        <v>5.4222325355351965E-2</v>
      </c>
      <c r="AO30" s="288">
        <f>+Q30-'Data FY23-24 Final'!Q30</f>
        <v>-3.7776746446454013E-3</v>
      </c>
      <c r="AP30" s="288">
        <f>+R30-'Data FY23-24 Final'!R30</f>
        <v>-4.2290000000000001</v>
      </c>
      <c r="AQ30" s="288">
        <f>+S30-'Data FY23-24 Final'!S30</f>
        <v>0</v>
      </c>
      <c r="AR30" s="288">
        <f>+T30-'Data FY23-24 Final'!T30</f>
        <v>0</v>
      </c>
      <c r="AS30" s="288">
        <f>+U30-'Data FY23-24 Final'!U30</f>
        <v>0</v>
      </c>
      <c r="AT30" s="288">
        <f>+V30-'Data FY23-24 Final'!V30</f>
        <v>0</v>
      </c>
      <c r="AU30" s="288">
        <f>+W30-'Data FY23-24 Final'!W30</f>
        <v>-4.2327776746446446</v>
      </c>
      <c r="AV30" s="288">
        <f>+X30-'Data FY23-24 Final'!X30</f>
        <v>0</v>
      </c>
      <c r="AW30" s="261">
        <f>+Y30-'Data FY23-24 Final'!Y30</f>
        <v>1336330.4499999993</v>
      </c>
      <c r="AX30" s="261">
        <f>+Z30-'Data FY23-24 Final'!Z30</f>
        <v>1042476.5715839993</v>
      </c>
    </row>
    <row r="31" spans="1:50" s="256" customFormat="1" x14ac:dyDescent="0.25">
      <c r="A31" s="289" t="s">
        <v>150</v>
      </c>
      <c r="B31" s="289" t="s">
        <v>151</v>
      </c>
      <c r="C31" s="297" t="s">
        <v>152</v>
      </c>
      <c r="D31" s="344">
        <v>53597737</v>
      </c>
      <c r="E31" s="344">
        <v>0</v>
      </c>
      <c r="F31" s="344">
        <f t="shared" si="6"/>
        <v>53597737</v>
      </c>
      <c r="G31" s="343">
        <v>33599.300000000003</v>
      </c>
      <c r="H31" s="347">
        <v>17.88</v>
      </c>
      <c r="I31" s="347">
        <v>6.0659999999999972</v>
      </c>
      <c r="J31" s="353">
        <f t="shared" si="2"/>
        <v>11.814000000000002</v>
      </c>
      <c r="K31" s="287">
        <v>0</v>
      </c>
      <c r="L31" s="300">
        <v>0</v>
      </c>
      <c r="M31" s="287">
        <v>1.3699999999999999</v>
      </c>
      <c r="N31" s="353">
        <v>0</v>
      </c>
      <c r="O31" s="354">
        <v>4.5710000000000006</v>
      </c>
      <c r="P31" s="355">
        <f t="shared" si="3"/>
        <v>0.62687907886857253</v>
      </c>
      <c r="Q31" s="360">
        <f t="shared" si="4"/>
        <v>18.381879078868575</v>
      </c>
      <c r="R31" s="299"/>
      <c r="S31" s="299"/>
      <c r="T31" s="299"/>
      <c r="U31" s="299"/>
      <c r="V31" s="299"/>
      <c r="W31" s="299">
        <f t="shared" si="5"/>
        <v>18.381879078868575</v>
      </c>
      <c r="X31" s="287">
        <v>34.302</v>
      </c>
      <c r="Y31" s="344">
        <v>1885729.95</v>
      </c>
      <c r="Z31" s="344">
        <v>1258922.9330820001</v>
      </c>
      <c r="AB31" s="261">
        <f>+D31-'Data FY23-24 Final'!D31</f>
        <v>693513</v>
      </c>
      <c r="AC31" s="261">
        <f>+E31-'Data FY23-24 Final'!E31</f>
        <v>0</v>
      </c>
      <c r="AD31" s="261">
        <f>+F31-'Data FY23-24 Final'!F31</f>
        <v>693513</v>
      </c>
      <c r="AE31" s="261">
        <f>+G31-'Data FY23-24 Final'!G31</f>
        <v>22172.300000000003</v>
      </c>
      <c r="AF31" s="288">
        <f>+H31-'Data FY23-24 Final'!H31</f>
        <v>0</v>
      </c>
      <c r="AG31" s="288">
        <f>+I31-'Data FY23-24 Final'!I31</f>
        <v>-1.0000000000000027</v>
      </c>
      <c r="AH31" s="288">
        <f>+J31-'Data FY23-24 Final'!J31</f>
        <v>1.0000000000000018</v>
      </c>
      <c r="AI31" s="288">
        <f>+K31-'Data FY23-24 Final'!K31</f>
        <v>0</v>
      </c>
      <c r="AJ31" s="288">
        <f>+L31-'Data FY23-24 Final'!L31</f>
        <v>0</v>
      </c>
      <c r="AK31" s="288">
        <f>+M31-'Data FY23-24 Final'!M31</f>
        <v>-1.8000000000000016E-2</v>
      </c>
      <c r="AL31" s="288">
        <f>+N31-'Data FY23-24 Final'!N31</f>
        <v>0</v>
      </c>
      <c r="AM31" s="288">
        <f>+O31-'Data FY23-24 Final'!O31</f>
        <v>-2.0439999999999996</v>
      </c>
      <c r="AN31" s="288">
        <f>+P31-'Data FY23-24 Final'!P31</f>
        <v>0.41087907886857256</v>
      </c>
      <c r="AO31" s="288">
        <f>+Q31-'Data FY23-24 Final'!Q31</f>
        <v>-0.65112092113142594</v>
      </c>
      <c r="AP31" s="288">
        <f>+R31-'Data FY23-24 Final'!R31</f>
        <v>-11.625</v>
      </c>
      <c r="AQ31" s="288">
        <f>+S31-'Data FY23-24 Final'!S31</f>
        <v>0</v>
      </c>
      <c r="AR31" s="288">
        <f>+T31-'Data FY23-24 Final'!T31</f>
        <v>0</v>
      </c>
      <c r="AS31" s="288">
        <f>+U31-'Data FY23-24 Final'!U31</f>
        <v>0</v>
      </c>
      <c r="AT31" s="288">
        <f>+V31-'Data FY23-24 Final'!V31</f>
        <v>0</v>
      </c>
      <c r="AU31" s="288">
        <f>+W31-'Data FY23-24 Final'!W31</f>
        <v>-12.276120921131426</v>
      </c>
      <c r="AV31" s="288">
        <f>+X31-'Data FY23-24 Final'!X31</f>
        <v>0</v>
      </c>
      <c r="AW31" s="261">
        <f>+Y31-'Data FY23-24 Final'!Y31</f>
        <v>2139.4199999999255</v>
      </c>
      <c r="AX31" s="261">
        <f>+Z31-'Data FY23-24 Final'!Z31</f>
        <v>-6735.0185819999315</v>
      </c>
    </row>
    <row r="32" spans="1:50" s="256" customFormat="1" x14ac:dyDescent="0.25">
      <c r="A32" s="289" t="s">
        <v>153</v>
      </c>
      <c r="B32" s="289" t="s">
        <v>151</v>
      </c>
      <c r="C32" s="297" t="s">
        <v>151</v>
      </c>
      <c r="D32" s="344">
        <v>101100957</v>
      </c>
      <c r="E32" s="344">
        <v>0</v>
      </c>
      <c r="F32" s="344">
        <f t="shared" si="6"/>
        <v>101100957</v>
      </c>
      <c r="G32" s="343">
        <v>1448.86</v>
      </c>
      <c r="H32" s="347">
        <v>15.558</v>
      </c>
      <c r="I32" s="347">
        <v>4.8840000000000003</v>
      </c>
      <c r="J32" s="353">
        <f t="shared" si="2"/>
        <v>10.673999999999999</v>
      </c>
      <c r="K32" s="287">
        <v>0</v>
      </c>
      <c r="L32" s="300">
        <v>0</v>
      </c>
      <c r="M32" s="287">
        <v>0</v>
      </c>
      <c r="N32" s="353">
        <v>0</v>
      </c>
      <c r="O32" s="354">
        <v>2.1549999999999998</v>
      </c>
      <c r="P32" s="355">
        <f t="shared" si="3"/>
        <v>1.4330823792300997E-2</v>
      </c>
      <c r="Q32" s="360">
        <f t="shared" si="4"/>
        <v>12.8433308237923</v>
      </c>
      <c r="R32" s="299"/>
      <c r="S32" s="299"/>
      <c r="T32" s="299"/>
      <c r="U32" s="299"/>
      <c r="V32" s="299"/>
      <c r="W32" s="299">
        <f t="shared" si="5"/>
        <v>12.8433308237923</v>
      </c>
      <c r="X32" s="287">
        <v>30.581</v>
      </c>
      <c r="Y32" s="344">
        <v>3157619.93</v>
      </c>
      <c r="Z32" s="344">
        <v>2113710.3715820001</v>
      </c>
      <c r="AB32" s="261">
        <f>+D32-'Data FY23-24 Final'!D32</f>
        <v>2274896</v>
      </c>
      <c r="AC32" s="261">
        <f>+E32-'Data FY23-24 Final'!E32</f>
        <v>0</v>
      </c>
      <c r="AD32" s="261">
        <f>+F32-'Data FY23-24 Final'!F32</f>
        <v>2274896</v>
      </c>
      <c r="AE32" s="261">
        <f>+G32-'Data FY23-24 Final'!G32</f>
        <v>-5581.14</v>
      </c>
      <c r="AF32" s="288">
        <f>+H32-'Data FY23-24 Final'!H32</f>
        <v>0</v>
      </c>
      <c r="AG32" s="288">
        <f>+I32-'Data FY23-24 Final'!I32</f>
        <v>-1</v>
      </c>
      <c r="AH32" s="288">
        <f>+J32-'Data FY23-24 Final'!J32</f>
        <v>1</v>
      </c>
      <c r="AI32" s="288">
        <f>+K32-'Data FY23-24 Final'!K32</f>
        <v>0</v>
      </c>
      <c r="AJ32" s="288">
        <f>+L32-'Data FY23-24 Final'!L32</f>
        <v>0</v>
      </c>
      <c r="AK32" s="288">
        <f>+M32-'Data FY23-24 Final'!M32</f>
        <v>0</v>
      </c>
      <c r="AL32" s="288">
        <f>+N32-'Data FY23-24 Final'!N32</f>
        <v>0</v>
      </c>
      <c r="AM32" s="288">
        <f>+O32-'Data FY23-24 Final'!O32</f>
        <v>-6.15</v>
      </c>
      <c r="AN32" s="288">
        <f>+P32-'Data FY23-24 Final'!P32</f>
        <v>-5.6669176207698999E-2</v>
      </c>
      <c r="AO32" s="288">
        <f>+Q32-'Data FY23-24 Final'!Q32</f>
        <v>-5.2066691762077006</v>
      </c>
      <c r="AP32" s="288">
        <f>+R32-'Data FY23-24 Final'!R32</f>
        <v>0</v>
      </c>
      <c r="AQ32" s="288">
        <f>+S32-'Data FY23-24 Final'!S32</f>
        <v>0</v>
      </c>
      <c r="AR32" s="288">
        <f>+T32-'Data FY23-24 Final'!T32</f>
        <v>0</v>
      </c>
      <c r="AS32" s="288">
        <f>+U32-'Data FY23-24 Final'!U32</f>
        <v>0</v>
      </c>
      <c r="AT32" s="288">
        <f>+V32-'Data FY23-24 Final'!V32</f>
        <v>0</v>
      </c>
      <c r="AU32" s="288">
        <f>+W32-'Data FY23-24 Final'!W32</f>
        <v>-5.2066691762077006</v>
      </c>
      <c r="AV32" s="288">
        <f>+X32-'Data FY23-24 Final'!X32</f>
        <v>0</v>
      </c>
      <c r="AW32" s="261">
        <f>+Y32-'Data FY23-24 Final'!Y32</f>
        <v>73926.229999999981</v>
      </c>
      <c r="AX32" s="261">
        <f>+Z32-'Data FY23-24 Final'!Z32</f>
        <v>67888.235696000047</v>
      </c>
    </row>
    <row r="33" spans="1:50" s="256" customFormat="1" ht="13" x14ac:dyDescent="0.25">
      <c r="A33" s="289" t="s">
        <v>154</v>
      </c>
      <c r="B33" s="289" t="s">
        <v>155</v>
      </c>
      <c r="C33" s="297" t="s">
        <v>155</v>
      </c>
      <c r="D33" s="380">
        <v>339149480</v>
      </c>
      <c r="E33" s="381"/>
      <c r="F33" s="380">
        <v>1465260</v>
      </c>
      <c r="G33" s="382">
        <v>18.7</v>
      </c>
      <c r="H33" s="347">
        <v>12.484999999999999</v>
      </c>
      <c r="I33" s="347">
        <v>0</v>
      </c>
      <c r="J33" s="353">
        <f t="shared" si="2"/>
        <v>12.484999999999999</v>
      </c>
      <c r="K33" s="287">
        <v>0</v>
      </c>
      <c r="L33" s="300">
        <v>0</v>
      </c>
      <c r="M33" s="287">
        <v>0</v>
      </c>
      <c r="N33" s="353">
        <v>0</v>
      </c>
      <c r="O33" s="354">
        <v>5.3619999999999992</v>
      </c>
      <c r="P33" s="355">
        <f t="shared" si="3"/>
        <v>1.2762240148506068E-2</v>
      </c>
      <c r="Q33" s="360">
        <f t="shared" si="4"/>
        <v>17.859762240148505</v>
      </c>
      <c r="R33" s="299"/>
      <c r="S33" s="299"/>
      <c r="T33" s="299"/>
      <c r="U33" s="299"/>
      <c r="V33" s="299"/>
      <c r="W33" s="299">
        <f t="shared" si="5"/>
        <v>17.859762240148505</v>
      </c>
      <c r="X33" s="287">
        <v>20.96</v>
      </c>
      <c r="Y33" s="344">
        <v>7501624.5700000003</v>
      </c>
      <c r="Z33" s="344">
        <v>2906997.5359000005</v>
      </c>
      <c r="AB33" s="261">
        <f>+D33-'Data FY23-24 Final'!D33</f>
        <v>11548250</v>
      </c>
      <c r="AC33" s="261">
        <f>+E33-'Data FY23-24 Final'!E33</f>
        <v>0</v>
      </c>
      <c r="AD33" s="261">
        <f>+F33-'Data FY23-24 Final'!F33</f>
        <v>-326135970</v>
      </c>
      <c r="AE33" s="261">
        <f>+G33-'Data FY23-24 Final'!G33</f>
        <v>-3260.0800000000004</v>
      </c>
      <c r="AF33" s="288">
        <f>+H33-'Data FY23-24 Final'!H33</f>
        <v>0</v>
      </c>
      <c r="AG33" s="288">
        <f>+I33-'Data FY23-24 Final'!I33</f>
        <v>0</v>
      </c>
      <c r="AH33" s="288">
        <f>+J33-'Data FY23-24 Final'!J33</f>
        <v>0</v>
      </c>
      <c r="AI33" s="288">
        <f>+K33-'Data FY23-24 Final'!K33</f>
        <v>0</v>
      </c>
      <c r="AJ33" s="288">
        <f>+L33-'Data FY23-24 Final'!L33</f>
        <v>0</v>
      </c>
      <c r="AK33" s="288">
        <f>+M33-'Data FY23-24 Final'!M33</f>
        <v>0</v>
      </c>
      <c r="AL33" s="288">
        <f>+N33-'Data FY23-24 Final'!N33</f>
        <v>0</v>
      </c>
      <c r="AM33" s="288">
        <f>+O33-'Data FY23-24 Final'!O33</f>
        <v>-3.1960000000000006</v>
      </c>
      <c r="AN33" s="288">
        <f>+P33-'Data FY23-24 Final'!P33</f>
        <v>2.7622401485060677E-3</v>
      </c>
      <c r="AO33" s="288">
        <f>+Q33-'Data FY23-24 Final'!Q33</f>
        <v>-3.1932377598514954</v>
      </c>
      <c r="AP33" s="288">
        <f>+R33-'Data FY23-24 Final'!R33</f>
        <v>-7.835</v>
      </c>
      <c r="AQ33" s="288">
        <f>+S33-'Data FY23-24 Final'!S33</f>
        <v>0</v>
      </c>
      <c r="AR33" s="288">
        <f>+T33-'Data FY23-24 Final'!T33</f>
        <v>0</v>
      </c>
      <c r="AS33" s="288">
        <f>+U33-'Data FY23-24 Final'!U33</f>
        <v>0</v>
      </c>
      <c r="AT33" s="288">
        <f>+V33-'Data FY23-24 Final'!V33</f>
        <v>0</v>
      </c>
      <c r="AU33" s="288">
        <f>+W33-'Data FY23-24 Final'!W33</f>
        <v>-11.028237759851496</v>
      </c>
      <c r="AV33" s="288">
        <f>+X33-'Data FY23-24 Final'!X33</f>
        <v>0</v>
      </c>
      <c r="AW33" s="261">
        <f>+Y33-'Data FY23-24 Final'!Y33</f>
        <v>185405.97000000067</v>
      </c>
      <c r="AX33" s="261">
        <f>+Z33-'Data FY23-24 Final'!Z33</f>
        <v>-14700.457549999468</v>
      </c>
    </row>
    <row r="34" spans="1:50" s="256" customFormat="1" ht="13" x14ac:dyDescent="0.3">
      <c r="A34" s="289" t="s">
        <v>156</v>
      </c>
      <c r="B34" s="289" t="s">
        <v>157</v>
      </c>
      <c r="C34" s="297" t="s">
        <v>158</v>
      </c>
      <c r="D34" s="378">
        <v>38654926</v>
      </c>
      <c r="E34" s="378">
        <v>0</v>
      </c>
      <c r="F34" s="378">
        <v>38654926</v>
      </c>
      <c r="G34" s="379">
        <v>10088.57</v>
      </c>
      <c r="H34" s="347">
        <v>23.405999999999999</v>
      </c>
      <c r="I34" s="347">
        <v>2.2829999999999977</v>
      </c>
      <c r="J34" s="353">
        <f t="shared" si="2"/>
        <v>21.123000000000001</v>
      </c>
      <c r="K34" s="287">
        <v>0</v>
      </c>
      <c r="L34" s="300">
        <v>0</v>
      </c>
      <c r="M34" s="287">
        <v>4.3959999999999999</v>
      </c>
      <c r="N34" s="353">
        <v>0</v>
      </c>
      <c r="O34" s="354">
        <v>0</v>
      </c>
      <c r="P34" s="355">
        <f t="shared" si="3"/>
        <v>0.26099053973095171</v>
      </c>
      <c r="Q34" s="360">
        <f t="shared" si="4"/>
        <v>25.779990539730953</v>
      </c>
      <c r="R34" s="299"/>
      <c r="S34" s="299"/>
      <c r="T34" s="299"/>
      <c r="U34" s="299"/>
      <c r="V34" s="299"/>
      <c r="W34" s="299">
        <f t="shared" si="5"/>
        <v>25.779990539730953</v>
      </c>
      <c r="X34" s="287">
        <v>249.92400000000001</v>
      </c>
      <c r="Y34" s="344">
        <v>10953895.67</v>
      </c>
      <c r="Z34" s="344">
        <v>9925480.2675599996</v>
      </c>
      <c r="AB34" s="261">
        <f>+D34-'Data FY23-24 Final'!D34</f>
        <v>-370596</v>
      </c>
      <c r="AC34" s="261">
        <f>+E34-'Data FY23-24 Final'!E34</f>
        <v>0</v>
      </c>
      <c r="AD34" s="261">
        <f>+F34-'Data FY23-24 Final'!F34</f>
        <v>-370596</v>
      </c>
      <c r="AE34" s="261">
        <f>+G34-'Data FY23-24 Final'!G34</f>
        <v>7687.57</v>
      </c>
      <c r="AF34" s="288">
        <f>+H34-'Data FY23-24 Final'!H34</f>
        <v>0</v>
      </c>
      <c r="AG34" s="288">
        <f>+I34-'Data FY23-24 Final'!I34</f>
        <v>-1.0000000000000022</v>
      </c>
      <c r="AH34" s="288">
        <f>+J34-'Data FY23-24 Final'!J34</f>
        <v>1</v>
      </c>
      <c r="AI34" s="288">
        <f>+K34-'Data FY23-24 Final'!K34</f>
        <v>0</v>
      </c>
      <c r="AJ34" s="288">
        <f>+L34-'Data FY23-24 Final'!L34</f>
        <v>0</v>
      </c>
      <c r="AK34" s="288">
        <f>+M34-'Data FY23-24 Final'!M34</f>
        <v>-0.46900000000000031</v>
      </c>
      <c r="AL34" s="288">
        <f>+N34-'Data FY23-24 Final'!N34</f>
        <v>0</v>
      </c>
      <c r="AM34" s="288">
        <f>+O34-'Data FY23-24 Final'!O34</f>
        <v>0</v>
      </c>
      <c r="AN34" s="288">
        <f>+P34-'Data FY23-24 Final'!P34</f>
        <v>0.19899053973095171</v>
      </c>
      <c r="AO34" s="288">
        <f>+Q34-'Data FY23-24 Final'!Q34</f>
        <v>0.72999053973095229</v>
      </c>
      <c r="AP34" s="288">
        <f>+R34-'Data FY23-24 Final'!R34</f>
        <v>-10.249000000000001</v>
      </c>
      <c r="AQ34" s="288">
        <f>+S34-'Data FY23-24 Final'!S34</f>
        <v>0</v>
      </c>
      <c r="AR34" s="288">
        <f>+T34-'Data FY23-24 Final'!T34</f>
        <v>0</v>
      </c>
      <c r="AS34" s="288">
        <f>+U34-'Data FY23-24 Final'!U34</f>
        <v>0</v>
      </c>
      <c r="AT34" s="288">
        <f>+V34-'Data FY23-24 Final'!V34</f>
        <v>0</v>
      </c>
      <c r="AU34" s="288">
        <f>+W34-'Data FY23-24 Final'!W34</f>
        <v>-9.5190094602690465</v>
      </c>
      <c r="AV34" s="288">
        <f>+X34-'Data FY23-24 Final'!X34</f>
        <v>0</v>
      </c>
      <c r="AW34" s="261">
        <f>+Y34-'Data FY23-24 Final'!Y34</f>
        <v>230584.93999999948</v>
      </c>
      <c r="AX34" s="261">
        <f>+Z34-'Data FY23-24 Final'!Z34</f>
        <v>150226.6167659983</v>
      </c>
    </row>
    <row r="35" spans="1:50" s="256" customFormat="1" ht="13" x14ac:dyDescent="0.3">
      <c r="A35" s="289" t="s">
        <v>159</v>
      </c>
      <c r="B35" s="289" t="s">
        <v>157</v>
      </c>
      <c r="C35" s="289" t="s">
        <v>160</v>
      </c>
      <c r="D35" s="378">
        <v>10055463</v>
      </c>
      <c r="E35" s="378">
        <v>0</v>
      </c>
      <c r="F35" s="378">
        <v>10055463</v>
      </c>
      <c r="G35" s="379">
        <v>160.59</v>
      </c>
      <c r="H35" s="347">
        <v>27</v>
      </c>
      <c r="I35" s="347">
        <v>0</v>
      </c>
      <c r="J35" s="353">
        <f t="shared" si="2"/>
        <v>27</v>
      </c>
      <c r="K35" s="287">
        <v>0</v>
      </c>
      <c r="L35" s="300">
        <v>0</v>
      </c>
      <c r="M35" s="287">
        <v>0</v>
      </c>
      <c r="N35" s="353">
        <v>0</v>
      </c>
      <c r="O35" s="354">
        <v>0</v>
      </c>
      <c r="P35" s="355">
        <f t="shared" ref="P35:P66" si="7">+G35/F35*1000</f>
        <v>1.597042324157525E-2</v>
      </c>
      <c r="Q35" s="360">
        <f t="shared" si="4"/>
        <v>27.015970423241576</v>
      </c>
      <c r="R35" s="299"/>
      <c r="S35" s="299"/>
      <c r="T35" s="299"/>
      <c r="U35" s="299"/>
      <c r="V35" s="299"/>
      <c r="W35" s="299">
        <f t="shared" si="5"/>
        <v>27.015970423241576</v>
      </c>
      <c r="X35" s="287">
        <v>414.90300000000002</v>
      </c>
      <c r="Y35" s="344">
        <v>4733925.58</v>
      </c>
      <c r="Z35" s="344">
        <v>4377741.9563000007</v>
      </c>
      <c r="AB35" s="261">
        <f>+D35-'Data FY23-24 Final'!D35</f>
        <v>10448</v>
      </c>
      <c r="AC35" s="261">
        <f>+E35-'Data FY23-24 Final'!E35</f>
        <v>0</v>
      </c>
      <c r="AD35" s="261">
        <f>+F35-'Data FY23-24 Final'!F35</f>
        <v>10448</v>
      </c>
      <c r="AE35" s="261">
        <f>+G35-'Data FY23-24 Final'!G35</f>
        <v>-2009.41</v>
      </c>
      <c r="AF35" s="288">
        <f>+H35-'Data FY23-24 Final'!H35</f>
        <v>0</v>
      </c>
      <c r="AG35" s="288">
        <f>+I35-'Data FY23-24 Final'!I35</f>
        <v>0</v>
      </c>
      <c r="AH35" s="288">
        <f>+J35-'Data FY23-24 Final'!J35</f>
        <v>0</v>
      </c>
      <c r="AI35" s="288">
        <f>+K35-'Data FY23-24 Final'!K35</f>
        <v>0</v>
      </c>
      <c r="AJ35" s="288">
        <f>+L35-'Data FY23-24 Final'!L35</f>
        <v>0</v>
      </c>
      <c r="AK35" s="288">
        <f>+M35-'Data FY23-24 Final'!M35</f>
        <v>0</v>
      </c>
      <c r="AL35" s="288">
        <f>+N35-'Data FY23-24 Final'!N35</f>
        <v>0</v>
      </c>
      <c r="AM35" s="288">
        <f>+O35-'Data FY23-24 Final'!O35</f>
        <v>0</v>
      </c>
      <c r="AN35" s="288">
        <f>+P35-'Data FY23-24 Final'!P35</f>
        <v>-0.21002957675842476</v>
      </c>
      <c r="AO35" s="288">
        <f>+Q35-'Data FY23-24 Final'!Q35</f>
        <v>-0.21002957675842282</v>
      </c>
      <c r="AP35" s="288">
        <f>+R35-'Data FY23-24 Final'!R35</f>
        <v>-8.86</v>
      </c>
      <c r="AQ35" s="288">
        <f>+S35-'Data FY23-24 Final'!S35</f>
        <v>0</v>
      </c>
      <c r="AR35" s="288">
        <f>+T35-'Data FY23-24 Final'!T35</f>
        <v>0</v>
      </c>
      <c r="AS35" s="288">
        <f>+U35-'Data FY23-24 Final'!U35</f>
        <v>0</v>
      </c>
      <c r="AT35" s="288">
        <f>+V35-'Data FY23-24 Final'!V35</f>
        <v>0</v>
      </c>
      <c r="AU35" s="288">
        <f>+W35-'Data FY23-24 Final'!W35</f>
        <v>-9.0700295767584223</v>
      </c>
      <c r="AV35" s="288">
        <f>+X35-'Data FY23-24 Final'!X35</f>
        <v>0</v>
      </c>
      <c r="AW35" s="261">
        <f>+Y35-'Data FY23-24 Final'!Y35</f>
        <v>-148257.24000000022</v>
      </c>
      <c r="AX35" s="261">
        <f>+Z35-'Data FY23-24 Final'!Z35</f>
        <v>-183152.43869999982</v>
      </c>
    </row>
    <row r="36" spans="1:50" s="256" customFormat="1" ht="13" x14ac:dyDescent="0.3">
      <c r="A36" s="289" t="s">
        <v>161</v>
      </c>
      <c r="B36" s="289" t="s">
        <v>157</v>
      </c>
      <c r="C36" s="297" t="s">
        <v>162</v>
      </c>
      <c r="D36" s="378">
        <v>34091243</v>
      </c>
      <c r="E36" s="378">
        <v>0</v>
      </c>
      <c r="F36" s="378">
        <v>34091243</v>
      </c>
      <c r="G36" s="379">
        <v>2844.1</v>
      </c>
      <c r="H36" s="347">
        <v>27</v>
      </c>
      <c r="I36" s="347">
        <v>4.2119999999999997</v>
      </c>
      <c r="J36" s="353">
        <f t="shared" si="2"/>
        <v>22.788</v>
      </c>
      <c r="K36" s="287">
        <v>0</v>
      </c>
      <c r="L36" s="300">
        <v>0</v>
      </c>
      <c r="M36" s="287">
        <v>0</v>
      </c>
      <c r="N36" s="353">
        <v>0</v>
      </c>
      <c r="O36" s="354">
        <v>0</v>
      </c>
      <c r="P36" s="355">
        <f t="shared" si="7"/>
        <v>8.3426116202333825E-2</v>
      </c>
      <c r="Q36" s="360">
        <f t="shared" si="4"/>
        <v>22.871426116202333</v>
      </c>
      <c r="R36" s="299"/>
      <c r="S36" s="299"/>
      <c r="T36" s="299"/>
      <c r="U36" s="299"/>
      <c r="V36" s="299"/>
      <c r="W36" s="299">
        <f t="shared" si="5"/>
        <v>22.871426116202333</v>
      </c>
      <c r="X36" s="287">
        <v>74.701999999999998</v>
      </c>
      <c r="Y36" s="344">
        <v>2947547.71</v>
      </c>
      <c r="Z36" s="344">
        <v>2004680.2533160001</v>
      </c>
      <c r="AB36" s="261">
        <f>+D36-'Data FY23-24 Final'!D36</f>
        <v>-207292</v>
      </c>
      <c r="AC36" s="261">
        <f>+E36-'Data FY23-24 Final'!E36</f>
        <v>0</v>
      </c>
      <c r="AD36" s="261">
        <f>+F36-'Data FY23-24 Final'!F36</f>
        <v>-207292</v>
      </c>
      <c r="AE36" s="261">
        <f>+G36-'Data FY23-24 Final'!G36</f>
        <v>-2628.9</v>
      </c>
      <c r="AF36" s="288">
        <f>+H36-'Data FY23-24 Final'!H36</f>
        <v>0</v>
      </c>
      <c r="AG36" s="288">
        <f>+I36-'Data FY23-24 Final'!I36</f>
        <v>-1</v>
      </c>
      <c r="AH36" s="288">
        <f>+J36-'Data FY23-24 Final'!J36</f>
        <v>1</v>
      </c>
      <c r="AI36" s="288">
        <f>+K36-'Data FY23-24 Final'!K36</f>
        <v>0</v>
      </c>
      <c r="AJ36" s="288">
        <f>+L36-'Data FY23-24 Final'!L36</f>
        <v>0</v>
      </c>
      <c r="AK36" s="288">
        <f>+M36-'Data FY23-24 Final'!M36</f>
        <v>0</v>
      </c>
      <c r="AL36" s="288">
        <f>+N36-'Data FY23-24 Final'!N36</f>
        <v>0</v>
      </c>
      <c r="AM36" s="288">
        <f>+O36-'Data FY23-24 Final'!O36</f>
        <v>0</v>
      </c>
      <c r="AN36" s="288">
        <f>+P36-'Data FY23-24 Final'!P36</f>
        <v>-7.6573883797666178E-2</v>
      </c>
      <c r="AO36" s="288">
        <f>+Q36-'Data FY23-24 Final'!Q36</f>
        <v>0.92342611620233228</v>
      </c>
      <c r="AP36" s="288">
        <f>+R36-'Data FY23-24 Final'!R36</f>
        <v>-11.954000000000001</v>
      </c>
      <c r="AQ36" s="288">
        <f>+S36-'Data FY23-24 Final'!S36</f>
        <v>0</v>
      </c>
      <c r="AR36" s="288">
        <f>+T36-'Data FY23-24 Final'!T36</f>
        <v>0</v>
      </c>
      <c r="AS36" s="288">
        <f>+U36-'Data FY23-24 Final'!U36</f>
        <v>0</v>
      </c>
      <c r="AT36" s="288">
        <f>+V36-'Data FY23-24 Final'!V36</f>
        <v>0</v>
      </c>
      <c r="AU36" s="288">
        <f>+W36-'Data FY23-24 Final'!W36</f>
        <v>-11.030573883797668</v>
      </c>
      <c r="AV36" s="288">
        <f>+X36-'Data FY23-24 Final'!X36</f>
        <v>0</v>
      </c>
      <c r="AW36" s="261">
        <f>+Y36-'Data FY23-24 Final'!Y36</f>
        <v>-135235.31000000006</v>
      </c>
      <c r="AX36" s="261">
        <f>+Z36-'Data FY23-24 Final'!Z36</f>
        <v>-210000.35610400001</v>
      </c>
    </row>
    <row r="37" spans="1:50" s="256" customFormat="1" x14ac:dyDescent="0.25">
      <c r="A37" s="289" t="s">
        <v>163</v>
      </c>
      <c r="B37" s="289" t="s">
        <v>164</v>
      </c>
      <c r="C37" s="297" t="s">
        <v>165</v>
      </c>
      <c r="D37" s="344">
        <v>69541883</v>
      </c>
      <c r="E37" s="344">
        <v>0</v>
      </c>
      <c r="F37" s="344">
        <f t="shared" si="6"/>
        <v>69541883</v>
      </c>
      <c r="G37" s="343">
        <v>20714.47</v>
      </c>
      <c r="H37" s="347">
        <v>27</v>
      </c>
      <c r="I37" s="347">
        <v>6.7199999999999989</v>
      </c>
      <c r="J37" s="353">
        <f t="shared" si="2"/>
        <v>20.28</v>
      </c>
      <c r="K37" s="287">
        <v>0</v>
      </c>
      <c r="L37" s="300">
        <v>0</v>
      </c>
      <c r="M37" s="287">
        <v>0</v>
      </c>
      <c r="N37" s="353">
        <v>0</v>
      </c>
      <c r="O37" s="354">
        <v>0</v>
      </c>
      <c r="P37" s="355">
        <f t="shared" si="7"/>
        <v>0.29787042148398546</v>
      </c>
      <c r="Q37" s="360">
        <f t="shared" si="4"/>
        <v>20.577870421483986</v>
      </c>
      <c r="R37" s="299"/>
      <c r="S37" s="299"/>
      <c r="T37" s="299"/>
      <c r="U37" s="299"/>
      <c r="V37" s="299"/>
      <c r="W37" s="299">
        <f t="shared" si="5"/>
        <v>20.577870421483986</v>
      </c>
      <c r="X37" s="287">
        <v>46.108000000000004</v>
      </c>
      <c r="Y37" s="344">
        <v>3282580.21</v>
      </c>
      <c r="Z37" s="344">
        <v>1865702.02996</v>
      </c>
      <c r="AB37" s="261">
        <f>+D37-'Data FY23-24 Final'!D37</f>
        <v>2579881</v>
      </c>
      <c r="AC37" s="261">
        <f>+E37-'Data FY23-24 Final'!E37</f>
        <v>0</v>
      </c>
      <c r="AD37" s="261">
        <f>+F37-'Data FY23-24 Final'!F37</f>
        <v>2579881</v>
      </c>
      <c r="AE37" s="261">
        <f>+G37-'Data FY23-24 Final'!G37</f>
        <v>3505.4700000000012</v>
      </c>
      <c r="AF37" s="288">
        <f>+H37-'Data FY23-24 Final'!H37</f>
        <v>0</v>
      </c>
      <c r="AG37" s="288">
        <f>+I37-'Data FY23-24 Final'!I37</f>
        <v>-1.0000000000000009</v>
      </c>
      <c r="AH37" s="288">
        <f>+J37-'Data FY23-24 Final'!J37</f>
        <v>1</v>
      </c>
      <c r="AI37" s="288">
        <f>+K37-'Data FY23-24 Final'!K37</f>
        <v>0</v>
      </c>
      <c r="AJ37" s="288">
        <f>+L37-'Data FY23-24 Final'!L37</f>
        <v>0</v>
      </c>
      <c r="AK37" s="288">
        <f>+M37-'Data FY23-24 Final'!M37</f>
        <v>0</v>
      </c>
      <c r="AL37" s="288">
        <f>+N37-'Data FY23-24 Final'!N37</f>
        <v>0</v>
      </c>
      <c r="AM37" s="288">
        <f>+O37-'Data FY23-24 Final'!O37</f>
        <v>0</v>
      </c>
      <c r="AN37" s="288">
        <f>+P37-'Data FY23-24 Final'!P37</f>
        <v>4.0870421483985453E-2</v>
      </c>
      <c r="AO37" s="288">
        <f>+Q37-'Data FY23-24 Final'!Q37</f>
        <v>1.0408704214839872</v>
      </c>
      <c r="AP37" s="288">
        <f>+R37-'Data FY23-24 Final'!R37</f>
        <v>-6.9560000000000004</v>
      </c>
      <c r="AQ37" s="288">
        <f>+S37-'Data FY23-24 Final'!S37</f>
        <v>0</v>
      </c>
      <c r="AR37" s="288">
        <f>+T37-'Data FY23-24 Final'!T37</f>
        <v>0</v>
      </c>
      <c r="AS37" s="288">
        <f>+U37-'Data FY23-24 Final'!U37</f>
        <v>0</v>
      </c>
      <c r="AT37" s="288">
        <f>+V37-'Data FY23-24 Final'!V37</f>
        <v>0</v>
      </c>
      <c r="AU37" s="288">
        <f>+W37-'Data FY23-24 Final'!W37</f>
        <v>-5.9151295785160123</v>
      </c>
      <c r="AV37" s="288">
        <f>+X37-'Data FY23-24 Final'!X37</f>
        <v>0</v>
      </c>
      <c r="AW37" s="261">
        <f>+Y37-'Data FY23-24 Final'!Y37</f>
        <v>81253.450000000186</v>
      </c>
      <c r="AX37" s="261">
        <f>+Z37-'Data FY23-24 Final'!Z37</f>
        <v>25723.228520000121</v>
      </c>
    </row>
    <row r="38" spans="1:50" s="256" customFormat="1" x14ac:dyDescent="0.25">
      <c r="A38" s="289" t="s">
        <v>166</v>
      </c>
      <c r="B38" s="289" t="s">
        <v>164</v>
      </c>
      <c r="C38" s="297" t="s">
        <v>167</v>
      </c>
      <c r="D38" s="344">
        <v>92762705</v>
      </c>
      <c r="E38" s="344">
        <v>0</v>
      </c>
      <c r="F38" s="344">
        <f t="shared" si="6"/>
        <v>92762705</v>
      </c>
      <c r="G38" s="343">
        <v>647.15</v>
      </c>
      <c r="H38" s="347">
        <v>27</v>
      </c>
      <c r="I38" s="347">
        <v>0</v>
      </c>
      <c r="J38" s="353">
        <f t="shared" si="2"/>
        <v>27</v>
      </c>
      <c r="K38" s="287">
        <v>0</v>
      </c>
      <c r="L38" s="300">
        <v>0</v>
      </c>
      <c r="M38" s="287">
        <v>0</v>
      </c>
      <c r="N38" s="353">
        <v>0</v>
      </c>
      <c r="O38" s="354">
        <v>3.5640000000000001</v>
      </c>
      <c r="P38" s="355">
        <f t="shared" si="7"/>
        <v>6.9764028550051444E-3</v>
      </c>
      <c r="Q38" s="360">
        <f t="shared" si="4"/>
        <v>30.570976402855006</v>
      </c>
      <c r="R38" s="299"/>
      <c r="S38" s="299"/>
      <c r="T38" s="299"/>
      <c r="U38" s="299"/>
      <c r="V38" s="299"/>
      <c r="W38" s="299">
        <f t="shared" si="5"/>
        <v>30.570976402855006</v>
      </c>
      <c r="X38" s="287">
        <v>43.062000000000005</v>
      </c>
      <c r="Y38" s="344">
        <v>4081272.91</v>
      </c>
      <c r="Z38" s="344">
        <v>1489918.8962000001</v>
      </c>
      <c r="AB38" s="261">
        <f>+D38-'Data FY23-24 Final'!D38</f>
        <v>3437110</v>
      </c>
      <c r="AC38" s="261">
        <f>+E38-'Data FY23-24 Final'!E38</f>
        <v>0</v>
      </c>
      <c r="AD38" s="261">
        <f>+F38-'Data FY23-24 Final'!F38</f>
        <v>3437110</v>
      </c>
      <c r="AE38" s="261">
        <f>+G38-'Data FY23-24 Final'!G38</f>
        <v>-58307.85</v>
      </c>
      <c r="AF38" s="288">
        <f>+H38-'Data FY23-24 Final'!H38</f>
        <v>0</v>
      </c>
      <c r="AG38" s="288">
        <f>+I38-'Data FY23-24 Final'!I38</f>
        <v>0</v>
      </c>
      <c r="AH38" s="288">
        <f>+J38-'Data FY23-24 Final'!J38</f>
        <v>0</v>
      </c>
      <c r="AI38" s="288">
        <f>+K38-'Data FY23-24 Final'!K38</f>
        <v>0</v>
      </c>
      <c r="AJ38" s="288">
        <f>+L38-'Data FY23-24 Final'!L38</f>
        <v>0</v>
      </c>
      <c r="AK38" s="288">
        <f>+M38-'Data FY23-24 Final'!M38</f>
        <v>0</v>
      </c>
      <c r="AL38" s="288">
        <f>+N38-'Data FY23-24 Final'!N38</f>
        <v>0</v>
      </c>
      <c r="AM38" s="288">
        <f>+O38-'Data FY23-24 Final'!O38</f>
        <v>-1.5359999999999996</v>
      </c>
      <c r="AN38" s="288">
        <f>+P38-'Data FY23-24 Final'!P38</f>
        <v>-0.65302359714499492</v>
      </c>
      <c r="AO38" s="288">
        <f>+Q38-'Data FY23-24 Final'!Q38</f>
        <v>-2.1890235971449918</v>
      </c>
      <c r="AP38" s="288">
        <f>+R38-'Data FY23-24 Final'!R38</f>
        <v>-11.475</v>
      </c>
      <c r="AQ38" s="288">
        <f>+S38-'Data FY23-24 Final'!S38</f>
        <v>0</v>
      </c>
      <c r="AR38" s="288">
        <f>+T38-'Data FY23-24 Final'!T38</f>
        <v>0</v>
      </c>
      <c r="AS38" s="288">
        <f>+U38-'Data FY23-24 Final'!U38</f>
        <v>0</v>
      </c>
      <c r="AT38" s="288">
        <f>+V38-'Data FY23-24 Final'!V38</f>
        <v>0</v>
      </c>
      <c r="AU38" s="288">
        <f>+W38-'Data FY23-24 Final'!W38</f>
        <v>-13.664023597144993</v>
      </c>
      <c r="AV38" s="288">
        <f>+X38-'Data FY23-24 Final'!X38</f>
        <v>0</v>
      </c>
      <c r="AW38" s="261">
        <f>+Y38-'Data FY23-24 Final'!Y38</f>
        <v>25263.010000000242</v>
      </c>
      <c r="AX38" s="261">
        <f>+Z38-'Data FY23-24 Final'!Z38</f>
        <v>-61559.428799999878</v>
      </c>
    </row>
    <row r="39" spans="1:50" s="256" customFormat="1" ht="13" x14ac:dyDescent="0.3">
      <c r="A39" s="289" t="s">
        <v>168</v>
      </c>
      <c r="B39" s="289" t="s">
        <v>169</v>
      </c>
      <c r="C39" s="297" t="s">
        <v>169</v>
      </c>
      <c r="D39" s="378">
        <v>59724505</v>
      </c>
      <c r="E39" s="378">
        <v>0</v>
      </c>
      <c r="F39" s="378">
        <v>59724505</v>
      </c>
      <c r="G39" s="379">
        <v>0</v>
      </c>
      <c r="H39" s="347">
        <v>27</v>
      </c>
      <c r="I39" s="347">
        <v>6.5509999999999984</v>
      </c>
      <c r="J39" s="353">
        <f t="shared" si="2"/>
        <v>20.449000000000002</v>
      </c>
      <c r="K39" s="287">
        <v>0</v>
      </c>
      <c r="L39" s="300">
        <v>0</v>
      </c>
      <c r="M39" s="287">
        <v>0</v>
      </c>
      <c r="N39" s="353">
        <v>0</v>
      </c>
      <c r="O39" s="354">
        <v>0</v>
      </c>
      <c r="P39" s="355">
        <f t="shared" si="7"/>
        <v>0</v>
      </c>
      <c r="Q39" s="360">
        <f t="shared" si="4"/>
        <v>20.449000000000002</v>
      </c>
      <c r="R39" s="299"/>
      <c r="S39" s="299"/>
      <c r="T39" s="299"/>
      <c r="U39" s="299"/>
      <c r="V39" s="299"/>
      <c r="W39" s="299">
        <f t="shared" si="5"/>
        <v>20.449000000000002</v>
      </c>
      <c r="X39" s="287">
        <v>80.919000000000011</v>
      </c>
      <c r="Y39" s="344">
        <v>4973442.96</v>
      </c>
      <c r="Z39" s="344">
        <v>3695031.0248409999</v>
      </c>
      <c r="AB39" s="261">
        <f>+D39-'Data FY23-24 Final'!D39</f>
        <v>2077817</v>
      </c>
      <c r="AC39" s="261">
        <f>+E39-'Data FY23-24 Final'!E39</f>
        <v>0</v>
      </c>
      <c r="AD39" s="261">
        <f>+F39-'Data FY23-24 Final'!F39</f>
        <v>2077817</v>
      </c>
      <c r="AE39" s="261">
        <f>+G39-'Data FY23-24 Final'!G39</f>
        <v>0</v>
      </c>
      <c r="AF39" s="288">
        <f>+H39-'Data FY23-24 Final'!H39</f>
        <v>0</v>
      </c>
      <c r="AG39" s="288">
        <f>+I39-'Data FY23-24 Final'!I39</f>
        <v>-1.0000000000000018</v>
      </c>
      <c r="AH39" s="288">
        <f>+J39-'Data FY23-24 Final'!J39</f>
        <v>1</v>
      </c>
      <c r="AI39" s="288">
        <f>+K39-'Data FY23-24 Final'!K39</f>
        <v>0</v>
      </c>
      <c r="AJ39" s="288">
        <f>+L39-'Data FY23-24 Final'!L39</f>
        <v>0</v>
      </c>
      <c r="AK39" s="288">
        <f>+M39-'Data FY23-24 Final'!M39</f>
        <v>0</v>
      </c>
      <c r="AL39" s="288">
        <f>+N39-'Data FY23-24 Final'!N39</f>
        <v>0</v>
      </c>
      <c r="AM39" s="288">
        <f>+O39-'Data FY23-24 Final'!O39</f>
        <v>-6</v>
      </c>
      <c r="AN39" s="288">
        <f>+P39-'Data FY23-24 Final'!P39</f>
        <v>0</v>
      </c>
      <c r="AO39" s="288">
        <f>+Q39-'Data FY23-24 Final'!Q39</f>
        <v>-5</v>
      </c>
      <c r="AP39" s="288">
        <f>+R39-'Data FY23-24 Final'!R39</f>
        <v>0</v>
      </c>
      <c r="AQ39" s="288">
        <f>+S39-'Data FY23-24 Final'!S39</f>
        <v>0</v>
      </c>
      <c r="AR39" s="288">
        <f>+T39-'Data FY23-24 Final'!T39</f>
        <v>0</v>
      </c>
      <c r="AS39" s="288">
        <f>+U39-'Data FY23-24 Final'!U39</f>
        <v>0</v>
      </c>
      <c r="AT39" s="288">
        <f>+V39-'Data FY23-24 Final'!V39</f>
        <v>0</v>
      </c>
      <c r="AU39" s="288">
        <f>+W39-'Data FY23-24 Final'!W39</f>
        <v>-5</v>
      </c>
      <c r="AV39" s="288">
        <f>+X39-'Data FY23-24 Final'!X39</f>
        <v>0</v>
      </c>
      <c r="AW39" s="261">
        <f>+Y39-'Data FY23-24 Final'!Y39</f>
        <v>55088.990000000224</v>
      </c>
      <c r="AX39" s="261">
        <f>+Z39-'Data FY23-24 Final'!Z39</f>
        <v>6601.8997530001216</v>
      </c>
    </row>
    <row r="40" spans="1:50" s="256" customFormat="1" ht="13" x14ac:dyDescent="0.3">
      <c r="A40" s="289" t="s">
        <v>170</v>
      </c>
      <c r="B40" s="289" t="s">
        <v>171</v>
      </c>
      <c r="C40" s="289" t="s">
        <v>172</v>
      </c>
      <c r="D40" s="378">
        <v>154826200</v>
      </c>
      <c r="E40" s="378">
        <v>0</v>
      </c>
      <c r="F40" s="378">
        <v>154826200</v>
      </c>
      <c r="G40" s="379">
        <v>152.04</v>
      </c>
      <c r="H40" s="347">
        <v>27</v>
      </c>
      <c r="I40" s="347">
        <v>9.7000000000001307E-2</v>
      </c>
      <c r="J40" s="361">
        <f>+H40-I40-K40-L40</f>
        <v>26.753999999999998</v>
      </c>
      <c r="K40" s="362">
        <v>0.14899999999999999</v>
      </c>
      <c r="L40" s="363">
        <v>0</v>
      </c>
      <c r="M40" s="287">
        <v>0</v>
      </c>
      <c r="N40" s="353">
        <v>0</v>
      </c>
      <c r="O40" s="354">
        <v>0</v>
      </c>
      <c r="P40" s="355">
        <f t="shared" si="7"/>
        <v>9.8200433776712208E-4</v>
      </c>
      <c r="Q40" s="360">
        <f t="shared" si="4"/>
        <v>26.903982004337767</v>
      </c>
      <c r="R40" s="299"/>
      <c r="S40" s="299"/>
      <c r="T40" s="299"/>
      <c r="U40" s="299"/>
      <c r="V40" s="299"/>
      <c r="W40" s="299">
        <f t="shared" si="5"/>
        <v>26.903982004337767</v>
      </c>
      <c r="X40" s="287">
        <v>25.753999999999998</v>
      </c>
      <c r="Y40" s="344">
        <v>4549623.99</v>
      </c>
      <c r="Z40" s="344">
        <v>0</v>
      </c>
      <c r="AB40" s="261">
        <f>+D40-'Data FY23-24 Final'!D40</f>
        <v>5550756</v>
      </c>
      <c r="AC40" s="261">
        <f>+E40-'Data FY23-24 Final'!E40</f>
        <v>0</v>
      </c>
      <c r="AD40" s="261">
        <f>+F40-'Data FY23-24 Final'!F40</f>
        <v>5550756</v>
      </c>
      <c r="AE40" s="261">
        <f>+G40-'Data FY23-24 Final'!G40</f>
        <v>3.039999999999992</v>
      </c>
      <c r="AF40" s="288">
        <f>+H40-'Data FY23-24 Final'!H40</f>
        <v>0</v>
      </c>
      <c r="AG40" s="288">
        <f>+I40-'Data FY23-24 Final'!I40</f>
        <v>-0.99999999999999867</v>
      </c>
      <c r="AH40" s="288">
        <f>+J40-'Data FY23-24 Final'!J40</f>
        <v>0.85099999999999909</v>
      </c>
      <c r="AI40" s="288">
        <f>+K40-'Data FY23-24 Final'!K40</f>
        <v>0.14899999999999999</v>
      </c>
      <c r="AJ40" s="288">
        <f>+L40-'Data FY23-24 Final'!L40</f>
        <v>0</v>
      </c>
      <c r="AK40" s="288">
        <f>+M40-'Data FY23-24 Final'!M40</f>
        <v>0</v>
      </c>
      <c r="AL40" s="288">
        <f>+N40-'Data FY23-24 Final'!N40</f>
        <v>0</v>
      </c>
      <c r="AM40" s="288">
        <f>+O40-'Data FY23-24 Final'!O40</f>
        <v>0</v>
      </c>
      <c r="AN40" s="288">
        <f>+P40-'Data FY23-24 Final'!P40</f>
        <v>-1.7995662232877943E-5</v>
      </c>
      <c r="AO40" s="288">
        <f>+Q40-'Data FY23-24 Final'!Q40</f>
        <v>0.99998200433776674</v>
      </c>
      <c r="AP40" s="288">
        <f>+R40-'Data FY23-24 Final'!R40</f>
        <v>-2.0099999999999998</v>
      </c>
      <c r="AQ40" s="288">
        <f>+S40-'Data FY23-24 Final'!S40</f>
        <v>0</v>
      </c>
      <c r="AR40" s="288">
        <f>+T40-'Data FY23-24 Final'!T40</f>
        <v>0</v>
      </c>
      <c r="AS40" s="288">
        <f>+U40-'Data FY23-24 Final'!U40</f>
        <v>0</v>
      </c>
      <c r="AT40" s="288">
        <f>+V40-'Data FY23-24 Final'!V40</f>
        <v>0</v>
      </c>
      <c r="AU40" s="288">
        <f>+W40-'Data FY23-24 Final'!W40</f>
        <v>-1.0100179956622348</v>
      </c>
      <c r="AV40" s="288">
        <f>+X40-'Data FY23-24 Final'!X40</f>
        <v>0</v>
      </c>
      <c r="AW40" s="261">
        <f>+Y40-'Data FY23-24 Final'!Y40</f>
        <v>25031.799999999814</v>
      </c>
      <c r="AX40" s="261">
        <f>+Z40-'Data FY23-24 Final'!Z40</f>
        <v>-267685.0140680006</v>
      </c>
    </row>
    <row r="41" spans="1:50" s="256" customFormat="1" ht="13" x14ac:dyDescent="0.3">
      <c r="A41" s="289" t="s">
        <v>173</v>
      </c>
      <c r="B41" s="289" t="s">
        <v>174</v>
      </c>
      <c r="C41" s="289" t="s">
        <v>174</v>
      </c>
      <c r="D41" s="378">
        <v>499472481</v>
      </c>
      <c r="E41" s="378">
        <v>751870</v>
      </c>
      <c r="F41" s="378">
        <v>498720641</v>
      </c>
      <c r="G41" s="379">
        <v>46428.93</v>
      </c>
      <c r="H41" s="347">
        <v>27</v>
      </c>
      <c r="I41" s="347">
        <v>0.34399999999999764</v>
      </c>
      <c r="J41" s="353">
        <f t="shared" ref="J41:J73" si="8">+H41-I41</f>
        <v>26.656000000000002</v>
      </c>
      <c r="K41" s="287">
        <v>0</v>
      </c>
      <c r="L41" s="300">
        <v>0</v>
      </c>
      <c r="M41" s="287">
        <v>0</v>
      </c>
      <c r="N41" s="353">
        <v>0</v>
      </c>
      <c r="O41" s="354">
        <v>0</v>
      </c>
      <c r="P41" s="355">
        <f t="shared" si="7"/>
        <v>9.3096066581290757E-2</v>
      </c>
      <c r="Q41" s="360">
        <f t="shared" si="4"/>
        <v>26.749096066581291</v>
      </c>
      <c r="R41" s="299"/>
      <c r="S41" s="299"/>
      <c r="T41" s="299"/>
      <c r="U41" s="299"/>
      <c r="V41" s="299"/>
      <c r="W41" s="299">
        <f t="shared" si="5"/>
        <v>26.749096066581291</v>
      </c>
      <c r="X41" s="287">
        <v>83.00200000000001</v>
      </c>
      <c r="Y41" s="344">
        <v>46728695.710000001</v>
      </c>
      <c r="Z41" s="344">
        <v>31209029.999668002</v>
      </c>
      <c r="AB41" s="261">
        <f>+D41-'Data FY23-24 Final'!D41</f>
        <v>-7115469</v>
      </c>
      <c r="AC41" s="261">
        <f>+E41-'Data FY23-24 Final'!E41</f>
        <v>96102</v>
      </c>
      <c r="AD41" s="261">
        <f>+F41-'Data FY23-24 Final'!F41</f>
        <v>-7211541</v>
      </c>
      <c r="AE41" s="261">
        <f>+G41-'Data FY23-24 Final'!G41</f>
        <v>28367.93</v>
      </c>
      <c r="AF41" s="288">
        <f>+H41-'Data FY23-24 Final'!H41</f>
        <v>0</v>
      </c>
      <c r="AG41" s="288">
        <f>+I41-'Data FY23-24 Final'!I41</f>
        <v>-1.0000000000000024</v>
      </c>
      <c r="AH41" s="288">
        <f>+J41-'Data FY23-24 Final'!J41</f>
        <v>1.0000000000000036</v>
      </c>
      <c r="AI41" s="288">
        <f>+K41-'Data FY23-24 Final'!K41</f>
        <v>0</v>
      </c>
      <c r="AJ41" s="288">
        <f>+L41-'Data FY23-24 Final'!L41</f>
        <v>0</v>
      </c>
      <c r="AK41" s="288">
        <f>+M41-'Data FY23-24 Final'!M41</f>
        <v>0</v>
      </c>
      <c r="AL41" s="288">
        <f>+N41-'Data FY23-24 Final'!N41</f>
        <v>0</v>
      </c>
      <c r="AM41" s="288">
        <f>+O41-'Data FY23-24 Final'!O41</f>
        <v>0</v>
      </c>
      <c r="AN41" s="288">
        <f>+P41-'Data FY23-24 Final'!P41</f>
        <v>5.7096066581290759E-2</v>
      </c>
      <c r="AO41" s="288">
        <f>+Q41-'Data FY23-24 Final'!Q41</f>
        <v>1.0570960665812912</v>
      </c>
      <c r="AP41" s="288">
        <f>+R41-'Data FY23-24 Final'!R41</f>
        <v>-3.9239999999999999</v>
      </c>
      <c r="AQ41" s="288">
        <f>+S41-'Data FY23-24 Final'!S41</f>
        <v>0</v>
      </c>
      <c r="AR41" s="288">
        <f>+T41-'Data FY23-24 Final'!T41</f>
        <v>0</v>
      </c>
      <c r="AS41" s="288">
        <f>+U41-'Data FY23-24 Final'!U41</f>
        <v>0</v>
      </c>
      <c r="AT41" s="288">
        <f>+V41-'Data FY23-24 Final'!V41</f>
        <v>0</v>
      </c>
      <c r="AU41" s="288">
        <f>+W41-'Data FY23-24 Final'!W41</f>
        <v>-2.8669039334187083</v>
      </c>
      <c r="AV41" s="288">
        <f>+X41-'Data FY23-24 Final'!X41</f>
        <v>0</v>
      </c>
      <c r="AW41" s="261">
        <f>+Y41-'Data FY23-24 Final'!Y41</f>
        <v>184779.5700000003</v>
      </c>
      <c r="AX41" s="261">
        <f>+Z41-'Data FY23-24 Final'!Z41</f>
        <v>-774016.65893999487</v>
      </c>
    </row>
    <row r="42" spans="1:50" s="256" customFormat="1" ht="13" x14ac:dyDescent="0.3">
      <c r="A42" s="289" t="s">
        <v>175</v>
      </c>
      <c r="B42" s="289" t="s">
        <v>176</v>
      </c>
      <c r="C42" s="297" t="s">
        <v>176</v>
      </c>
      <c r="D42" s="378">
        <v>27089458450</v>
      </c>
      <c r="E42" s="378">
        <v>1762599653</v>
      </c>
      <c r="F42" s="378">
        <v>25326858797</v>
      </c>
      <c r="G42" s="379">
        <v>168911.31200000001</v>
      </c>
      <c r="H42" s="347">
        <v>27</v>
      </c>
      <c r="I42" s="347">
        <v>0</v>
      </c>
      <c r="J42" s="353">
        <f t="shared" si="8"/>
        <v>27</v>
      </c>
      <c r="K42" s="287">
        <v>0</v>
      </c>
      <c r="L42" s="300">
        <v>0</v>
      </c>
      <c r="M42" s="287">
        <v>0</v>
      </c>
      <c r="N42" s="353">
        <v>0</v>
      </c>
      <c r="O42" s="354">
        <v>4.9790000000000001</v>
      </c>
      <c r="P42" s="355">
        <f t="shared" si="7"/>
        <v>6.6692562766610354E-3</v>
      </c>
      <c r="Q42" s="360">
        <f t="shared" si="4"/>
        <v>31.985669256276662</v>
      </c>
      <c r="R42" s="299"/>
      <c r="S42" s="299"/>
      <c r="T42" s="299"/>
      <c r="U42" s="301"/>
      <c r="V42" s="301"/>
      <c r="W42" s="299">
        <f t="shared" si="5"/>
        <v>31.985669256276662</v>
      </c>
      <c r="X42" s="287">
        <v>34.933</v>
      </c>
      <c r="Y42" s="344">
        <v>947068759.66999996</v>
      </c>
      <c r="Z42" s="344">
        <v>207036967.78489998</v>
      </c>
      <c r="AB42" s="261">
        <f>+D42-'Data FY23-24 Final'!D42</f>
        <v>136906130</v>
      </c>
      <c r="AC42" s="261">
        <f>+E42-'Data FY23-24 Final'!E42</f>
        <v>-10579756</v>
      </c>
      <c r="AD42" s="261">
        <f>+F42-'Data FY23-24 Final'!F42</f>
        <v>147485886</v>
      </c>
      <c r="AE42" s="261">
        <f>+G42-'Data FY23-24 Final'!G42</f>
        <v>-10531513.687999999</v>
      </c>
      <c r="AF42" s="288">
        <f>+H42-'Data FY23-24 Final'!H42</f>
        <v>0</v>
      </c>
      <c r="AG42" s="288">
        <f>+I42-'Data FY23-24 Final'!I42</f>
        <v>0</v>
      </c>
      <c r="AH42" s="288">
        <f>+J42-'Data FY23-24 Final'!J42</f>
        <v>0</v>
      </c>
      <c r="AI42" s="288">
        <f>+K42-'Data FY23-24 Final'!K42</f>
        <v>0</v>
      </c>
      <c r="AJ42" s="288">
        <f>+L42-'Data FY23-24 Final'!L42</f>
        <v>0</v>
      </c>
      <c r="AK42" s="288">
        <f>+M42-'Data FY23-24 Final'!M42</f>
        <v>0</v>
      </c>
      <c r="AL42" s="288">
        <f>+N42-'Data FY23-24 Final'!N42</f>
        <v>0</v>
      </c>
      <c r="AM42" s="288">
        <f>+O42-'Data FY23-24 Final'!O42</f>
        <v>-5.2909999999999995</v>
      </c>
      <c r="AN42" s="288">
        <f>+P42-'Data FY23-24 Final'!P42</f>
        <v>-0.41833074372333895</v>
      </c>
      <c r="AO42" s="288">
        <f>+Q42-'Data FY23-24 Final'!Q42</f>
        <v>-5.7093307437233385</v>
      </c>
      <c r="AP42" s="288">
        <f>+R42-'Data FY23-24 Final'!R42</f>
        <v>-9.843</v>
      </c>
      <c r="AQ42" s="288">
        <f>+S42-'Data FY23-24 Final'!S42</f>
        <v>0</v>
      </c>
      <c r="AR42" s="288">
        <f>+T42-'Data FY23-24 Final'!T42</f>
        <v>-3.173</v>
      </c>
      <c r="AS42" s="288">
        <f>+U42-'Data FY23-24 Final'!U42</f>
        <v>0</v>
      </c>
      <c r="AT42" s="288">
        <f>+V42-'Data FY23-24 Final'!V42</f>
        <v>0</v>
      </c>
      <c r="AU42" s="288">
        <f>+W42-'Data FY23-24 Final'!W42</f>
        <v>-18.725330743723337</v>
      </c>
      <c r="AV42" s="288">
        <f>+X42-'Data FY23-24 Final'!X42</f>
        <v>0</v>
      </c>
      <c r="AW42" s="261">
        <f>+Y42-'Data FY23-24 Final'!Y42</f>
        <v>15533479.9799999</v>
      </c>
      <c r="AX42" s="261">
        <f>+Z42-'Data FY23-24 Final'!Z42</f>
        <v>-9119252.818100065</v>
      </c>
    </row>
    <row r="43" spans="1:50" s="256" customFormat="1" x14ac:dyDescent="0.25">
      <c r="A43" s="289" t="s">
        <v>177</v>
      </c>
      <c r="B43" s="289" t="s">
        <v>178</v>
      </c>
      <c r="C43" s="297" t="s">
        <v>178</v>
      </c>
      <c r="D43" s="344">
        <v>117639381</v>
      </c>
      <c r="E43" s="344">
        <v>0</v>
      </c>
      <c r="F43" s="344">
        <f t="shared" si="6"/>
        <v>117639381</v>
      </c>
      <c r="G43" s="343">
        <v>2110.2600000000002</v>
      </c>
      <c r="H43" s="347">
        <v>18.684999999999999</v>
      </c>
      <c r="I43" s="347">
        <v>0</v>
      </c>
      <c r="J43" s="353">
        <f t="shared" si="8"/>
        <v>18.684999999999999</v>
      </c>
      <c r="K43" s="287">
        <v>0</v>
      </c>
      <c r="L43" s="300">
        <v>0</v>
      </c>
      <c r="M43" s="287">
        <v>0</v>
      </c>
      <c r="N43" s="353">
        <v>0</v>
      </c>
      <c r="O43" s="354">
        <v>0</v>
      </c>
      <c r="P43" s="355">
        <f t="shared" si="7"/>
        <v>1.7938380685631118E-2</v>
      </c>
      <c r="Q43" s="360">
        <f t="shared" si="4"/>
        <v>18.70293838068563</v>
      </c>
      <c r="R43" s="299"/>
      <c r="S43" s="299"/>
      <c r="T43" s="299"/>
      <c r="U43" s="299"/>
      <c r="V43" s="299"/>
      <c r="W43" s="299">
        <f t="shared" si="5"/>
        <v>18.70293838068563</v>
      </c>
      <c r="X43" s="287">
        <v>33.027999999999999</v>
      </c>
      <c r="Y43" s="344">
        <v>3997957.9</v>
      </c>
      <c r="Z43" s="344">
        <v>1702098.6997209999</v>
      </c>
      <c r="AB43" s="261">
        <f>+D43-'Data FY23-24 Final'!D43</f>
        <v>3718892</v>
      </c>
      <c r="AC43" s="261">
        <f>+E43-'Data FY23-24 Final'!E43</f>
        <v>0</v>
      </c>
      <c r="AD43" s="261">
        <f>+F43-'Data FY23-24 Final'!F43</f>
        <v>3718892</v>
      </c>
      <c r="AE43" s="261">
        <f>+G43-'Data FY23-24 Final'!G43</f>
        <v>0.26000000000021828</v>
      </c>
      <c r="AF43" s="288">
        <f>+H43-'Data FY23-24 Final'!H43</f>
        <v>0</v>
      </c>
      <c r="AG43" s="288">
        <f>+I43-'Data FY23-24 Final'!I43</f>
        <v>-0.126</v>
      </c>
      <c r="AH43" s="288">
        <f>+J43-'Data FY23-24 Final'!J43</f>
        <v>0.12599999999999767</v>
      </c>
      <c r="AI43" s="288">
        <f>+K43-'Data FY23-24 Final'!K43</f>
        <v>0</v>
      </c>
      <c r="AJ43" s="288">
        <f>+L43-'Data FY23-24 Final'!L43</f>
        <v>0</v>
      </c>
      <c r="AK43" s="288">
        <f>+M43-'Data FY23-24 Final'!M43</f>
        <v>0</v>
      </c>
      <c r="AL43" s="288">
        <f>+N43-'Data FY23-24 Final'!N43</f>
        <v>0</v>
      </c>
      <c r="AM43" s="288">
        <f>+O43-'Data FY23-24 Final'!O43</f>
        <v>-3</v>
      </c>
      <c r="AN43" s="288">
        <f>+P43-'Data FY23-24 Final'!P43</f>
        <v>-1.0616193143688814E-3</v>
      </c>
      <c r="AO43" s="288">
        <f>+Q43-'Data FY23-24 Final'!Q43</f>
        <v>-2.8750616193143692</v>
      </c>
      <c r="AP43" s="288">
        <f>+R43-'Data FY23-24 Final'!R43</f>
        <v>-7.593</v>
      </c>
      <c r="AQ43" s="288">
        <f>+S43-'Data FY23-24 Final'!S43</f>
        <v>0</v>
      </c>
      <c r="AR43" s="288">
        <f>+T43-'Data FY23-24 Final'!T43</f>
        <v>0</v>
      </c>
      <c r="AS43" s="288">
        <f>+U43-'Data FY23-24 Final'!U43</f>
        <v>0</v>
      </c>
      <c r="AT43" s="288">
        <f>+V43-'Data FY23-24 Final'!V43</f>
        <v>0</v>
      </c>
      <c r="AU43" s="288">
        <f>+W43-'Data FY23-24 Final'!W43</f>
        <v>-10.468061619314369</v>
      </c>
      <c r="AV43" s="288">
        <f>+X43-'Data FY23-24 Final'!X43</f>
        <v>0</v>
      </c>
      <c r="AW43" s="261">
        <f>+Y43-'Data FY23-24 Final'!Y43</f>
        <v>104655.33999999985</v>
      </c>
      <c r="AX43" s="261">
        <f>+Z43-'Data FY23-24 Final'!Z43</f>
        <v>14882.255071999971</v>
      </c>
    </row>
    <row r="44" spans="1:50" s="256" customFormat="1" x14ac:dyDescent="0.25">
      <c r="A44" s="289" t="s">
        <v>179</v>
      </c>
      <c r="B44" s="289" t="s">
        <v>180</v>
      </c>
      <c r="C44" s="297" t="s">
        <v>180</v>
      </c>
      <c r="D44" s="344">
        <v>10899201184</v>
      </c>
      <c r="E44" s="344">
        <v>98982938</v>
      </c>
      <c r="F44" s="344">
        <f t="shared" si="6"/>
        <v>10800218246</v>
      </c>
      <c r="G44" s="343">
        <v>2535298.58</v>
      </c>
      <c r="H44" s="347">
        <v>27</v>
      </c>
      <c r="I44" s="347">
        <v>0</v>
      </c>
      <c r="J44" s="353">
        <f t="shared" si="8"/>
        <v>27</v>
      </c>
      <c r="K44" s="287">
        <v>0</v>
      </c>
      <c r="L44" s="300">
        <v>0</v>
      </c>
      <c r="M44" s="287">
        <v>0</v>
      </c>
      <c r="N44" s="353">
        <v>0</v>
      </c>
      <c r="O44" s="354">
        <v>6.8250000000000002</v>
      </c>
      <c r="P44" s="355">
        <f t="shared" si="7"/>
        <v>0.23474512479773088</v>
      </c>
      <c r="Q44" s="360">
        <f t="shared" si="4"/>
        <v>34.059745124797736</v>
      </c>
      <c r="R44" s="299"/>
      <c r="S44" s="299"/>
      <c r="T44" s="299"/>
      <c r="U44" s="299"/>
      <c r="V44" s="299"/>
      <c r="W44" s="299">
        <f t="shared" si="5"/>
        <v>34.059745124797736</v>
      </c>
      <c r="X44" s="287">
        <v>59.541999999999994</v>
      </c>
      <c r="Y44" s="344">
        <v>662597804.73000002</v>
      </c>
      <c r="Z44" s="344">
        <v>351458425.42320001</v>
      </c>
      <c r="AB44" s="261">
        <f>+D44-'Data FY23-24 Final'!D44</f>
        <v>439703289</v>
      </c>
      <c r="AC44" s="261">
        <f>+E44-'Data FY23-24 Final'!E44</f>
        <v>472367</v>
      </c>
      <c r="AD44" s="261">
        <f>+F44-'Data FY23-24 Final'!F44</f>
        <v>439230922</v>
      </c>
      <c r="AE44" s="261">
        <f>+G44-'Data FY23-24 Final'!G44</f>
        <v>0</v>
      </c>
      <c r="AF44" s="288">
        <f>+H44-'Data FY23-24 Final'!H44</f>
        <v>0</v>
      </c>
      <c r="AG44" s="288">
        <f>+I44-'Data FY23-24 Final'!I44</f>
        <v>0</v>
      </c>
      <c r="AH44" s="288">
        <f>+J44-'Data FY23-24 Final'!J44</f>
        <v>0</v>
      </c>
      <c r="AI44" s="288">
        <f>+K44-'Data FY23-24 Final'!K44</f>
        <v>0</v>
      </c>
      <c r="AJ44" s="288">
        <f>+L44-'Data FY23-24 Final'!L44</f>
        <v>0</v>
      </c>
      <c r="AK44" s="288">
        <f>+M44-'Data FY23-24 Final'!M44</f>
        <v>0</v>
      </c>
      <c r="AL44" s="288">
        <f>+N44-'Data FY23-24 Final'!N44</f>
        <v>0</v>
      </c>
      <c r="AM44" s="288">
        <f>+O44-'Data FY23-24 Final'!O44</f>
        <v>-6.6599999999999993</v>
      </c>
      <c r="AN44" s="288">
        <f>+P44-'Data FY23-24 Final'!P44</f>
        <v>-1.0254875202269115E-2</v>
      </c>
      <c r="AO44" s="288">
        <f>+Q44-'Data FY23-24 Final'!Q44</f>
        <v>-6.6702548752022608</v>
      </c>
      <c r="AP44" s="288">
        <f>+R44-'Data FY23-24 Final'!R44</f>
        <v>-5.2039999999999997</v>
      </c>
      <c r="AQ44" s="288">
        <f>+S44-'Data FY23-24 Final'!S44</f>
        <v>0</v>
      </c>
      <c r="AR44" s="288">
        <f>+T44-'Data FY23-24 Final'!T44</f>
        <v>0</v>
      </c>
      <c r="AS44" s="288">
        <f>+U44-'Data FY23-24 Final'!U44</f>
        <v>0</v>
      </c>
      <c r="AT44" s="288">
        <f>+V44-'Data FY23-24 Final'!V44</f>
        <v>0</v>
      </c>
      <c r="AU44" s="288">
        <f>+W44-'Data FY23-24 Final'!W44</f>
        <v>-11.874254875202261</v>
      </c>
      <c r="AV44" s="288">
        <f>+X44-'Data FY23-24 Final'!X44</f>
        <v>0</v>
      </c>
      <c r="AW44" s="261">
        <f>+Y44-'Data FY23-24 Final'!Y44</f>
        <v>30290416.567999959</v>
      </c>
      <c r="AX44" s="261">
        <f>+Z44-'Data FY23-24 Final'!Z44</f>
        <v>19522604.229200065</v>
      </c>
    </row>
    <row r="45" spans="1:50" s="256" customFormat="1" x14ac:dyDescent="0.25">
      <c r="A45" s="289" t="s">
        <v>181</v>
      </c>
      <c r="B45" s="289" t="s">
        <v>182</v>
      </c>
      <c r="C45" s="297" t="s">
        <v>182</v>
      </c>
      <c r="D45" s="344">
        <v>4875054640</v>
      </c>
      <c r="E45" s="344">
        <v>185282360</v>
      </c>
      <c r="F45" s="344">
        <f t="shared" si="6"/>
        <v>4689772280</v>
      </c>
      <c r="G45" s="343">
        <v>129868.81</v>
      </c>
      <c r="H45" s="347">
        <v>12.138</v>
      </c>
      <c r="I45" s="347">
        <v>0</v>
      </c>
      <c r="J45" s="353">
        <f t="shared" si="8"/>
        <v>12.138</v>
      </c>
      <c r="K45" s="287">
        <v>0</v>
      </c>
      <c r="L45" s="300">
        <v>0</v>
      </c>
      <c r="M45" s="287">
        <v>0.45100000000000001</v>
      </c>
      <c r="N45" s="353">
        <v>0</v>
      </c>
      <c r="O45" s="354">
        <v>1.268</v>
      </c>
      <c r="P45" s="355">
        <f t="shared" si="7"/>
        <v>2.7691922389033355E-2</v>
      </c>
      <c r="Q45" s="360">
        <f t="shared" si="4"/>
        <v>13.884691922389035</v>
      </c>
      <c r="R45" s="299"/>
      <c r="S45" s="299"/>
      <c r="T45" s="299"/>
      <c r="U45" s="299"/>
      <c r="V45" s="299"/>
      <c r="W45" s="299">
        <f t="shared" si="5"/>
        <v>13.884691922389035</v>
      </c>
      <c r="X45" s="287">
        <v>15.615</v>
      </c>
      <c r="Y45" s="344">
        <v>75670276.670000002</v>
      </c>
      <c r="Z45" s="344">
        <v>16305760.159860004</v>
      </c>
      <c r="AB45" s="261">
        <f>+D45-'Data FY23-24 Final'!D45</f>
        <v>112346200</v>
      </c>
      <c r="AC45" s="261">
        <f>+E45-'Data FY23-24 Final'!E45</f>
        <v>2654130</v>
      </c>
      <c r="AD45" s="261">
        <f>+F45-'Data FY23-24 Final'!F45</f>
        <v>109692070</v>
      </c>
      <c r="AE45" s="261">
        <f>+G45-'Data FY23-24 Final'!G45</f>
        <v>0</v>
      </c>
      <c r="AF45" s="288">
        <f>+H45-'Data FY23-24 Final'!H45</f>
        <v>0</v>
      </c>
      <c r="AG45" s="288">
        <f>+I45-'Data FY23-24 Final'!I45</f>
        <v>0</v>
      </c>
      <c r="AH45" s="288">
        <f>+J45-'Data FY23-24 Final'!J45</f>
        <v>0</v>
      </c>
      <c r="AI45" s="288">
        <f>+K45-'Data FY23-24 Final'!K45</f>
        <v>0</v>
      </c>
      <c r="AJ45" s="288">
        <f>+L45-'Data FY23-24 Final'!L45</f>
        <v>0</v>
      </c>
      <c r="AK45" s="288">
        <f>+M45-'Data FY23-24 Final'!M45</f>
        <v>-1.100000000000001E-2</v>
      </c>
      <c r="AL45" s="288">
        <f>+N45-'Data FY23-24 Final'!N45</f>
        <v>0</v>
      </c>
      <c r="AM45" s="288">
        <f>+O45-'Data FY23-24 Final'!O45</f>
        <v>-2.2439999999999998</v>
      </c>
      <c r="AN45" s="288">
        <f>+P45-'Data FY23-24 Final'!P45</f>
        <v>-3.0807761096664568E-4</v>
      </c>
      <c r="AO45" s="288">
        <f>+Q45-'Data FY23-24 Final'!Q45</f>
        <v>-2.255308077610966</v>
      </c>
      <c r="AP45" s="288">
        <f>+R45-'Data FY23-24 Final'!R45</f>
        <v>-5.9589999999999996</v>
      </c>
      <c r="AQ45" s="288">
        <f>+S45-'Data FY23-24 Final'!S45</f>
        <v>-0.218</v>
      </c>
      <c r="AR45" s="288">
        <f>+T45-'Data FY23-24 Final'!T45</f>
        <v>0</v>
      </c>
      <c r="AS45" s="288">
        <f>+U45-'Data FY23-24 Final'!U45</f>
        <v>0</v>
      </c>
      <c r="AT45" s="288">
        <f>+V45-'Data FY23-24 Final'!V45</f>
        <v>0</v>
      </c>
      <c r="AU45" s="288">
        <f>+W45-'Data FY23-24 Final'!W45</f>
        <v>-8.4323080776109656</v>
      </c>
      <c r="AV45" s="288">
        <f>+X45-'Data FY23-24 Final'!X45</f>
        <v>0</v>
      </c>
      <c r="AW45" s="261">
        <f>+Y45-'Data FY23-24 Final'!Y45</f>
        <v>4420933.3220000118</v>
      </c>
      <c r="AX45" s="261">
        <f>+Z45-'Data FY23-24 Final'!Z45</f>
        <v>3018421.2508400045</v>
      </c>
    </row>
    <row r="46" spans="1:50" s="256" customFormat="1" x14ac:dyDescent="0.25">
      <c r="A46" s="289" t="s">
        <v>183</v>
      </c>
      <c r="B46" s="289" t="s">
        <v>184</v>
      </c>
      <c r="C46" s="297" t="s">
        <v>185</v>
      </c>
      <c r="D46" s="344">
        <v>388460173</v>
      </c>
      <c r="E46" s="344">
        <v>0</v>
      </c>
      <c r="F46" s="344">
        <f t="shared" si="6"/>
        <v>388460173</v>
      </c>
      <c r="G46" s="343">
        <v>8815.24</v>
      </c>
      <c r="H46" s="347">
        <v>27</v>
      </c>
      <c r="I46" s="347">
        <v>0</v>
      </c>
      <c r="J46" s="353">
        <f t="shared" si="8"/>
        <v>27</v>
      </c>
      <c r="K46" s="287">
        <v>0</v>
      </c>
      <c r="L46" s="300">
        <v>0</v>
      </c>
      <c r="M46" s="287">
        <v>0</v>
      </c>
      <c r="N46" s="353">
        <v>0</v>
      </c>
      <c r="O46" s="354">
        <v>0</v>
      </c>
      <c r="P46" s="355">
        <f t="shared" si="7"/>
        <v>2.2692776795936811E-2</v>
      </c>
      <c r="Q46" s="360">
        <f t="shared" si="4"/>
        <v>27.022692776795935</v>
      </c>
      <c r="R46" s="299"/>
      <c r="S46" s="299"/>
      <c r="T46" s="299"/>
      <c r="U46" s="299"/>
      <c r="V46" s="299"/>
      <c r="W46" s="299">
        <f t="shared" si="5"/>
        <v>27.022692776795935</v>
      </c>
      <c r="X46" s="287">
        <v>61.298000000000002</v>
      </c>
      <c r="Y46" s="344">
        <v>25063553.359999999</v>
      </c>
      <c r="Z46" s="344">
        <v>13323553.9045</v>
      </c>
      <c r="AB46" s="261">
        <f>+D46-'Data FY23-24 Final'!D46</f>
        <v>21130112</v>
      </c>
      <c r="AC46" s="261">
        <f>+E46-'Data FY23-24 Final'!E46</f>
        <v>0</v>
      </c>
      <c r="AD46" s="261">
        <f>+F46-'Data FY23-24 Final'!F46</f>
        <v>21130112</v>
      </c>
      <c r="AE46" s="261">
        <f>+G46-'Data FY23-24 Final'!G46</f>
        <v>0</v>
      </c>
      <c r="AF46" s="288">
        <f>+H46-'Data FY23-24 Final'!H46</f>
        <v>0</v>
      </c>
      <c r="AG46" s="288">
        <f>+I46-'Data FY23-24 Final'!I46</f>
        <v>0</v>
      </c>
      <c r="AH46" s="288">
        <f>+J46-'Data FY23-24 Final'!J46</f>
        <v>0</v>
      </c>
      <c r="AI46" s="288">
        <f>+K46-'Data FY23-24 Final'!K46</f>
        <v>0</v>
      </c>
      <c r="AJ46" s="288">
        <f>+L46-'Data FY23-24 Final'!L46</f>
        <v>0</v>
      </c>
      <c r="AK46" s="288">
        <f>+M46-'Data FY23-24 Final'!M46</f>
        <v>0</v>
      </c>
      <c r="AL46" s="288">
        <f>+N46-'Data FY23-24 Final'!N46</f>
        <v>0</v>
      </c>
      <c r="AM46" s="288">
        <f>+O46-'Data FY23-24 Final'!O46</f>
        <v>-4.3289999999999997</v>
      </c>
      <c r="AN46" s="288">
        <f>+P46-'Data FY23-24 Final'!P46</f>
        <v>-1.3072232040631897E-3</v>
      </c>
      <c r="AO46" s="288">
        <f>+Q46-'Data FY23-24 Final'!Q46</f>
        <v>-4.3303072232040662</v>
      </c>
      <c r="AP46" s="288">
        <f>+R46-'Data FY23-24 Final'!R46</f>
        <v>0</v>
      </c>
      <c r="AQ46" s="288">
        <f>+S46-'Data FY23-24 Final'!S46</f>
        <v>0</v>
      </c>
      <c r="AR46" s="288">
        <f>+T46-'Data FY23-24 Final'!T46</f>
        <v>0</v>
      </c>
      <c r="AS46" s="288">
        <f>+U46-'Data FY23-24 Final'!U46</f>
        <v>0</v>
      </c>
      <c r="AT46" s="288">
        <f>+V46-'Data FY23-24 Final'!V46</f>
        <v>0</v>
      </c>
      <c r="AU46" s="288">
        <f>+W46-'Data FY23-24 Final'!W46</f>
        <v>-4.3303072232040662</v>
      </c>
      <c r="AV46" s="288">
        <f>+X46-'Data FY23-24 Final'!X46</f>
        <v>0</v>
      </c>
      <c r="AW46" s="261">
        <f>+Y46-'Data FY23-24 Final'!Y46</f>
        <v>568981.57999999821</v>
      </c>
      <c r="AX46" s="261">
        <f>+Z46-'Data FY23-24 Final'!Z46</f>
        <v>-152995.60850000009</v>
      </c>
    </row>
    <row r="47" spans="1:50" s="256" customFormat="1" x14ac:dyDescent="0.25">
      <c r="A47" s="289" t="s">
        <v>186</v>
      </c>
      <c r="B47" s="289" t="s">
        <v>184</v>
      </c>
      <c r="C47" s="297" t="s">
        <v>187</v>
      </c>
      <c r="D47" s="344">
        <v>70791473</v>
      </c>
      <c r="E47" s="344">
        <v>0</v>
      </c>
      <c r="F47" s="344">
        <f t="shared" si="6"/>
        <v>70791473</v>
      </c>
      <c r="G47" s="343">
        <v>4541.4799999999996</v>
      </c>
      <c r="H47" s="347">
        <v>27</v>
      </c>
      <c r="I47" s="347">
        <v>3.8120000000000012</v>
      </c>
      <c r="J47" s="353">
        <f t="shared" si="8"/>
        <v>23.187999999999999</v>
      </c>
      <c r="K47" s="287">
        <v>0</v>
      </c>
      <c r="L47" s="300">
        <v>0</v>
      </c>
      <c r="M47" s="287">
        <v>0</v>
      </c>
      <c r="N47" s="353">
        <v>0</v>
      </c>
      <c r="O47" s="354">
        <v>0</v>
      </c>
      <c r="P47" s="355">
        <f t="shared" si="7"/>
        <v>6.4152924180571849E-2</v>
      </c>
      <c r="Q47" s="360">
        <f t="shared" si="4"/>
        <v>23.252152924180571</v>
      </c>
      <c r="R47" s="299"/>
      <c r="S47" s="299"/>
      <c r="T47" s="299"/>
      <c r="U47" s="299"/>
      <c r="V47" s="299"/>
      <c r="W47" s="299">
        <f t="shared" si="5"/>
        <v>23.252152924180571</v>
      </c>
      <c r="X47" s="287">
        <v>58.634999999999998</v>
      </c>
      <c r="Y47" s="344">
        <v>4324477.92</v>
      </c>
      <c r="Z47" s="344">
        <v>2580161.989976</v>
      </c>
      <c r="AB47" s="261">
        <f>+D47-'Data FY23-24 Final'!D47</f>
        <v>3557365</v>
      </c>
      <c r="AC47" s="261">
        <f>+E47-'Data FY23-24 Final'!E47</f>
        <v>0</v>
      </c>
      <c r="AD47" s="261">
        <f>+F47-'Data FY23-24 Final'!F47</f>
        <v>3557365</v>
      </c>
      <c r="AE47" s="261">
        <f>+G47-'Data FY23-24 Final'!G47</f>
        <v>90</v>
      </c>
      <c r="AF47" s="288">
        <f>+H47-'Data FY23-24 Final'!H47</f>
        <v>0</v>
      </c>
      <c r="AG47" s="288">
        <f>+I47-'Data FY23-24 Final'!I47</f>
        <v>-0.99999999999999911</v>
      </c>
      <c r="AH47" s="288">
        <f>+J47-'Data FY23-24 Final'!J47</f>
        <v>1</v>
      </c>
      <c r="AI47" s="288">
        <f>+K47-'Data FY23-24 Final'!K47</f>
        <v>0</v>
      </c>
      <c r="AJ47" s="288">
        <f>+L47-'Data FY23-24 Final'!L47</f>
        <v>0</v>
      </c>
      <c r="AK47" s="288">
        <f>+M47-'Data FY23-24 Final'!M47</f>
        <v>0</v>
      </c>
      <c r="AL47" s="288">
        <f>+N47-'Data FY23-24 Final'!N47</f>
        <v>0</v>
      </c>
      <c r="AM47" s="288">
        <f>+O47-'Data FY23-24 Final'!O47</f>
        <v>0</v>
      </c>
      <c r="AN47" s="288">
        <f>+P47-'Data FY23-24 Final'!P47</f>
        <v>-1.8470758194281539E-3</v>
      </c>
      <c r="AO47" s="288">
        <f>+Q47-'Data FY23-24 Final'!Q47</f>
        <v>0.99815292418056956</v>
      </c>
      <c r="AP47" s="288">
        <f>+R47-'Data FY23-24 Final'!R47</f>
        <v>0</v>
      </c>
      <c r="AQ47" s="288">
        <f>+S47-'Data FY23-24 Final'!S47</f>
        <v>0</v>
      </c>
      <c r="AR47" s="288">
        <f>+T47-'Data FY23-24 Final'!T47</f>
        <v>0</v>
      </c>
      <c r="AS47" s="288">
        <f>+U47-'Data FY23-24 Final'!U47</f>
        <v>0</v>
      </c>
      <c r="AT47" s="288">
        <f>+V47-'Data FY23-24 Final'!V47</f>
        <v>0</v>
      </c>
      <c r="AU47" s="288">
        <f>+W47-'Data FY23-24 Final'!W47</f>
        <v>0.99815292418056956</v>
      </c>
      <c r="AV47" s="288">
        <f>+X47-'Data FY23-24 Final'!X47</f>
        <v>0</v>
      </c>
      <c r="AW47" s="261">
        <f>+Y47-'Data FY23-24 Final'!Y47</f>
        <v>-20709.480000000447</v>
      </c>
      <c r="AX47" s="261">
        <f>+Z47-'Data FY23-24 Final'!Z47</f>
        <v>-104696.45172000071</v>
      </c>
    </row>
    <row r="48" spans="1:50" s="256" customFormat="1" x14ac:dyDescent="0.25">
      <c r="A48" s="289" t="s">
        <v>188</v>
      </c>
      <c r="B48" s="289" t="s">
        <v>184</v>
      </c>
      <c r="C48" s="297" t="s">
        <v>189</v>
      </c>
      <c r="D48" s="344">
        <v>45227075</v>
      </c>
      <c r="E48" s="344">
        <v>0</v>
      </c>
      <c r="F48" s="344">
        <f t="shared" si="6"/>
        <v>45227075</v>
      </c>
      <c r="G48" s="343">
        <v>1714.01</v>
      </c>
      <c r="H48" s="347">
        <v>27</v>
      </c>
      <c r="I48" s="347">
        <v>0</v>
      </c>
      <c r="J48" s="353">
        <f t="shared" si="8"/>
        <v>27</v>
      </c>
      <c r="K48" s="287">
        <v>0</v>
      </c>
      <c r="L48" s="300">
        <v>0</v>
      </c>
      <c r="M48" s="287">
        <v>0</v>
      </c>
      <c r="N48" s="353">
        <v>0</v>
      </c>
      <c r="O48" s="354">
        <v>0</v>
      </c>
      <c r="P48" s="355">
        <f t="shared" si="7"/>
        <v>3.7897874226887326E-2</v>
      </c>
      <c r="Q48" s="360">
        <f t="shared" si="4"/>
        <v>27.037897874226886</v>
      </c>
      <c r="R48" s="299"/>
      <c r="S48" s="299"/>
      <c r="T48" s="299"/>
      <c r="U48" s="299"/>
      <c r="V48" s="299"/>
      <c r="W48" s="299">
        <f t="shared" si="5"/>
        <v>27.037897874226886</v>
      </c>
      <c r="X48" s="287">
        <v>104.253</v>
      </c>
      <c r="Y48" s="344">
        <v>4880124.99</v>
      </c>
      <c r="Z48" s="344">
        <v>3493922.0965000005</v>
      </c>
      <c r="AB48" s="261">
        <f>+D48-'Data FY23-24 Final'!D48</f>
        <v>1739025</v>
      </c>
      <c r="AC48" s="261">
        <f>+E48-'Data FY23-24 Final'!E48</f>
        <v>0</v>
      </c>
      <c r="AD48" s="261">
        <f>+F48-'Data FY23-24 Final'!F48</f>
        <v>1739025</v>
      </c>
      <c r="AE48" s="261">
        <f>+G48-'Data FY23-24 Final'!G48</f>
        <v>0</v>
      </c>
      <c r="AF48" s="288">
        <f>+H48-'Data FY23-24 Final'!H48</f>
        <v>0</v>
      </c>
      <c r="AG48" s="288">
        <f>+I48-'Data FY23-24 Final'!I48</f>
        <v>0</v>
      </c>
      <c r="AH48" s="288">
        <f>+J48-'Data FY23-24 Final'!J48</f>
        <v>0</v>
      </c>
      <c r="AI48" s="288">
        <f>+K48-'Data FY23-24 Final'!K48</f>
        <v>0</v>
      </c>
      <c r="AJ48" s="288">
        <f>+L48-'Data FY23-24 Final'!L48</f>
        <v>0</v>
      </c>
      <c r="AK48" s="288">
        <f>+M48-'Data FY23-24 Final'!M48</f>
        <v>0</v>
      </c>
      <c r="AL48" s="288">
        <f>+N48-'Data FY23-24 Final'!N48</f>
        <v>0</v>
      </c>
      <c r="AM48" s="288">
        <f>+O48-'Data FY23-24 Final'!O48</f>
        <v>0</v>
      </c>
      <c r="AN48" s="288">
        <f>+P48-'Data FY23-24 Final'!P48</f>
        <v>-1.1021257731126735E-3</v>
      </c>
      <c r="AO48" s="288">
        <f>+Q48-'Data FY23-24 Final'!Q48</f>
        <v>-1.1021257731158585E-3</v>
      </c>
      <c r="AP48" s="288">
        <f>+R48-'Data FY23-24 Final'!R48</f>
        <v>-4.577</v>
      </c>
      <c r="AQ48" s="288">
        <f>+S48-'Data FY23-24 Final'!S48</f>
        <v>0</v>
      </c>
      <c r="AR48" s="288">
        <f>+T48-'Data FY23-24 Final'!T48</f>
        <v>0</v>
      </c>
      <c r="AS48" s="288">
        <f>+U48-'Data FY23-24 Final'!U48</f>
        <v>0</v>
      </c>
      <c r="AT48" s="288">
        <f>+V48-'Data FY23-24 Final'!V48</f>
        <v>0</v>
      </c>
      <c r="AU48" s="288">
        <f>+W48-'Data FY23-24 Final'!W48</f>
        <v>-4.578102125773114</v>
      </c>
      <c r="AV48" s="288">
        <f>+X48-'Data FY23-24 Final'!X48</f>
        <v>0</v>
      </c>
      <c r="AW48" s="261">
        <f>+Y48-'Data FY23-24 Final'!Y48</f>
        <v>278892.73000000045</v>
      </c>
      <c r="AX48" s="261">
        <f>+Z48-'Data FY23-24 Final'!Z48</f>
        <v>235625.55650000088</v>
      </c>
    </row>
    <row r="49" spans="1:50" s="256" customFormat="1" x14ac:dyDescent="0.25">
      <c r="A49" s="289" t="s">
        <v>190</v>
      </c>
      <c r="B49" s="289" t="s">
        <v>184</v>
      </c>
      <c r="C49" s="297" t="s">
        <v>184</v>
      </c>
      <c r="D49" s="344">
        <v>38944900</v>
      </c>
      <c r="E49" s="344">
        <v>0</v>
      </c>
      <c r="F49" s="344">
        <f t="shared" si="6"/>
        <v>38944900</v>
      </c>
      <c r="G49" s="343">
        <v>3035.34</v>
      </c>
      <c r="H49" s="347">
        <v>24.431000000000001</v>
      </c>
      <c r="I49" s="347">
        <v>0</v>
      </c>
      <c r="J49" s="353">
        <f t="shared" si="8"/>
        <v>24.431000000000001</v>
      </c>
      <c r="K49" s="287">
        <v>0</v>
      </c>
      <c r="L49" s="300">
        <v>0</v>
      </c>
      <c r="M49" s="287">
        <v>0</v>
      </c>
      <c r="N49" s="353">
        <v>0</v>
      </c>
      <c r="O49" s="354">
        <v>0</v>
      </c>
      <c r="P49" s="355">
        <f t="shared" si="7"/>
        <v>7.7939345074708122E-2</v>
      </c>
      <c r="Q49" s="360">
        <f t="shared" si="4"/>
        <v>24.508939345074708</v>
      </c>
      <c r="R49" s="299"/>
      <c r="S49" s="299"/>
      <c r="T49" s="299"/>
      <c r="U49" s="299"/>
      <c r="V49" s="299"/>
      <c r="W49" s="299">
        <f t="shared" si="5"/>
        <v>24.508939345074708</v>
      </c>
      <c r="X49" s="287">
        <v>99.86</v>
      </c>
      <c r="Y49" s="344">
        <v>3990253.59</v>
      </c>
      <c r="Z49" s="344">
        <v>2970077.1477999999</v>
      </c>
      <c r="AB49" s="261">
        <f>+D49-'Data FY23-24 Final'!D49</f>
        <v>2164929</v>
      </c>
      <c r="AC49" s="261">
        <f>+E49-'Data FY23-24 Final'!E49</f>
        <v>0</v>
      </c>
      <c r="AD49" s="261">
        <f>+F49-'Data FY23-24 Final'!F49</f>
        <v>2164929</v>
      </c>
      <c r="AE49" s="261">
        <f>+G49-'Data FY23-24 Final'!G49</f>
        <v>0.34000000000014552</v>
      </c>
      <c r="AF49" s="288">
        <f>+H49-'Data FY23-24 Final'!H49</f>
        <v>0</v>
      </c>
      <c r="AG49" s="288">
        <f>+I49-'Data FY23-24 Final'!I49</f>
        <v>-0.83499999999999996</v>
      </c>
      <c r="AH49" s="288">
        <f>+J49-'Data FY23-24 Final'!J49</f>
        <v>0.83500000000000085</v>
      </c>
      <c r="AI49" s="288">
        <f>+K49-'Data FY23-24 Final'!K49</f>
        <v>0</v>
      </c>
      <c r="AJ49" s="288">
        <f>+L49-'Data FY23-24 Final'!L49</f>
        <v>0</v>
      </c>
      <c r="AK49" s="288">
        <f>+M49-'Data FY23-24 Final'!M49</f>
        <v>0</v>
      </c>
      <c r="AL49" s="288">
        <f>+N49-'Data FY23-24 Final'!N49</f>
        <v>0</v>
      </c>
      <c r="AM49" s="288">
        <f>+O49-'Data FY23-24 Final'!O49</f>
        <v>0</v>
      </c>
      <c r="AN49" s="288">
        <f>+P49-'Data FY23-24 Final'!P49</f>
        <v>-5.0606549252918825E-3</v>
      </c>
      <c r="AO49" s="288">
        <f>+Q49-'Data FY23-24 Final'!Q49</f>
        <v>0.82993934507470968</v>
      </c>
      <c r="AP49" s="288">
        <f>+R49-'Data FY23-24 Final'!R49</f>
        <v>-5.4119999999999999</v>
      </c>
      <c r="AQ49" s="288">
        <f>+S49-'Data FY23-24 Final'!S49</f>
        <v>0</v>
      </c>
      <c r="AR49" s="288">
        <f>+T49-'Data FY23-24 Final'!T49</f>
        <v>0</v>
      </c>
      <c r="AS49" s="288">
        <f>+U49-'Data FY23-24 Final'!U49</f>
        <v>0</v>
      </c>
      <c r="AT49" s="288">
        <f>+V49-'Data FY23-24 Final'!V49</f>
        <v>0</v>
      </c>
      <c r="AU49" s="288">
        <f>+W49-'Data FY23-24 Final'!W49</f>
        <v>-4.5820606549252929</v>
      </c>
      <c r="AV49" s="288">
        <f>+X49-'Data FY23-24 Final'!X49</f>
        <v>0</v>
      </c>
      <c r="AW49" s="261">
        <f>+Y49-'Data FY23-24 Final'!Y49</f>
        <v>-38277.979999999981</v>
      </c>
      <c r="AX49" s="261">
        <f>+Z49-'Data FY23-24 Final'!Z49</f>
        <v>-93893.376484000124</v>
      </c>
    </row>
    <row r="50" spans="1:50" s="256" customFormat="1" x14ac:dyDescent="0.25">
      <c r="A50" s="289" t="s">
        <v>191</v>
      </c>
      <c r="B50" s="289" t="s">
        <v>184</v>
      </c>
      <c r="C50" s="297" t="s">
        <v>192</v>
      </c>
      <c r="D50" s="344">
        <v>30165195</v>
      </c>
      <c r="E50" s="344">
        <v>0</v>
      </c>
      <c r="F50" s="344">
        <f t="shared" si="6"/>
        <v>30165195</v>
      </c>
      <c r="G50" s="343">
        <v>481.71</v>
      </c>
      <c r="H50" s="347">
        <v>27</v>
      </c>
      <c r="I50" s="347">
        <v>6.2019999999999982</v>
      </c>
      <c r="J50" s="353">
        <f t="shared" si="8"/>
        <v>20.798000000000002</v>
      </c>
      <c r="K50" s="287">
        <v>0</v>
      </c>
      <c r="L50" s="300">
        <v>0</v>
      </c>
      <c r="M50" s="287">
        <v>0</v>
      </c>
      <c r="N50" s="353">
        <v>0</v>
      </c>
      <c r="O50" s="354">
        <v>0</v>
      </c>
      <c r="P50" s="355">
        <f t="shared" si="7"/>
        <v>1.5969066336219608E-2</v>
      </c>
      <c r="Q50" s="360">
        <f t="shared" si="4"/>
        <v>20.81396906633622</v>
      </c>
      <c r="R50" s="299"/>
      <c r="S50" s="299"/>
      <c r="T50" s="299"/>
      <c r="U50" s="299"/>
      <c r="V50" s="299"/>
      <c r="W50" s="299">
        <f t="shared" si="5"/>
        <v>20.81396906633622</v>
      </c>
      <c r="X50" s="287">
        <v>47.862000000000002</v>
      </c>
      <c r="Y50" s="344">
        <v>1510392.66</v>
      </c>
      <c r="Z50" s="344">
        <v>846563.16108999983</v>
      </c>
      <c r="AB50" s="261">
        <f>+D50-'Data FY23-24 Final'!D50</f>
        <v>433280</v>
      </c>
      <c r="AC50" s="261">
        <f>+E50-'Data FY23-24 Final'!E50</f>
        <v>0</v>
      </c>
      <c r="AD50" s="261">
        <f>+F50-'Data FY23-24 Final'!F50</f>
        <v>433280</v>
      </c>
      <c r="AE50" s="261">
        <f>+G50-'Data FY23-24 Final'!G50</f>
        <v>0</v>
      </c>
      <c r="AF50" s="288">
        <f>+H50-'Data FY23-24 Final'!H50</f>
        <v>0</v>
      </c>
      <c r="AG50" s="288">
        <f>+I50-'Data FY23-24 Final'!I50</f>
        <v>-1.0000000000000018</v>
      </c>
      <c r="AH50" s="288">
        <f>+J50-'Data FY23-24 Final'!J50</f>
        <v>1.0000000000000036</v>
      </c>
      <c r="AI50" s="288">
        <f>+K50-'Data FY23-24 Final'!K50</f>
        <v>0</v>
      </c>
      <c r="AJ50" s="288">
        <f>+L50-'Data FY23-24 Final'!L50</f>
        <v>0</v>
      </c>
      <c r="AK50" s="288">
        <f>+M50-'Data FY23-24 Final'!M50</f>
        <v>0</v>
      </c>
      <c r="AL50" s="288">
        <f>+N50-'Data FY23-24 Final'!N50</f>
        <v>0</v>
      </c>
      <c r="AM50" s="288">
        <f>+O50-'Data FY23-24 Final'!O50</f>
        <v>0</v>
      </c>
      <c r="AN50" s="288">
        <f>+P50-'Data FY23-24 Final'!P50</f>
        <v>-3.0933663780392112E-5</v>
      </c>
      <c r="AO50" s="288">
        <f>+Q50-'Data FY23-24 Final'!Q50</f>
        <v>0.99996906633622018</v>
      </c>
      <c r="AP50" s="288">
        <f>+R50-'Data FY23-24 Final'!R50</f>
        <v>0</v>
      </c>
      <c r="AQ50" s="288">
        <f>+S50-'Data FY23-24 Final'!S50</f>
        <v>0</v>
      </c>
      <c r="AR50" s="288">
        <f>+T50-'Data FY23-24 Final'!T50</f>
        <v>0</v>
      </c>
      <c r="AS50" s="288">
        <f>+U50-'Data FY23-24 Final'!U50</f>
        <v>0</v>
      </c>
      <c r="AT50" s="288">
        <f>+V50-'Data FY23-24 Final'!V50</f>
        <v>0</v>
      </c>
      <c r="AU50" s="288">
        <f>+W50-'Data FY23-24 Final'!W50</f>
        <v>0.99996906633622018</v>
      </c>
      <c r="AV50" s="288">
        <f>+X50-'Data FY23-24 Final'!X50</f>
        <v>0</v>
      </c>
      <c r="AW50" s="261">
        <f>+Y50-'Data FY23-24 Final'!Y50</f>
        <v>-19160.190000000177</v>
      </c>
      <c r="AX50" s="261">
        <f>+Z50-'Data FY23-24 Final'!Z50</f>
        <v>-20461.295740000205</v>
      </c>
    </row>
    <row r="51" spans="1:50" s="256" customFormat="1" x14ac:dyDescent="0.25">
      <c r="A51" s="289" t="s">
        <v>193</v>
      </c>
      <c r="B51" s="289" t="s">
        <v>194</v>
      </c>
      <c r="C51" s="297" t="s">
        <v>195</v>
      </c>
      <c r="D51" s="344">
        <v>59807577</v>
      </c>
      <c r="E51" s="344">
        <v>0</v>
      </c>
      <c r="F51" s="344">
        <f t="shared" si="6"/>
        <v>59807577</v>
      </c>
      <c r="G51" s="343">
        <v>7305.69</v>
      </c>
      <c r="H51" s="347">
        <v>27</v>
      </c>
      <c r="I51" s="347">
        <v>0</v>
      </c>
      <c r="J51" s="353">
        <f t="shared" si="8"/>
        <v>27</v>
      </c>
      <c r="K51" s="287">
        <v>0</v>
      </c>
      <c r="L51" s="300">
        <v>0</v>
      </c>
      <c r="M51" s="287">
        <v>0</v>
      </c>
      <c r="N51" s="353">
        <v>0</v>
      </c>
      <c r="O51" s="354">
        <v>0</v>
      </c>
      <c r="P51" s="355">
        <f t="shared" si="7"/>
        <v>0.12215325158549727</v>
      </c>
      <c r="Q51" s="360">
        <f t="shared" si="4"/>
        <v>27.122153251585498</v>
      </c>
      <c r="R51" s="299"/>
      <c r="S51" s="299"/>
      <c r="T51" s="299"/>
      <c r="U51" s="299"/>
      <c r="V51" s="299"/>
      <c r="W51" s="299">
        <f t="shared" si="5"/>
        <v>27.122153251585498</v>
      </c>
      <c r="X51" s="287">
        <v>90.491</v>
      </c>
      <c r="Y51" s="344">
        <v>5567430.5099999998</v>
      </c>
      <c r="Z51" s="344">
        <v>3797248.2267999998</v>
      </c>
      <c r="AB51" s="261">
        <f>+D51-'Data FY23-24 Final'!D51</f>
        <v>2321287</v>
      </c>
      <c r="AC51" s="261">
        <f>+E51-'Data FY23-24 Final'!E51</f>
        <v>0</v>
      </c>
      <c r="AD51" s="261">
        <f>+F51-'Data FY23-24 Final'!F51</f>
        <v>2321287</v>
      </c>
      <c r="AE51" s="261">
        <f>+G51-'Data FY23-24 Final'!G51</f>
        <v>0</v>
      </c>
      <c r="AF51" s="288">
        <f>+H51-'Data FY23-24 Final'!H51</f>
        <v>0</v>
      </c>
      <c r="AG51" s="288">
        <f>+I51-'Data FY23-24 Final'!I51</f>
        <v>0</v>
      </c>
      <c r="AH51" s="288">
        <f>+J51-'Data FY23-24 Final'!J51</f>
        <v>0</v>
      </c>
      <c r="AI51" s="288">
        <f>+K51-'Data FY23-24 Final'!K51</f>
        <v>0</v>
      </c>
      <c r="AJ51" s="288">
        <f>+L51-'Data FY23-24 Final'!L51</f>
        <v>0</v>
      </c>
      <c r="AK51" s="288">
        <f>+M51-'Data FY23-24 Final'!M51</f>
        <v>0</v>
      </c>
      <c r="AL51" s="288">
        <f>+N51-'Data FY23-24 Final'!N51</f>
        <v>0</v>
      </c>
      <c r="AM51" s="288">
        <f>+O51-'Data FY23-24 Final'!O51</f>
        <v>0</v>
      </c>
      <c r="AN51" s="288">
        <f>+P51-'Data FY23-24 Final'!P51</f>
        <v>-4.8467484145027356E-3</v>
      </c>
      <c r="AO51" s="288">
        <f>+Q51-'Data FY23-24 Final'!Q51</f>
        <v>-4.8467484145007234E-3</v>
      </c>
      <c r="AP51" s="288">
        <f>+R51-'Data FY23-24 Final'!R51</f>
        <v>-9.5</v>
      </c>
      <c r="AQ51" s="288">
        <f>+S51-'Data FY23-24 Final'!S51</f>
        <v>0</v>
      </c>
      <c r="AR51" s="288">
        <f>+T51-'Data FY23-24 Final'!T51</f>
        <v>0</v>
      </c>
      <c r="AS51" s="288">
        <f>+U51-'Data FY23-24 Final'!U51</f>
        <v>0</v>
      </c>
      <c r="AT51" s="288">
        <f>+V51-'Data FY23-24 Final'!V51</f>
        <v>0</v>
      </c>
      <c r="AU51" s="288">
        <f>+W51-'Data FY23-24 Final'!W51</f>
        <v>-9.5048467484145043</v>
      </c>
      <c r="AV51" s="288">
        <f>+X51-'Data FY23-24 Final'!X51</f>
        <v>0</v>
      </c>
      <c r="AW51" s="261">
        <f>+Y51-'Data FY23-24 Final'!Y51</f>
        <v>71451.240000000224</v>
      </c>
      <c r="AX51" s="261">
        <f>+Z51-'Data FY23-24 Final'!Z51</f>
        <v>-26659.69319999963</v>
      </c>
    </row>
    <row r="52" spans="1:50" s="256" customFormat="1" ht="13" x14ac:dyDescent="0.3">
      <c r="A52" s="289" t="s">
        <v>196</v>
      </c>
      <c r="B52" s="289" t="s">
        <v>194</v>
      </c>
      <c r="C52" s="297" t="s">
        <v>197</v>
      </c>
      <c r="D52" s="378">
        <v>1016653280</v>
      </c>
      <c r="E52" s="378">
        <v>11959990</v>
      </c>
      <c r="F52" s="378">
        <v>1004693290</v>
      </c>
      <c r="G52" s="379">
        <v>68752.33</v>
      </c>
      <c r="H52" s="347">
        <v>15.72</v>
      </c>
      <c r="I52" s="347">
        <v>0</v>
      </c>
      <c r="J52" s="353">
        <f t="shared" si="8"/>
        <v>15.72</v>
      </c>
      <c r="K52" s="287">
        <v>0</v>
      </c>
      <c r="L52" s="300">
        <v>0</v>
      </c>
      <c r="M52" s="287">
        <v>0</v>
      </c>
      <c r="N52" s="353">
        <v>0</v>
      </c>
      <c r="O52" s="354">
        <v>5.5129999999999999</v>
      </c>
      <c r="P52" s="355">
        <f t="shared" si="7"/>
        <v>6.843116270837242E-2</v>
      </c>
      <c r="Q52" s="360">
        <f t="shared" si="4"/>
        <v>21.301431162708372</v>
      </c>
      <c r="R52" s="299"/>
      <c r="S52" s="299"/>
      <c r="T52" s="299"/>
      <c r="U52" s="299"/>
      <c r="V52" s="299"/>
      <c r="W52" s="299">
        <f t="shared" si="5"/>
        <v>21.301431162708372</v>
      </c>
      <c r="X52" s="287">
        <v>127.13800000000001</v>
      </c>
      <c r="Y52" s="344">
        <v>134111470.34999999</v>
      </c>
      <c r="Z52" s="344">
        <v>116199657.2252</v>
      </c>
      <c r="AB52" s="261">
        <f>+D52-'Data FY23-24 Final'!D52</f>
        <v>19287870</v>
      </c>
      <c r="AC52" s="261">
        <f>+E52-'Data FY23-24 Final'!E52</f>
        <v>641560</v>
      </c>
      <c r="AD52" s="261">
        <f>+F52-'Data FY23-24 Final'!F52</f>
        <v>18646310</v>
      </c>
      <c r="AE52" s="261">
        <f>+G52-'Data FY23-24 Final'!G52</f>
        <v>-234965.66999999998</v>
      </c>
      <c r="AF52" s="288">
        <f>+H52-'Data FY23-24 Final'!H52</f>
        <v>0</v>
      </c>
      <c r="AG52" s="288">
        <f>+I52-'Data FY23-24 Final'!I52</f>
        <v>0</v>
      </c>
      <c r="AH52" s="288">
        <f>+J52-'Data FY23-24 Final'!J52</f>
        <v>0</v>
      </c>
      <c r="AI52" s="288">
        <f>+K52-'Data FY23-24 Final'!K52</f>
        <v>0</v>
      </c>
      <c r="AJ52" s="288">
        <f>+L52-'Data FY23-24 Final'!L52</f>
        <v>0</v>
      </c>
      <c r="AK52" s="288">
        <f>+M52-'Data FY23-24 Final'!M52</f>
        <v>0</v>
      </c>
      <c r="AL52" s="288">
        <f>+N52-'Data FY23-24 Final'!N52</f>
        <v>0</v>
      </c>
      <c r="AM52" s="288">
        <f>+O52-'Data FY23-24 Final'!O52</f>
        <v>-0.31899999999999995</v>
      </c>
      <c r="AN52" s="288">
        <f>+P52-'Data FY23-24 Final'!P52</f>
        <v>-0.23956883729162759</v>
      </c>
      <c r="AO52" s="288">
        <f>+Q52-'Data FY23-24 Final'!Q52</f>
        <v>-0.55856883729162732</v>
      </c>
      <c r="AP52" s="288">
        <f>+R52-'Data FY23-24 Final'!R52</f>
        <v>-14.757999999999999</v>
      </c>
      <c r="AQ52" s="288">
        <f>+S52-'Data FY23-24 Final'!S52</f>
        <v>0</v>
      </c>
      <c r="AR52" s="288">
        <f>+T52-'Data FY23-24 Final'!T52</f>
        <v>0</v>
      </c>
      <c r="AS52" s="288">
        <f>+U52-'Data FY23-24 Final'!U52</f>
        <v>0</v>
      </c>
      <c r="AT52" s="288">
        <f>+V52-'Data FY23-24 Final'!V52</f>
        <v>0</v>
      </c>
      <c r="AU52" s="288">
        <f>+W52-'Data FY23-24 Final'!W52</f>
        <v>-15.31656883729163</v>
      </c>
      <c r="AV52" s="288">
        <f>+X52-'Data FY23-24 Final'!X52</f>
        <v>0</v>
      </c>
      <c r="AW52" s="261">
        <f>+Y52-'Data FY23-24 Final'!Y52</f>
        <v>-967489.81000000238</v>
      </c>
      <c r="AX52" s="261">
        <f>+Z52-'Data FY23-24 Final'!Z52</f>
        <v>-1953074.8691999912</v>
      </c>
    </row>
    <row r="53" spans="1:50" s="256" customFormat="1" ht="13" x14ac:dyDescent="0.3">
      <c r="A53" s="289" t="s">
        <v>198</v>
      </c>
      <c r="B53" s="289" t="s">
        <v>194</v>
      </c>
      <c r="C53" s="297" t="s">
        <v>199</v>
      </c>
      <c r="D53" s="378">
        <v>848905200</v>
      </c>
      <c r="E53" s="378">
        <v>2600690</v>
      </c>
      <c r="F53" s="378">
        <v>846304510</v>
      </c>
      <c r="G53" s="379">
        <v>66875.28</v>
      </c>
      <c r="H53" s="347">
        <v>27</v>
      </c>
      <c r="I53" s="347">
        <v>1.1059999999999981</v>
      </c>
      <c r="J53" s="353">
        <f t="shared" si="8"/>
        <v>25.894000000000002</v>
      </c>
      <c r="K53" s="287">
        <v>0</v>
      </c>
      <c r="L53" s="300">
        <v>0</v>
      </c>
      <c r="M53" s="287">
        <v>0</v>
      </c>
      <c r="N53" s="353">
        <v>0</v>
      </c>
      <c r="O53" s="354">
        <v>4.319</v>
      </c>
      <c r="P53" s="355">
        <f t="shared" si="7"/>
        <v>7.9020351669873534E-2</v>
      </c>
      <c r="Q53" s="360">
        <f t="shared" si="4"/>
        <v>30.292020351669876</v>
      </c>
      <c r="R53" s="299"/>
      <c r="S53" s="299"/>
      <c r="T53" s="299"/>
      <c r="U53" s="299"/>
      <c r="V53" s="299"/>
      <c r="W53" s="299">
        <f t="shared" si="5"/>
        <v>30.292020351669876</v>
      </c>
      <c r="X53" s="287">
        <v>101.90900000000001</v>
      </c>
      <c r="Y53" s="344">
        <v>95049061.319999993</v>
      </c>
      <c r="Z53" s="344">
        <v>70442068.105000004</v>
      </c>
      <c r="AB53" s="261">
        <f>+D53-'Data FY23-24 Final'!D53</f>
        <v>-6741560</v>
      </c>
      <c r="AC53" s="261">
        <f>+E53-'Data FY23-24 Final'!E53</f>
        <v>529750</v>
      </c>
      <c r="AD53" s="261">
        <f>+F53-'Data FY23-24 Final'!F53</f>
        <v>-7271310</v>
      </c>
      <c r="AE53" s="261">
        <f>+G53-'Data FY23-24 Final'!G53</f>
        <v>19412.339999999997</v>
      </c>
      <c r="AF53" s="288">
        <f>+H53-'Data FY23-24 Final'!H53</f>
        <v>0</v>
      </c>
      <c r="AG53" s="288">
        <f>+I53-'Data FY23-24 Final'!I53</f>
        <v>-1.0000000000000018</v>
      </c>
      <c r="AH53" s="288">
        <f>+J53-'Data FY23-24 Final'!J53</f>
        <v>1.0000000000000036</v>
      </c>
      <c r="AI53" s="288">
        <f>+K53-'Data FY23-24 Final'!K53</f>
        <v>0</v>
      </c>
      <c r="AJ53" s="288">
        <f>+L53-'Data FY23-24 Final'!L53</f>
        <v>0</v>
      </c>
      <c r="AK53" s="288">
        <f>+M53-'Data FY23-24 Final'!M53</f>
        <v>0</v>
      </c>
      <c r="AL53" s="288">
        <f>+N53-'Data FY23-24 Final'!N53</f>
        <v>0</v>
      </c>
      <c r="AM53" s="288">
        <f>+O53-'Data FY23-24 Final'!O53</f>
        <v>-6.8159999999999998</v>
      </c>
      <c r="AN53" s="288">
        <f>+P53-'Data FY23-24 Final'!P53</f>
        <v>2.3020351669873533E-2</v>
      </c>
      <c r="AO53" s="288">
        <f>+Q53-'Data FY23-24 Final'!Q53</f>
        <v>-5.7929796483301246</v>
      </c>
      <c r="AP53" s="288">
        <f>+R53-'Data FY23-24 Final'!R53</f>
        <v>-4.7</v>
      </c>
      <c r="AQ53" s="288">
        <f>+S53-'Data FY23-24 Final'!S53</f>
        <v>0</v>
      </c>
      <c r="AR53" s="288">
        <f>+T53-'Data FY23-24 Final'!T53</f>
        <v>0</v>
      </c>
      <c r="AS53" s="288">
        <f>+U53-'Data FY23-24 Final'!U53</f>
        <v>0</v>
      </c>
      <c r="AT53" s="288">
        <f>+V53-'Data FY23-24 Final'!V53</f>
        <v>-6.3120000000000003</v>
      </c>
      <c r="AU53" s="288">
        <f>+W53-'Data FY23-24 Final'!W53</f>
        <v>-16.804979648330125</v>
      </c>
      <c r="AV53" s="288">
        <f>+X53-'Data FY23-24 Final'!X53</f>
        <v>0</v>
      </c>
      <c r="AW53" s="261">
        <f>+Y53-'Data FY23-24 Final'!Y53</f>
        <v>1444112.2699999958</v>
      </c>
      <c r="AX53" s="261">
        <f>+Z53-'Data FY23-24 Final'!Z53</f>
        <v>148376.50808000565</v>
      </c>
    </row>
    <row r="54" spans="1:50" s="256" customFormat="1" ht="13" x14ac:dyDescent="0.3">
      <c r="A54" s="289" t="s">
        <v>200</v>
      </c>
      <c r="B54" s="289" t="s">
        <v>194</v>
      </c>
      <c r="C54" s="297" t="s">
        <v>201</v>
      </c>
      <c r="D54" s="378">
        <v>248849660</v>
      </c>
      <c r="E54" s="378">
        <v>5727870</v>
      </c>
      <c r="F54" s="378">
        <v>243121790</v>
      </c>
      <c r="G54" s="379">
        <v>80.92</v>
      </c>
      <c r="H54" s="347">
        <v>27</v>
      </c>
      <c r="I54" s="347">
        <v>3.3159999999999989</v>
      </c>
      <c r="J54" s="353">
        <f t="shared" si="8"/>
        <v>23.684000000000001</v>
      </c>
      <c r="K54" s="287">
        <v>0</v>
      </c>
      <c r="L54" s="300">
        <v>0</v>
      </c>
      <c r="M54" s="287">
        <v>0</v>
      </c>
      <c r="N54" s="353">
        <v>0</v>
      </c>
      <c r="O54" s="354">
        <v>2.6850000000000001</v>
      </c>
      <c r="P54" s="355">
        <f t="shared" si="7"/>
        <v>3.3283729936341784E-4</v>
      </c>
      <c r="Q54" s="360">
        <f t="shared" si="4"/>
        <v>26.369332837299364</v>
      </c>
      <c r="R54" s="299"/>
      <c r="S54" s="299"/>
      <c r="T54" s="299"/>
      <c r="U54" s="299"/>
      <c r="V54" s="299"/>
      <c r="W54" s="299">
        <f t="shared" si="5"/>
        <v>26.369332837299364</v>
      </c>
      <c r="X54" s="287">
        <v>307.363</v>
      </c>
      <c r="Y54" s="344">
        <v>80558669.510000005</v>
      </c>
      <c r="Z54" s="344">
        <v>74207209.522200003</v>
      </c>
      <c r="AB54" s="261">
        <f>+D54-'Data FY23-24 Final'!D54</f>
        <v>1289830</v>
      </c>
      <c r="AC54" s="261">
        <f>+E54-'Data FY23-24 Final'!E54</f>
        <v>827450</v>
      </c>
      <c r="AD54" s="261">
        <f>+F54-'Data FY23-24 Final'!F54</f>
        <v>462380</v>
      </c>
      <c r="AE54" s="261">
        <f>+G54-'Data FY23-24 Final'!G54</f>
        <v>-11357.2</v>
      </c>
      <c r="AF54" s="288">
        <f>+H54-'Data FY23-24 Final'!H54</f>
        <v>0</v>
      </c>
      <c r="AG54" s="288">
        <f>+I54-'Data FY23-24 Final'!I54</f>
        <v>-1.0000000000000009</v>
      </c>
      <c r="AH54" s="288">
        <f>+J54-'Data FY23-24 Final'!J54</f>
        <v>1</v>
      </c>
      <c r="AI54" s="288">
        <f>+K54-'Data FY23-24 Final'!K54</f>
        <v>0</v>
      </c>
      <c r="AJ54" s="288">
        <f>+L54-'Data FY23-24 Final'!L54</f>
        <v>0</v>
      </c>
      <c r="AK54" s="288">
        <f>+M54-'Data FY23-24 Final'!M54</f>
        <v>0</v>
      </c>
      <c r="AL54" s="288">
        <f>+N54-'Data FY23-24 Final'!N54</f>
        <v>0</v>
      </c>
      <c r="AM54" s="288">
        <f>+O54-'Data FY23-24 Final'!O54</f>
        <v>-2.3149999999999999</v>
      </c>
      <c r="AN54" s="288">
        <f>+P54-'Data FY23-24 Final'!P54</f>
        <v>-4.6667162700636582E-2</v>
      </c>
      <c r="AO54" s="288">
        <f>+Q54-'Data FY23-24 Final'!Q54</f>
        <v>-1.3616671627006376</v>
      </c>
      <c r="AP54" s="288">
        <f>+R54-'Data FY23-24 Final'!R54</f>
        <v>0</v>
      </c>
      <c r="AQ54" s="288">
        <f>+S54-'Data FY23-24 Final'!S54</f>
        <v>0</v>
      </c>
      <c r="AR54" s="288">
        <f>+T54-'Data FY23-24 Final'!T54</f>
        <v>0</v>
      </c>
      <c r="AS54" s="288">
        <f>+U54-'Data FY23-24 Final'!U54</f>
        <v>0</v>
      </c>
      <c r="AT54" s="288">
        <f>+V54-'Data FY23-24 Final'!V54</f>
        <v>0</v>
      </c>
      <c r="AU54" s="288">
        <f>+W54-'Data FY23-24 Final'!W54</f>
        <v>-1.3616671627006376</v>
      </c>
      <c r="AV54" s="288">
        <f>+X54-'Data FY23-24 Final'!X54</f>
        <v>0</v>
      </c>
      <c r="AW54" s="261">
        <f>+Y54-'Data FY23-24 Final'!Y54</f>
        <v>1232005.3599999994</v>
      </c>
      <c r="AX54" s="261">
        <f>+Z54-'Data FY23-24 Final'!Z54</f>
        <v>842917.6986399889</v>
      </c>
    </row>
    <row r="55" spans="1:50" s="256" customFormat="1" ht="13" x14ac:dyDescent="0.3">
      <c r="A55" s="289" t="s">
        <v>202</v>
      </c>
      <c r="B55" s="289" t="s">
        <v>194</v>
      </c>
      <c r="C55" s="297" t="s">
        <v>203</v>
      </c>
      <c r="D55" s="378">
        <v>4249840480</v>
      </c>
      <c r="E55" s="378">
        <v>120279180</v>
      </c>
      <c r="F55" s="378">
        <v>4129561300</v>
      </c>
      <c r="G55" s="379">
        <v>460626.58</v>
      </c>
      <c r="H55" s="347">
        <v>20.715</v>
      </c>
      <c r="I55" s="347">
        <v>0</v>
      </c>
      <c r="J55" s="353">
        <f t="shared" si="8"/>
        <v>20.715</v>
      </c>
      <c r="K55" s="287">
        <v>0</v>
      </c>
      <c r="L55" s="300">
        <v>0</v>
      </c>
      <c r="M55" s="287">
        <v>0</v>
      </c>
      <c r="N55" s="353">
        <v>0</v>
      </c>
      <c r="O55" s="354">
        <v>16.396000000000001</v>
      </c>
      <c r="P55" s="355">
        <f t="shared" si="7"/>
        <v>0.1115437080447262</v>
      </c>
      <c r="Q55" s="360">
        <f t="shared" si="4"/>
        <v>37.222543708044732</v>
      </c>
      <c r="R55" s="299"/>
      <c r="S55" s="299"/>
      <c r="T55" s="299"/>
      <c r="U55" s="299"/>
      <c r="V55" s="299"/>
      <c r="W55" s="299">
        <f t="shared" si="5"/>
        <v>37.222543708044732</v>
      </c>
      <c r="X55" s="287">
        <v>61.637</v>
      </c>
      <c r="Y55" s="344">
        <v>276549932.69999999</v>
      </c>
      <c r="Z55" s="344">
        <v>177995103.34884998</v>
      </c>
      <c r="AB55" s="261">
        <f>+D55-'Data FY23-24 Final'!D55</f>
        <v>16150810</v>
      </c>
      <c r="AC55" s="261">
        <f>+E55-'Data FY23-24 Final'!E55</f>
        <v>8456020</v>
      </c>
      <c r="AD55" s="261">
        <f>+F55-'Data FY23-24 Final'!F55</f>
        <v>7694790</v>
      </c>
      <c r="AE55" s="261">
        <f>+G55-'Data FY23-24 Final'!G55</f>
        <v>-499647.85999999993</v>
      </c>
      <c r="AF55" s="288">
        <f>+H55-'Data FY23-24 Final'!H55</f>
        <v>0</v>
      </c>
      <c r="AG55" s="288">
        <f>+I55-'Data FY23-24 Final'!I55</f>
        <v>0</v>
      </c>
      <c r="AH55" s="288">
        <f>+J55-'Data FY23-24 Final'!J55</f>
        <v>0</v>
      </c>
      <c r="AI55" s="288">
        <f>+K55-'Data FY23-24 Final'!K55</f>
        <v>0</v>
      </c>
      <c r="AJ55" s="288">
        <f>+L55-'Data FY23-24 Final'!L55</f>
        <v>0</v>
      </c>
      <c r="AK55" s="288">
        <f>+M55-'Data FY23-24 Final'!M55</f>
        <v>0</v>
      </c>
      <c r="AL55" s="288">
        <f>+N55-'Data FY23-24 Final'!N55</f>
        <v>0</v>
      </c>
      <c r="AM55" s="288">
        <f>+O55-'Data FY23-24 Final'!O55</f>
        <v>-2.7249999999999979</v>
      </c>
      <c r="AN55" s="288">
        <f>+P55-'Data FY23-24 Final'!P55</f>
        <v>-0.12145629195527381</v>
      </c>
      <c r="AO55" s="288">
        <f>+Q55-'Data FY23-24 Final'!Q55</f>
        <v>-2.8464562919552705</v>
      </c>
      <c r="AP55" s="288">
        <f>+R55-'Data FY23-24 Final'!R55</f>
        <v>0</v>
      </c>
      <c r="AQ55" s="288">
        <f>+S55-'Data FY23-24 Final'!S55</f>
        <v>0</v>
      </c>
      <c r="AR55" s="288">
        <f>+T55-'Data FY23-24 Final'!T55</f>
        <v>0</v>
      </c>
      <c r="AS55" s="288">
        <f>+U55-'Data FY23-24 Final'!U55</f>
        <v>0</v>
      </c>
      <c r="AT55" s="288">
        <f>+V55-'Data FY23-24 Final'!V55</f>
        <v>0</v>
      </c>
      <c r="AU55" s="288">
        <f>+W55-'Data FY23-24 Final'!W55</f>
        <v>-2.8464562919552705</v>
      </c>
      <c r="AV55" s="288">
        <f>+X55-'Data FY23-24 Final'!X55</f>
        <v>0</v>
      </c>
      <c r="AW55" s="261">
        <f>+Y55-'Data FY23-24 Final'!Y55</f>
        <v>38795714.429999977</v>
      </c>
      <c r="AX55" s="261">
        <f>+Z55-'Data FY23-24 Final'!Z55</f>
        <v>33674821.553499967</v>
      </c>
    </row>
    <row r="56" spans="1:50" s="256" customFormat="1" ht="13" x14ac:dyDescent="0.3">
      <c r="A56" s="289" t="s">
        <v>204</v>
      </c>
      <c r="B56" s="289" t="s">
        <v>194</v>
      </c>
      <c r="C56" s="297" t="s">
        <v>205</v>
      </c>
      <c r="D56" s="378">
        <v>535327960</v>
      </c>
      <c r="E56" s="378">
        <v>0</v>
      </c>
      <c r="F56" s="378">
        <v>535327960</v>
      </c>
      <c r="G56" s="379">
        <v>1120.3599999999999</v>
      </c>
      <c r="H56" s="347">
        <v>27</v>
      </c>
      <c r="I56" s="347">
        <v>0</v>
      </c>
      <c r="J56" s="353">
        <f t="shared" si="8"/>
        <v>27</v>
      </c>
      <c r="K56" s="287">
        <v>0</v>
      </c>
      <c r="L56" s="300">
        <v>0</v>
      </c>
      <c r="M56" s="287">
        <v>0</v>
      </c>
      <c r="N56" s="353">
        <v>0</v>
      </c>
      <c r="O56" s="354">
        <v>9.1590000000000007</v>
      </c>
      <c r="P56" s="355">
        <f t="shared" si="7"/>
        <v>2.0928479057959158E-3</v>
      </c>
      <c r="Q56" s="360">
        <f t="shared" si="4"/>
        <v>36.161092847905792</v>
      </c>
      <c r="R56" s="299"/>
      <c r="S56" s="299"/>
      <c r="T56" s="299"/>
      <c r="U56" s="299"/>
      <c r="V56" s="299"/>
      <c r="W56" s="299">
        <f t="shared" si="5"/>
        <v>36.161092847905792</v>
      </c>
      <c r="X56" s="287">
        <v>63.027000000000001</v>
      </c>
      <c r="Y56" s="344">
        <v>36857490.240000002</v>
      </c>
      <c r="Z56" s="344">
        <v>20287165.717800003</v>
      </c>
      <c r="AB56" s="261">
        <f>+D56-'Data FY23-24 Final'!D56</f>
        <v>-356510</v>
      </c>
      <c r="AC56" s="261">
        <f>+E56-'Data FY23-24 Final'!E56</f>
        <v>0</v>
      </c>
      <c r="AD56" s="261">
        <f>+F56-'Data FY23-24 Final'!F56</f>
        <v>-356510</v>
      </c>
      <c r="AE56" s="261">
        <f>+G56-'Data FY23-24 Final'!G56</f>
        <v>-22715</v>
      </c>
      <c r="AF56" s="288">
        <f>+H56-'Data FY23-24 Final'!H56</f>
        <v>0</v>
      </c>
      <c r="AG56" s="288">
        <f>+I56-'Data FY23-24 Final'!I56</f>
        <v>0</v>
      </c>
      <c r="AH56" s="288">
        <f>+J56-'Data FY23-24 Final'!J56</f>
        <v>0</v>
      </c>
      <c r="AI56" s="288">
        <f>+K56-'Data FY23-24 Final'!K56</f>
        <v>0</v>
      </c>
      <c r="AJ56" s="288">
        <f>+L56-'Data FY23-24 Final'!L56</f>
        <v>0</v>
      </c>
      <c r="AK56" s="288">
        <f>+M56-'Data FY23-24 Final'!M56</f>
        <v>0</v>
      </c>
      <c r="AL56" s="288">
        <f>+N56-'Data FY23-24 Final'!N56</f>
        <v>0</v>
      </c>
      <c r="AM56" s="288">
        <f>+O56-'Data FY23-24 Final'!O56</f>
        <v>-8.1959999999999997</v>
      </c>
      <c r="AN56" s="288">
        <f>+P56-'Data FY23-24 Final'!P56</f>
        <v>-4.2907152094204079E-2</v>
      </c>
      <c r="AO56" s="288">
        <f>+Q56-'Data FY23-24 Final'!Q56</f>
        <v>-8.2389071520942068</v>
      </c>
      <c r="AP56" s="288">
        <f>+R56-'Data FY23-24 Final'!R56</f>
        <v>-10.6</v>
      </c>
      <c r="AQ56" s="288">
        <f>+S56-'Data FY23-24 Final'!S56</f>
        <v>0</v>
      </c>
      <c r="AR56" s="288">
        <f>+T56-'Data FY23-24 Final'!T56</f>
        <v>0</v>
      </c>
      <c r="AS56" s="288">
        <f>+U56-'Data FY23-24 Final'!U56</f>
        <v>0</v>
      </c>
      <c r="AT56" s="288">
        <f>+V56-'Data FY23-24 Final'!V56</f>
        <v>0</v>
      </c>
      <c r="AU56" s="288">
        <f>+W56-'Data FY23-24 Final'!W56</f>
        <v>-18.838907152094208</v>
      </c>
      <c r="AV56" s="288">
        <f>+X56-'Data FY23-24 Final'!X56</f>
        <v>0</v>
      </c>
      <c r="AW56" s="261">
        <f>+Y56-'Data FY23-24 Final'!Y56</f>
        <v>313492.6099999994</v>
      </c>
      <c r="AX56" s="261">
        <f>+Z56-'Data FY23-24 Final'!Z56</f>
        <v>-464935.03220000118</v>
      </c>
    </row>
    <row r="57" spans="1:50" s="256" customFormat="1" ht="13" x14ac:dyDescent="0.3">
      <c r="A57" s="289" t="s">
        <v>206</v>
      </c>
      <c r="B57" s="289" t="s">
        <v>194</v>
      </c>
      <c r="C57" s="297" t="s">
        <v>207</v>
      </c>
      <c r="D57" s="378">
        <v>187119160</v>
      </c>
      <c r="E57" s="378">
        <v>2611180</v>
      </c>
      <c r="F57" s="378">
        <v>184507980</v>
      </c>
      <c r="G57" s="379">
        <v>1688.85</v>
      </c>
      <c r="H57" s="347">
        <v>27</v>
      </c>
      <c r="I57" s="347">
        <v>0.18400000000000105</v>
      </c>
      <c r="J57" s="353">
        <f t="shared" si="8"/>
        <v>26.815999999999999</v>
      </c>
      <c r="K57" s="287">
        <v>0</v>
      </c>
      <c r="L57" s="300">
        <v>0</v>
      </c>
      <c r="M57" s="287">
        <v>0</v>
      </c>
      <c r="N57" s="353">
        <v>0</v>
      </c>
      <c r="O57" s="354">
        <v>9.7439999999999998</v>
      </c>
      <c r="P57" s="355">
        <f t="shared" si="7"/>
        <v>9.1532626393720212E-3</v>
      </c>
      <c r="Q57" s="360">
        <f t="shared" si="4"/>
        <v>36.569153262639375</v>
      </c>
      <c r="R57" s="299"/>
      <c r="S57" s="299"/>
      <c r="T57" s="299"/>
      <c r="U57" s="299"/>
      <c r="V57" s="299"/>
      <c r="W57" s="299">
        <f t="shared" si="5"/>
        <v>36.569153262639375</v>
      </c>
      <c r="X57" s="287">
        <v>70.731000000000009</v>
      </c>
      <c r="Y57" s="344">
        <v>14192406.91</v>
      </c>
      <c r="Z57" s="344">
        <v>8758106.1612999998</v>
      </c>
      <c r="AB57" s="261">
        <f>+D57-'Data FY23-24 Final'!D57</f>
        <v>1582330</v>
      </c>
      <c r="AC57" s="261">
        <f>+E57-'Data FY23-24 Final'!E57</f>
        <v>-2400</v>
      </c>
      <c r="AD57" s="261">
        <f>+F57-'Data FY23-24 Final'!F57</f>
        <v>1584730</v>
      </c>
      <c r="AE57" s="261">
        <f>+G57-'Data FY23-24 Final'!G57</f>
        <v>-37897.620000000003</v>
      </c>
      <c r="AF57" s="288">
        <f>+H57-'Data FY23-24 Final'!H57</f>
        <v>0</v>
      </c>
      <c r="AG57" s="288">
        <f>+I57-'Data FY23-24 Final'!I57</f>
        <v>-0.99999999999999889</v>
      </c>
      <c r="AH57" s="288">
        <f>+J57-'Data FY23-24 Final'!J57</f>
        <v>1</v>
      </c>
      <c r="AI57" s="288">
        <f>+K57-'Data FY23-24 Final'!K57</f>
        <v>0</v>
      </c>
      <c r="AJ57" s="288">
        <f>+L57-'Data FY23-24 Final'!L57</f>
        <v>0</v>
      </c>
      <c r="AK57" s="288">
        <f>+M57-'Data FY23-24 Final'!M57</f>
        <v>0</v>
      </c>
      <c r="AL57" s="288">
        <f>+N57-'Data FY23-24 Final'!N57</f>
        <v>0</v>
      </c>
      <c r="AM57" s="288">
        <f>+O57-'Data FY23-24 Final'!O57</f>
        <v>-13.431999999999999</v>
      </c>
      <c r="AN57" s="288">
        <f>+P57-'Data FY23-24 Final'!P57</f>
        <v>-0.20684673736062797</v>
      </c>
      <c r="AO57" s="288">
        <f>+Q57-'Data FY23-24 Final'!Q57</f>
        <v>-12.638846737360623</v>
      </c>
      <c r="AP57" s="288">
        <f>+R57-'Data FY23-24 Final'!R57</f>
        <v>0</v>
      </c>
      <c r="AQ57" s="288">
        <f>+S57-'Data FY23-24 Final'!S57</f>
        <v>0</v>
      </c>
      <c r="AR57" s="288">
        <f>+T57-'Data FY23-24 Final'!T57</f>
        <v>0</v>
      </c>
      <c r="AS57" s="288">
        <f>+U57-'Data FY23-24 Final'!U57</f>
        <v>0</v>
      </c>
      <c r="AT57" s="288">
        <f>+V57-'Data FY23-24 Final'!V57</f>
        <v>0</v>
      </c>
      <c r="AU57" s="288">
        <f>+W57-'Data FY23-24 Final'!W57</f>
        <v>-12.638846737360623</v>
      </c>
      <c r="AV57" s="288">
        <f>+X57-'Data FY23-24 Final'!X57</f>
        <v>0</v>
      </c>
      <c r="AW57" s="261">
        <f>+Y57-'Data FY23-24 Final'!Y57</f>
        <v>83610.859999999404</v>
      </c>
      <c r="AX57" s="261">
        <f>+Z57-'Data FY23-24 Final'!Z57</f>
        <v>-227647.29670000076</v>
      </c>
    </row>
    <row r="58" spans="1:50" s="256" customFormat="1" ht="13" x14ac:dyDescent="0.3">
      <c r="A58" s="289" t="s">
        <v>208</v>
      </c>
      <c r="B58" s="289" t="s">
        <v>194</v>
      </c>
      <c r="C58" s="297" t="s">
        <v>209</v>
      </c>
      <c r="D58" s="378">
        <v>2830329950</v>
      </c>
      <c r="E58" s="378">
        <v>50983330</v>
      </c>
      <c r="F58" s="378">
        <v>2779346620</v>
      </c>
      <c r="G58" s="379">
        <v>299884.36</v>
      </c>
      <c r="H58" s="347">
        <v>27</v>
      </c>
      <c r="I58" s="347">
        <v>0</v>
      </c>
      <c r="J58" s="353">
        <f t="shared" si="8"/>
        <v>27</v>
      </c>
      <c r="K58" s="287">
        <v>0</v>
      </c>
      <c r="L58" s="300">
        <v>0</v>
      </c>
      <c r="M58" s="287">
        <v>0</v>
      </c>
      <c r="N58" s="353">
        <v>0</v>
      </c>
      <c r="O58" s="354">
        <v>9.2449999999999992</v>
      </c>
      <c r="P58" s="355">
        <f t="shared" si="7"/>
        <v>0.10789743094367985</v>
      </c>
      <c r="Q58" s="360">
        <f t="shared" si="4"/>
        <v>36.352897430943678</v>
      </c>
      <c r="R58" s="299"/>
      <c r="S58" s="299"/>
      <c r="T58" s="299"/>
      <c r="U58" s="299"/>
      <c r="V58" s="299"/>
      <c r="W58" s="299">
        <f t="shared" si="5"/>
        <v>36.352897430943678</v>
      </c>
      <c r="X58" s="287">
        <v>87.867999999999995</v>
      </c>
      <c r="Y58" s="344">
        <v>261272402.69</v>
      </c>
      <c r="Z58" s="344">
        <v>176117566.39379999</v>
      </c>
      <c r="AB58" s="261">
        <f>+D58-'Data FY23-24 Final'!D58</f>
        <v>18930310</v>
      </c>
      <c r="AC58" s="261">
        <f>+E58-'Data FY23-24 Final'!E58</f>
        <v>3817130</v>
      </c>
      <c r="AD58" s="261">
        <f>+F58-'Data FY23-24 Final'!F58</f>
        <v>15113180</v>
      </c>
      <c r="AE58" s="261">
        <f>+G58-'Data FY23-24 Final'!G58</f>
        <v>-1586175.6099999999</v>
      </c>
      <c r="AF58" s="288">
        <f>+H58-'Data FY23-24 Final'!H58</f>
        <v>0</v>
      </c>
      <c r="AG58" s="288">
        <f>+I58-'Data FY23-24 Final'!I58</f>
        <v>0</v>
      </c>
      <c r="AH58" s="288">
        <f>+J58-'Data FY23-24 Final'!J58</f>
        <v>0</v>
      </c>
      <c r="AI58" s="288">
        <f>+K58-'Data FY23-24 Final'!K58</f>
        <v>0</v>
      </c>
      <c r="AJ58" s="288">
        <f>+L58-'Data FY23-24 Final'!L58</f>
        <v>0</v>
      </c>
      <c r="AK58" s="288">
        <f>+M58-'Data FY23-24 Final'!M58</f>
        <v>0</v>
      </c>
      <c r="AL58" s="288">
        <f>+N58-'Data FY23-24 Final'!N58</f>
        <v>0</v>
      </c>
      <c r="AM58" s="288">
        <f>+O58-'Data FY23-24 Final'!O58</f>
        <v>-0.43100000000000094</v>
      </c>
      <c r="AN58" s="288">
        <f>+P58-'Data FY23-24 Final'!P58</f>
        <v>-0.57110256905632018</v>
      </c>
      <c r="AO58" s="288">
        <f>+Q58-'Data FY23-24 Final'!Q58</f>
        <v>-1.0021025690563192</v>
      </c>
      <c r="AP58" s="288">
        <f>+R58-'Data FY23-24 Final'!R58</f>
        <v>-10.512</v>
      </c>
      <c r="AQ58" s="288">
        <f>+S58-'Data FY23-24 Final'!S58</f>
        <v>0</v>
      </c>
      <c r="AR58" s="288">
        <f>+T58-'Data FY23-24 Final'!T58</f>
        <v>0</v>
      </c>
      <c r="AS58" s="288">
        <f>+U58-'Data FY23-24 Final'!U58</f>
        <v>0</v>
      </c>
      <c r="AT58" s="288">
        <f>+V58-'Data FY23-24 Final'!V58</f>
        <v>0</v>
      </c>
      <c r="AU58" s="288">
        <f>+W58-'Data FY23-24 Final'!W58</f>
        <v>-11.51410256905632</v>
      </c>
      <c r="AV58" s="288">
        <f>+X58-'Data FY23-24 Final'!X58</f>
        <v>0</v>
      </c>
      <c r="AW58" s="261">
        <f>+Y58-'Data FY23-24 Final'!Y58</f>
        <v>3422138.1699999869</v>
      </c>
      <c r="AX58" s="261">
        <f>+Z58-'Data FY23-24 Final'!Z58</f>
        <v>-519615.84620001912</v>
      </c>
    </row>
    <row r="59" spans="1:50" s="256" customFormat="1" ht="13" x14ac:dyDescent="0.3">
      <c r="A59" s="289" t="s">
        <v>210</v>
      </c>
      <c r="B59" s="289" t="s">
        <v>194</v>
      </c>
      <c r="C59" s="297" t="s">
        <v>211</v>
      </c>
      <c r="D59" s="378">
        <v>62654220</v>
      </c>
      <c r="E59" s="378">
        <v>0</v>
      </c>
      <c r="F59" s="378">
        <v>62654220</v>
      </c>
      <c r="G59" s="379">
        <v>4036.53</v>
      </c>
      <c r="H59" s="347">
        <v>27</v>
      </c>
      <c r="I59" s="347">
        <v>0</v>
      </c>
      <c r="J59" s="353">
        <f t="shared" si="8"/>
        <v>27</v>
      </c>
      <c r="K59" s="287">
        <v>0</v>
      </c>
      <c r="L59" s="300">
        <v>0</v>
      </c>
      <c r="M59" s="287">
        <v>0</v>
      </c>
      <c r="N59" s="353">
        <v>0</v>
      </c>
      <c r="O59" s="354">
        <v>0</v>
      </c>
      <c r="P59" s="355">
        <f t="shared" si="7"/>
        <v>6.4425508768603298E-2</v>
      </c>
      <c r="Q59" s="360">
        <f t="shared" si="4"/>
        <v>27.064425508768604</v>
      </c>
      <c r="R59" s="299"/>
      <c r="S59" s="299"/>
      <c r="T59" s="299"/>
      <c r="U59" s="299"/>
      <c r="V59" s="299"/>
      <c r="W59" s="299">
        <f t="shared" si="5"/>
        <v>27.064425508768604</v>
      </c>
      <c r="X59" s="287">
        <v>170.589</v>
      </c>
      <c r="Y59" s="344">
        <v>10936799.289999999</v>
      </c>
      <c r="Z59" s="344">
        <v>9135241.9892999995</v>
      </c>
      <c r="AB59" s="261">
        <f>+D59-'Data FY23-24 Final'!D59</f>
        <v>1978540</v>
      </c>
      <c r="AC59" s="261">
        <f>+E59-'Data FY23-24 Final'!E59</f>
        <v>0</v>
      </c>
      <c r="AD59" s="261">
        <f>+F59-'Data FY23-24 Final'!F59</f>
        <v>1978540</v>
      </c>
      <c r="AE59" s="261">
        <f>+G59-'Data FY23-24 Final'!G59</f>
        <v>3820.9900000000002</v>
      </c>
      <c r="AF59" s="288">
        <f>+H59-'Data FY23-24 Final'!H59</f>
        <v>0</v>
      </c>
      <c r="AG59" s="288">
        <f>+I59-'Data FY23-24 Final'!I59</f>
        <v>0</v>
      </c>
      <c r="AH59" s="288">
        <f>+J59-'Data FY23-24 Final'!J59</f>
        <v>0</v>
      </c>
      <c r="AI59" s="288">
        <f>+K59-'Data FY23-24 Final'!K59</f>
        <v>0</v>
      </c>
      <c r="AJ59" s="288">
        <f>+L59-'Data FY23-24 Final'!L59</f>
        <v>0</v>
      </c>
      <c r="AK59" s="288">
        <f>+M59-'Data FY23-24 Final'!M59</f>
        <v>0</v>
      </c>
      <c r="AL59" s="288">
        <f>+N59-'Data FY23-24 Final'!N59</f>
        <v>0</v>
      </c>
      <c r="AM59" s="288">
        <f>+O59-'Data FY23-24 Final'!O59</f>
        <v>0</v>
      </c>
      <c r="AN59" s="288">
        <f>+P59-'Data FY23-24 Final'!P59</f>
        <v>6.4425508768603298E-2</v>
      </c>
      <c r="AO59" s="288">
        <f>+Q59-'Data FY23-24 Final'!Q59</f>
        <v>6.4425508768604089E-2</v>
      </c>
      <c r="AP59" s="288">
        <f>+R59-'Data FY23-24 Final'!R59</f>
        <v>0</v>
      </c>
      <c r="AQ59" s="288">
        <f>+S59-'Data FY23-24 Final'!S59</f>
        <v>0</v>
      </c>
      <c r="AR59" s="288">
        <f>+T59-'Data FY23-24 Final'!T59</f>
        <v>0</v>
      </c>
      <c r="AS59" s="288">
        <f>+U59-'Data FY23-24 Final'!U59</f>
        <v>0</v>
      </c>
      <c r="AT59" s="288">
        <f>+V59-'Data FY23-24 Final'!V59</f>
        <v>0</v>
      </c>
      <c r="AU59" s="288">
        <f>+W59-'Data FY23-24 Final'!W59</f>
        <v>6.4425508768604089E-2</v>
      </c>
      <c r="AV59" s="288">
        <f>+X59-'Data FY23-24 Final'!X59</f>
        <v>0</v>
      </c>
      <c r="AW59" s="261">
        <f>+Y59-'Data FY23-24 Final'!Y59</f>
        <v>240006.36999999918</v>
      </c>
      <c r="AX59" s="261">
        <f>+Z59-'Data FY23-24 Final'!Z59</f>
        <v>185637.24929999933</v>
      </c>
    </row>
    <row r="60" spans="1:50" s="256" customFormat="1" x14ac:dyDescent="0.25">
      <c r="A60" s="289" t="s">
        <v>212</v>
      </c>
      <c r="B60" s="289" t="s">
        <v>194</v>
      </c>
      <c r="C60" s="297" t="s">
        <v>213</v>
      </c>
      <c r="D60" s="344">
        <v>78758800</v>
      </c>
      <c r="E60" s="344">
        <v>0</v>
      </c>
      <c r="F60" s="344">
        <f t="shared" si="6"/>
        <v>78758800</v>
      </c>
      <c r="G60" s="343">
        <v>19559.41</v>
      </c>
      <c r="H60" s="347">
        <v>27</v>
      </c>
      <c r="I60" s="347">
        <v>1.5809999999999995</v>
      </c>
      <c r="J60" s="353">
        <f t="shared" si="8"/>
        <v>25.419</v>
      </c>
      <c r="K60" s="287">
        <v>0</v>
      </c>
      <c r="L60" s="300">
        <v>0</v>
      </c>
      <c r="M60" s="287">
        <v>0</v>
      </c>
      <c r="N60" s="353">
        <v>0</v>
      </c>
      <c r="O60" s="354">
        <v>0</v>
      </c>
      <c r="P60" s="355">
        <f t="shared" si="7"/>
        <v>0.24834570867001526</v>
      </c>
      <c r="Q60" s="360">
        <f t="shared" si="4"/>
        <v>25.667345708670016</v>
      </c>
      <c r="R60" s="299"/>
      <c r="S60" s="299"/>
      <c r="T60" s="299"/>
      <c r="U60" s="299"/>
      <c r="V60" s="299"/>
      <c r="W60" s="299">
        <f t="shared" si="5"/>
        <v>25.667345708670016</v>
      </c>
      <c r="X60" s="287">
        <v>90.34</v>
      </c>
      <c r="Y60" s="344">
        <v>7245269.8499999996</v>
      </c>
      <c r="Z60" s="344">
        <v>5191890.1864999998</v>
      </c>
      <c r="AB60" s="261">
        <f>+D60-'Data FY23-24 Final'!D60</f>
        <v>4192360</v>
      </c>
      <c r="AC60" s="261">
        <f>+E60-'Data FY23-24 Final'!E60</f>
        <v>0</v>
      </c>
      <c r="AD60" s="261">
        <f>+F60-'Data FY23-24 Final'!F60</f>
        <v>4192360</v>
      </c>
      <c r="AE60" s="261">
        <f>+G60-'Data FY23-24 Final'!G60</f>
        <v>19559.41</v>
      </c>
      <c r="AF60" s="288">
        <f>+H60-'Data FY23-24 Final'!H60</f>
        <v>0</v>
      </c>
      <c r="AG60" s="288">
        <f>+I60-'Data FY23-24 Final'!I60</f>
        <v>-1.0000000000000004</v>
      </c>
      <c r="AH60" s="288">
        <f>+J60-'Data FY23-24 Final'!J60</f>
        <v>1</v>
      </c>
      <c r="AI60" s="288">
        <f>+K60-'Data FY23-24 Final'!K60</f>
        <v>0</v>
      </c>
      <c r="AJ60" s="288">
        <f>+L60-'Data FY23-24 Final'!L60</f>
        <v>0</v>
      </c>
      <c r="AK60" s="288">
        <f>+M60-'Data FY23-24 Final'!M60</f>
        <v>0</v>
      </c>
      <c r="AL60" s="288">
        <f>+N60-'Data FY23-24 Final'!N60</f>
        <v>0</v>
      </c>
      <c r="AM60" s="288">
        <f>+O60-'Data FY23-24 Final'!O60</f>
        <v>0</v>
      </c>
      <c r="AN60" s="288">
        <f>+P60-'Data FY23-24 Final'!P60</f>
        <v>0.24834570867001526</v>
      </c>
      <c r="AO60" s="288">
        <f>+Q60-'Data FY23-24 Final'!Q60</f>
        <v>25.667345708670016</v>
      </c>
      <c r="AP60" s="288">
        <f>+R60-'Data FY23-24 Final'!R60</f>
        <v>0</v>
      </c>
      <c r="AQ60" s="288">
        <f>+S60-'Data FY23-24 Final'!S60</f>
        <v>0</v>
      </c>
      <c r="AR60" s="288">
        <f>+T60-'Data FY23-24 Final'!T60</f>
        <v>0</v>
      </c>
      <c r="AS60" s="288">
        <f>+U60-'Data FY23-24 Final'!U60</f>
        <v>0</v>
      </c>
      <c r="AT60" s="288">
        <f>+V60-'Data FY23-24 Final'!V60</f>
        <v>0</v>
      </c>
      <c r="AU60" s="288">
        <f>+W60-'Data FY23-24 Final'!W60</f>
        <v>1.2483457086700156</v>
      </c>
      <c r="AV60" s="288">
        <f>+X60-'Data FY23-24 Final'!X60</f>
        <v>0</v>
      </c>
      <c r="AW60" s="261">
        <f>+Y60-'Data FY23-24 Final'!Y60</f>
        <v>291078.97999999952</v>
      </c>
      <c r="AX60" s="261">
        <f>+Z60-'Data FY23-24 Final'!Z60</f>
        <v>197723.86486000009</v>
      </c>
    </row>
    <row r="61" spans="1:50" s="256" customFormat="1" ht="13" x14ac:dyDescent="0.3">
      <c r="A61" s="289" t="s">
        <v>214</v>
      </c>
      <c r="B61" s="289" t="s">
        <v>194</v>
      </c>
      <c r="C61" s="297" t="s">
        <v>215</v>
      </c>
      <c r="D61" s="378">
        <v>52971800</v>
      </c>
      <c r="E61" s="378">
        <v>0</v>
      </c>
      <c r="F61" s="378">
        <v>52971800</v>
      </c>
      <c r="G61" s="379">
        <v>106054.29</v>
      </c>
      <c r="H61" s="347">
        <v>26.128</v>
      </c>
      <c r="I61" s="347">
        <v>13.695</v>
      </c>
      <c r="J61" s="353">
        <f t="shared" si="8"/>
        <v>12.433</v>
      </c>
      <c r="K61" s="287">
        <v>0</v>
      </c>
      <c r="L61" s="300">
        <v>0</v>
      </c>
      <c r="M61" s="287">
        <v>0</v>
      </c>
      <c r="N61" s="353">
        <v>0</v>
      </c>
      <c r="O61" s="354">
        <v>0</v>
      </c>
      <c r="P61" s="355">
        <f t="shared" si="7"/>
        <v>2.0020896023922163</v>
      </c>
      <c r="Q61" s="360">
        <f t="shared" si="4"/>
        <v>14.435089602392216</v>
      </c>
      <c r="R61" s="299"/>
      <c r="S61" s="299"/>
      <c r="T61" s="299"/>
      <c r="U61" s="299"/>
      <c r="V61" s="299"/>
      <c r="W61" s="299">
        <f t="shared" si="5"/>
        <v>14.435089602392216</v>
      </c>
      <c r="X61" s="287">
        <v>77.001000000000005</v>
      </c>
      <c r="Y61" s="344">
        <v>4247900.24</v>
      </c>
      <c r="Z61" s="344">
        <v>3581274.2685700003</v>
      </c>
      <c r="AB61" s="261">
        <f>+D61-'Data FY23-24 Final'!D61</f>
        <v>-645630</v>
      </c>
      <c r="AC61" s="261">
        <f>+E61-'Data FY23-24 Final'!E61</f>
        <v>0</v>
      </c>
      <c r="AD61" s="261">
        <f>+F61-'Data FY23-24 Final'!F61</f>
        <v>-645630</v>
      </c>
      <c r="AE61" s="261">
        <f>+G61-'Data FY23-24 Final'!G61</f>
        <v>-32867.919999999998</v>
      </c>
      <c r="AF61" s="288">
        <f>+H61-'Data FY23-24 Final'!H61</f>
        <v>0</v>
      </c>
      <c r="AG61" s="288">
        <f>+I61-'Data FY23-24 Final'!I61</f>
        <v>-1</v>
      </c>
      <c r="AH61" s="288">
        <f>+J61-'Data FY23-24 Final'!J61</f>
        <v>1</v>
      </c>
      <c r="AI61" s="288">
        <f>+K61-'Data FY23-24 Final'!K61</f>
        <v>0</v>
      </c>
      <c r="AJ61" s="288">
        <f>+L61-'Data FY23-24 Final'!L61</f>
        <v>0</v>
      </c>
      <c r="AK61" s="288">
        <f>+M61-'Data FY23-24 Final'!M61</f>
        <v>0</v>
      </c>
      <c r="AL61" s="288">
        <f>+N61-'Data FY23-24 Final'!N61</f>
        <v>0</v>
      </c>
      <c r="AM61" s="288">
        <f>+O61-'Data FY23-24 Final'!O61</f>
        <v>0</v>
      </c>
      <c r="AN61" s="288">
        <f>+P61-'Data FY23-24 Final'!P61</f>
        <v>-0.58891039760778385</v>
      </c>
      <c r="AO61" s="288">
        <f>+Q61-'Data FY23-24 Final'!Q61</f>
        <v>0.41108960239221659</v>
      </c>
      <c r="AP61" s="288">
        <f>+R61-'Data FY23-24 Final'!R61</f>
        <v>-17.5</v>
      </c>
      <c r="AQ61" s="288">
        <f>+S61-'Data FY23-24 Final'!S61</f>
        <v>0</v>
      </c>
      <c r="AR61" s="288">
        <f>+T61-'Data FY23-24 Final'!T61</f>
        <v>0</v>
      </c>
      <c r="AS61" s="288">
        <f>+U61-'Data FY23-24 Final'!U61</f>
        <v>0</v>
      </c>
      <c r="AT61" s="288">
        <f>+V61-'Data FY23-24 Final'!V61</f>
        <v>0</v>
      </c>
      <c r="AU61" s="288">
        <f>+W61-'Data FY23-24 Final'!W61</f>
        <v>-17.088910397607783</v>
      </c>
      <c r="AV61" s="288">
        <f>+X61-'Data FY23-24 Final'!X61</f>
        <v>0</v>
      </c>
      <c r="AW61" s="261">
        <f>+Y61-'Data FY23-24 Final'!Y61</f>
        <v>85602.870000000112</v>
      </c>
      <c r="AX61" s="261">
        <f>+Z61-'Data FY23-24 Final'!Z61</f>
        <v>84646.075760000385</v>
      </c>
    </row>
    <row r="62" spans="1:50" s="256" customFormat="1" ht="13" x14ac:dyDescent="0.3">
      <c r="A62" s="289" t="s">
        <v>216</v>
      </c>
      <c r="B62" s="289" t="s">
        <v>194</v>
      </c>
      <c r="C62" s="297" t="s">
        <v>217</v>
      </c>
      <c r="D62" s="378">
        <v>932027940</v>
      </c>
      <c r="E62" s="378">
        <v>0</v>
      </c>
      <c r="F62" s="378">
        <v>932027940</v>
      </c>
      <c r="G62" s="379">
        <v>64041.77</v>
      </c>
      <c r="H62" s="347">
        <v>27</v>
      </c>
      <c r="I62" s="347">
        <v>0</v>
      </c>
      <c r="J62" s="353">
        <f t="shared" si="8"/>
        <v>27</v>
      </c>
      <c r="K62" s="287">
        <v>0</v>
      </c>
      <c r="L62" s="300">
        <v>0</v>
      </c>
      <c r="M62" s="287">
        <v>0</v>
      </c>
      <c r="N62" s="353">
        <v>0</v>
      </c>
      <c r="O62" s="354">
        <v>4.149</v>
      </c>
      <c r="P62" s="355">
        <f t="shared" si="7"/>
        <v>6.8712285599506817E-2</v>
      </c>
      <c r="Q62" s="360">
        <f t="shared" si="4"/>
        <v>31.217712285599507</v>
      </c>
      <c r="R62" s="299"/>
      <c r="S62" s="299"/>
      <c r="T62" s="299"/>
      <c r="U62" s="299"/>
      <c r="V62" s="299"/>
      <c r="W62" s="299">
        <f t="shared" si="5"/>
        <v>31.217712285599507</v>
      </c>
      <c r="X62" s="287">
        <v>65.173000000000002</v>
      </c>
      <c r="Y62" s="344">
        <v>64488814.490000002</v>
      </c>
      <c r="Z62" s="344">
        <v>37608702.445120007</v>
      </c>
      <c r="AB62" s="261">
        <f>+D62-'Data FY23-24 Final'!D62</f>
        <v>15974200</v>
      </c>
      <c r="AC62" s="261">
        <f>+E62-'Data FY23-24 Final'!E62</f>
        <v>0</v>
      </c>
      <c r="AD62" s="261">
        <f>+F62-'Data FY23-24 Final'!F62</f>
        <v>15974200</v>
      </c>
      <c r="AE62" s="261">
        <f>+G62-'Data FY23-24 Final'!G62</f>
        <v>40857.97</v>
      </c>
      <c r="AF62" s="288">
        <f>+H62-'Data FY23-24 Final'!H62</f>
        <v>0</v>
      </c>
      <c r="AG62" s="288">
        <f>+I62-'Data FY23-24 Final'!I62</f>
        <v>-0.83599999999999997</v>
      </c>
      <c r="AH62" s="288">
        <f>+J62-'Data FY23-24 Final'!J62</f>
        <v>0.83599999999999852</v>
      </c>
      <c r="AI62" s="288">
        <f>+K62-'Data FY23-24 Final'!K62</f>
        <v>0</v>
      </c>
      <c r="AJ62" s="288">
        <f>+L62-'Data FY23-24 Final'!L62</f>
        <v>0</v>
      </c>
      <c r="AK62" s="288">
        <f>+M62-'Data FY23-24 Final'!M62</f>
        <v>0</v>
      </c>
      <c r="AL62" s="288">
        <f>+N62-'Data FY23-24 Final'!N62</f>
        <v>0</v>
      </c>
      <c r="AM62" s="288">
        <f>+O62-'Data FY23-24 Final'!O62</f>
        <v>-0.21699999999999964</v>
      </c>
      <c r="AN62" s="288">
        <f>+P62-'Data FY23-24 Final'!P62</f>
        <v>4.6712285599506818E-2</v>
      </c>
      <c r="AO62" s="288">
        <f>+Q62-'Data FY23-24 Final'!Q62</f>
        <v>0.66571228559950768</v>
      </c>
      <c r="AP62" s="288">
        <f>+R62-'Data FY23-24 Final'!R62</f>
        <v>-6.9480000000000004</v>
      </c>
      <c r="AQ62" s="288">
        <f>+S62-'Data FY23-24 Final'!S62</f>
        <v>0</v>
      </c>
      <c r="AR62" s="288">
        <f>+T62-'Data FY23-24 Final'!T62</f>
        <v>0</v>
      </c>
      <c r="AS62" s="288">
        <f>+U62-'Data FY23-24 Final'!U62</f>
        <v>0</v>
      </c>
      <c r="AT62" s="288">
        <f>+V62-'Data FY23-24 Final'!V62</f>
        <v>0</v>
      </c>
      <c r="AU62" s="288">
        <f>+W62-'Data FY23-24 Final'!W62</f>
        <v>-6.2822877144004927</v>
      </c>
      <c r="AV62" s="288">
        <f>+X62-'Data FY23-24 Final'!X62</f>
        <v>0</v>
      </c>
      <c r="AW62" s="261">
        <f>+Y62-'Data FY23-24 Final'!Y62</f>
        <v>736282.3200000003</v>
      </c>
      <c r="AX62" s="261">
        <f>+Z62-'Data FY23-24 Final'!Z62</f>
        <v>-353043.61151999235</v>
      </c>
    </row>
    <row r="63" spans="1:50" s="256" customFormat="1" ht="13" x14ac:dyDescent="0.3">
      <c r="A63" s="289" t="s">
        <v>218</v>
      </c>
      <c r="B63" s="289" t="s">
        <v>194</v>
      </c>
      <c r="C63" s="297" t="s">
        <v>219</v>
      </c>
      <c r="D63" s="378">
        <v>1709687150</v>
      </c>
      <c r="E63" s="378">
        <v>0</v>
      </c>
      <c r="F63" s="378">
        <v>1709687150</v>
      </c>
      <c r="G63" s="378">
        <v>110451.73</v>
      </c>
      <c r="H63" s="347">
        <v>27</v>
      </c>
      <c r="I63" s="347">
        <v>0</v>
      </c>
      <c r="J63" s="353">
        <f t="shared" si="8"/>
        <v>27</v>
      </c>
      <c r="K63" s="287">
        <v>0</v>
      </c>
      <c r="L63" s="300">
        <v>0</v>
      </c>
      <c r="M63" s="287">
        <v>0</v>
      </c>
      <c r="N63" s="353">
        <v>0</v>
      </c>
      <c r="O63" s="354">
        <v>4.1970000000000001</v>
      </c>
      <c r="P63" s="355">
        <f t="shared" si="7"/>
        <v>6.4603474384187773E-2</v>
      </c>
      <c r="Q63" s="360">
        <f t="shared" si="4"/>
        <v>31.261603474384188</v>
      </c>
      <c r="R63" s="299"/>
      <c r="S63" s="299"/>
      <c r="T63" s="299"/>
      <c r="U63" s="299"/>
      <c r="V63" s="299"/>
      <c r="W63" s="299">
        <f t="shared" si="5"/>
        <v>31.261603474384188</v>
      </c>
      <c r="X63" s="287">
        <v>166.73099999999999</v>
      </c>
      <c r="Y63" s="344">
        <v>301342749.76999998</v>
      </c>
      <c r="Z63" s="344">
        <v>249719508.07449996</v>
      </c>
      <c r="AB63" s="261">
        <f>+D63-'Data FY23-24 Final'!D63</f>
        <v>44427210</v>
      </c>
      <c r="AC63" s="261">
        <f>+E63-'Data FY23-24 Final'!E63</f>
        <v>0</v>
      </c>
      <c r="AD63" s="261">
        <f>+F63-'Data FY23-24 Final'!F63</f>
        <v>44427210</v>
      </c>
      <c r="AE63" s="261">
        <f>+G63-'Data FY23-24 Final'!G63</f>
        <v>-17942.270000000004</v>
      </c>
      <c r="AF63" s="288">
        <f>+H63-'Data FY23-24 Final'!H63</f>
        <v>0</v>
      </c>
      <c r="AG63" s="288">
        <f>+I63-'Data FY23-24 Final'!I63</f>
        <v>0</v>
      </c>
      <c r="AH63" s="288">
        <f>+J63-'Data FY23-24 Final'!J63</f>
        <v>0</v>
      </c>
      <c r="AI63" s="288">
        <f>+K63-'Data FY23-24 Final'!K63</f>
        <v>0</v>
      </c>
      <c r="AJ63" s="288">
        <f>+L63-'Data FY23-24 Final'!L63</f>
        <v>0</v>
      </c>
      <c r="AK63" s="288">
        <f>+M63-'Data FY23-24 Final'!M63</f>
        <v>0</v>
      </c>
      <c r="AL63" s="288">
        <f>+N63-'Data FY23-24 Final'!N63</f>
        <v>0</v>
      </c>
      <c r="AM63" s="288">
        <f>+O63-'Data FY23-24 Final'!O63</f>
        <v>-14.303000000000001</v>
      </c>
      <c r="AN63" s="288">
        <f>+P63-'Data FY23-24 Final'!P63</f>
        <v>-1.2396525615812226E-2</v>
      </c>
      <c r="AO63" s="288">
        <f>+Q63-'Data FY23-24 Final'!Q63</f>
        <v>-14.31539652561581</v>
      </c>
      <c r="AP63" s="288">
        <f>+R63-'Data FY23-24 Final'!R63</f>
        <v>0</v>
      </c>
      <c r="AQ63" s="288">
        <f>+S63-'Data FY23-24 Final'!S63</f>
        <v>0</v>
      </c>
      <c r="AR63" s="288">
        <f>+T63-'Data FY23-24 Final'!T63</f>
        <v>0</v>
      </c>
      <c r="AS63" s="288">
        <f>+U63-'Data FY23-24 Final'!U63</f>
        <v>0</v>
      </c>
      <c r="AT63" s="288">
        <f>+V63-'Data FY23-24 Final'!V63</f>
        <v>0</v>
      </c>
      <c r="AU63" s="288">
        <f>+W63-'Data FY23-24 Final'!W63</f>
        <v>-14.31539652561581</v>
      </c>
      <c r="AV63" s="288">
        <f>+X63-'Data FY23-24 Final'!X63</f>
        <v>0</v>
      </c>
      <c r="AW63" s="261">
        <f>+Y63-'Data FY23-24 Final'!Y63</f>
        <v>-8401239.8799999952</v>
      </c>
      <c r="AX63" s="261">
        <f>+Z63-'Data FY23-24 Final'!Z63</f>
        <v>-14090483.715500027</v>
      </c>
    </row>
    <row r="64" spans="1:50" s="256" customFormat="1" ht="13" x14ac:dyDescent="0.3">
      <c r="A64" s="289" t="s">
        <v>220</v>
      </c>
      <c r="B64" s="289" t="s">
        <v>194</v>
      </c>
      <c r="C64" s="297" t="s">
        <v>221</v>
      </c>
      <c r="D64" s="378">
        <v>8252774</v>
      </c>
      <c r="E64" s="378">
        <v>0</v>
      </c>
      <c r="F64" s="378">
        <v>8252774</v>
      </c>
      <c r="G64" s="379">
        <v>24.43</v>
      </c>
      <c r="H64" s="347">
        <v>27</v>
      </c>
      <c r="I64" s="347">
        <v>0</v>
      </c>
      <c r="J64" s="353">
        <f t="shared" si="8"/>
        <v>27</v>
      </c>
      <c r="K64" s="287">
        <v>0</v>
      </c>
      <c r="L64" s="300">
        <v>0</v>
      </c>
      <c r="M64" s="287">
        <v>0</v>
      </c>
      <c r="N64" s="353">
        <v>0</v>
      </c>
      <c r="O64" s="354">
        <v>0</v>
      </c>
      <c r="P64" s="355">
        <f t="shared" si="7"/>
        <v>2.9602167707488418E-3</v>
      </c>
      <c r="Q64" s="360">
        <f t="shared" si="4"/>
        <v>27.002960216770749</v>
      </c>
      <c r="R64" s="299"/>
      <c r="S64" s="299"/>
      <c r="T64" s="299"/>
      <c r="U64" s="299"/>
      <c r="V64" s="299"/>
      <c r="W64" s="299">
        <f t="shared" si="5"/>
        <v>27.002960216770749</v>
      </c>
      <c r="X64" s="287">
        <v>315.25900000000001</v>
      </c>
      <c r="Y64" s="344">
        <v>2559061.8199999998</v>
      </c>
      <c r="Z64" s="344">
        <v>2323741.4087999999</v>
      </c>
      <c r="AB64" s="261">
        <f>+D64-'Data FY23-24 Final'!D64</f>
        <v>574766</v>
      </c>
      <c r="AC64" s="261">
        <f>+E64-'Data FY23-24 Final'!E64</f>
        <v>0</v>
      </c>
      <c r="AD64" s="261">
        <f>+F64-'Data FY23-24 Final'!F64</f>
        <v>574766</v>
      </c>
      <c r="AE64" s="261">
        <f>+G64-'Data FY23-24 Final'!G64</f>
        <v>-1128.5</v>
      </c>
      <c r="AF64" s="288">
        <f>+H64-'Data FY23-24 Final'!H64</f>
        <v>0</v>
      </c>
      <c r="AG64" s="288">
        <f>+I64-'Data FY23-24 Final'!I64</f>
        <v>0</v>
      </c>
      <c r="AH64" s="288">
        <f>+J64-'Data FY23-24 Final'!J64</f>
        <v>0</v>
      </c>
      <c r="AI64" s="288">
        <f>+K64-'Data FY23-24 Final'!K64</f>
        <v>0</v>
      </c>
      <c r="AJ64" s="288">
        <f>+L64-'Data FY23-24 Final'!L64</f>
        <v>0</v>
      </c>
      <c r="AK64" s="288">
        <f>+M64-'Data FY23-24 Final'!M64</f>
        <v>0</v>
      </c>
      <c r="AL64" s="288">
        <f>+N64-'Data FY23-24 Final'!N64</f>
        <v>0</v>
      </c>
      <c r="AM64" s="288">
        <f>+O64-'Data FY23-24 Final'!O64</f>
        <v>0</v>
      </c>
      <c r="AN64" s="288">
        <f>+P64-'Data FY23-24 Final'!P64</f>
        <v>2.9602167707488418E-3</v>
      </c>
      <c r="AO64" s="288">
        <f>+Q64-'Data FY23-24 Final'!Q64</f>
        <v>2.9602167707487581E-3</v>
      </c>
      <c r="AP64" s="288">
        <f>+R64-'Data FY23-24 Final'!R64</f>
        <v>0</v>
      </c>
      <c r="AQ64" s="288">
        <f>+S64-'Data FY23-24 Final'!S64</f>
        <v>0</v>
      </c>
      <c r="AR64" s="288">
        <f>+T64-'Data FY23-24 Final'!T64</f>
        <v>0</v>
      </c>
      <c r="AS64" s="288">
        <f>+U64-'Data FY23-24 Final'!U64</f>
        <v>0</v>
      </c>
      <c r="AT64" s="288">
        <f>+V64-'Data FY23-24 Final'!V64</f>
        <v>0</v>
      </c>
      <c r="AU64" s="288">
        <f>+W64-'Data FY23-24 Final'!W64</f>
        <v>2.9602167707487581E-3</v>
      </c>
      <c r="AV64" s="288">
        <f>+X64-'Data FY23-24 Final'!X64</f>
        <v>0</v>
      </c>
      <c r="AW64" s="261">
        <f>+Y64-'Data FY23-24 Final'!Y64</f>
        <v>146106.65999999968</v>
      </c>
      <c r="AX64" s="261">
        <f>+Z64-'Data FY23-24 Final'!Z64</f>
        <v>135243.30479999958</v>
      </c>
    </row>
    <row r="65" spans="1:50" s="256" customFormat="1" x14ac:dyDescent="0.25">
      <c r="A65" s="289" t="s">
        <v>222</v>
      </c>
      <c r="B65" s="289" t="s">
        <v>194</v>
      </c>
      <c r="C65" s="297" t="s">
        <v>223</v>
      </c>
      <c r="D65" s="344">
        <v>42827020</v>
      </c>
      <c r="E65" s="344">
        <v>0</v>
      </c>
      <c r="F65" s="344">
        <f t="shared" si="6"/>
        <v>42827020</v>
      </c>
      <c r="G65" s="343">
        <v>1117.31</v>
      </c>
      <c r="H65" s="347">
        <v>27</v>
      </c>
      <c r="I65" s="347">
        <v>2.1659999999999968</v>
      </c>
      <c r="J65" s="353">
        <f t="shared" si="8"/>
        <v>24.834000000000003</v>
      </c>
      <c r="K65" s="287">
        <v>0</v>
      </c>
      <c r="L65" s="300">
        <v>0</v>
      </c>
      <c r="M65" s="287">
        <v>0.94700000000000006</v>
      </c>
      <c r="N65" s="353">
        <v>0</v>
      </c>
      <c r="O65" s="354">
        <v>0</v>
      </c>
      <c r="P65" s="355">
        <f t="shared" si="7"/>
        <v>2.6088903687438443E-2</v>
      </c>
      <c r="Q65" s="360">
        <f t="shared" si="4"/>
        <v>25.80708890368744</v>
      </c>
      <c r="R65" s="299"/>
      <c r="S65" s="299"/>
      <c r="T65" s="299"/>
      <c r="U65" s="299"/>
      <c r="V65" s="299"/>
      <c r="W65" s="299">
        <f t="shared" si="5"/>
        <v>25.80708890368744</v>
      </c>
      <c r="X65" s="287">
        <v>104.01299999999999</v>
      </c>
      <c r="Y65" s="344">
        <v>4528040</v>
      </c>
      <c r="Z65" s="344">
        <v>3433834.1910199998</v>
      </c>
      <c r="AB65" s="261">
        <f>+D65-'Data FY23-24 Final'!D65</f>
        <v>1763992</v>
      </c>
      <c r="AC65" s="261">
        <f>+E65-'Data FY23-24 Final'!E65</f>
        <v>0</v>
      </c>
      <c r="AD65" s="261">
        <f>+F65-'Data FY23-24 Final'!F65</f>
        <v>1763992</v>
      </c>
      <c r="AE65" s="261">
        <f>+G65-'Data FY23-24 Final'!G65</f>
        <v>738.22</v>
      </c>
      <c r="AF65" s="288">
        <f>+H65-'Data FY23-24 Final'!H65</f>
        <v>0</v>
      </c>
      <c r="AG65" s="288">
        <f>+I65-'Data FY23-24 Final'!I65</f>
        <v>-1.0000000000000031</v>
      </c>
      <c r="AH65" s="288">
        <f>+J65-'Data FY23-24 Final'!J65</f>
        <v>1.0000000000000036</v>
      </c>
      <c r="AI65" s="288">
        <f>+K65-'Data FY23-24 Final'!K65</f>
        <v>0</v>
      </c>
      <c r="AJ65" s="288">
        <f>+L65-'Data FY23-24 Final'!L65</f>
        <v>0</v>
      </c>
      <c r="AK65" s="288">
        <f>+M65-'Data FY23-24 Final'!M65</f>
        <v>-4.0999999999999925E-2</v>
      </c>
      <c r="AL65" s="288">
        <f>+N65-'Data FY23-24 Final'!N65</f>
        <v>0</v>
      </c>
      <c r="AM65" s="288">
        <f>+O65-'Data FY23-24 Final'!O65</f>
        <v>0</v>
      </c>
      <c r="AN65" s="288">
        <f>+P65-'Data FY23-24 Final'!P65</f>
        <v>1.7088903687438442E-2</v>
      </c>
      <c r="AO65" s="288">
        <f>+Q65-'Data FY23-24 Final'!Q65</f>
        <v>0.97608890368744028</v>
      </c>
      <c r="AP65" s="288">
        <f>+R65-'Data FY23-24 Final'!R65</f>
        <v>-3.8450000000000002</v>
      </c>
      <c r="AQ65" s="288">
        <f>+S65-'Data FY23-24 Final'!S65</f>
        <v>0</v>
      </c>
      <c r="AR65" s="288">
        <f>+T65-'Data FY23-24 Final'!T65</f>
        <v>0</v>
      </c>
      <c r="AS65" s="288">
        <f>+U65-'Data FY23-24 Final'!U65</f>
        <v>0</v>
      </c>
      <c r="AT65" s="288">
        <f>+V65-'Data FY23-24 Final'!V65</f>
        <v>0</v>
      </c>
      <c r="AU65" s="288">
        <f>+W65-'Data FY23-24 Final'!W65</f>
        <v>-2.8689110963125586</v>
      </c>
      <c r="AV65" s="288">
        <f>+X65-'Data FY23-24 Final'!X65</f>
        <v>0</v>
      </c>
      <c r="AW65" s="261">
        <f>+Y65-'Data FY23-24 Final'!Y65</f>
        <v>-460644.3200000003</v>
      </c>
      <c r="AX65" s="261">
        <f>+Z65-'Data FY23-24 Final'!Z65</f>
        <v>-489438.96962800017</v>
      </c>
    </row>
    <row r="66" spans="1:50" s="256" customFormat="1" ht="13" x14ac:dyDescent="0.3">
      <c r="A66" s="289" t="s">
        <v>224</v>
      </c>
      <c r="B66" s="289" t="s">
        <v>225</v>
      </c>
      <c r="C66" s="297" t="s">
        <v>226</v>
      </c>
      <c r="D66" s="378">
        <v>343745219</v>
      </c>
      <c r="E66" s="378">
        <v>6264261</v>
      </c>
      <c r="F66" s="378">
        <v>337480958</v>
      </c>
      <c r="G66" s="379">
        <v>41180.19</v>
      </c>
      <c r="H66" s="347">
        <v>27</v>
      </c>
      <c r="I66" s="347">
        <v>0</v>
      </c>
      <c r="J66" s="353">
        <f t="shared" si="8"/>
        <v>27</v>
      </c>
      <c r="K66" s="287">
        <v>0</v>
      </c>
      <c r="L66" s="300">
        <v>0</v>
      </c>
      <c r="M66" s="287">
        <v>0</v>
      </c>
      <c r="N66" s="353">
        <v>0</v>
      </c>
      <c r="O66" s="354">
        <v>0</v>
      </c>
      <c r="P66" s="355">
        <f t="shared" si="7"/>
        <v>0.12202226236420723</v>
      </c>
      <c r="Q66" s="360">
        <f t="shared" si="4"/>
        <v>27.122022262364208</v>
      </c>
      <c r="R66" s="299"/>
      <c r="S66" s="299"/>
      <c r="T66" s="299"/>
      <c r="U66" s="299"/>
      <c r="V66" s="299"/>
      <c r="W66" s="299">
        <f t="shared" si="5"/>
        <v>27.122022262364208</v>
      </c>
      <c r="X66" s="287">
        <v>91.67</v>
      </c>
      <c r="Y66" s="344">
        <v>34113711.859999999</v>
      </c>
      <c r="Z66" s="344">
        <v>23211503.266899999</v>
      </c>
      <c r="AB66" s="261">
        <f>+D66-'Data FY23-24 Final'!D66</f>
        <v>12326483</v>
      </c>
      <c r="AC66" s="261">
        <f>+E66-'Data FY23-24 Final'!E66</f>
        <v>4439408</v>
      </c>
      <c r="AD66" s="261">
        <f>+F66-'Data FY23-24 Final'!F66</f>
        <v>7887075</v>
      </c>
      <c r="AE66" s="261">
        <f>+G66-'Data FY23-24 Final'!G66</f>
        <v>9131.8500000000022</v>
      </c>
      <c r="AF66" s="288">
        <f>+H66-'Data FY23-24 Final'!H66</f>
        <v>0</v>
      </c>
      <c r="AG66" s="288">
        <f>+I66-'Data FY23-24 Final'!I66</f>
        <v>0</v>
      </c>
      <c r="AH66" s="288">
        <f>+J66-'Data FY23-24 Final'!J66</f>
        <v>0</v>
      </c>
      <c r="AI66" s="288">
        <f>+K66-'Data FY23-24 Final'!K66</f>
        <v>0</v>
      </c>
      <c r="AJ66" s="288">
        <f>+L66-'Data FY23-24 Final'!L66</f>
        <v>0</v>
      </c>
      <c r="AK66" s="288">
        <f>+M66-'Data FY23-24 Final'!M66</f>
        <v>0</v>
      </c>
      <c r="AL66" s="288">
        <f>+N66-'Data FY23-24 Final'!N66</f>
        <v>0</v>
      </c>
      <c r="AM66" s="288">
        <f>+O66-'Data FY23-24 Final'!O66</f>
        <v>-4.202</v>
      </c>
      <c r="AN66" s="288">
        <f>+P66-'Data FY23-24 Final'!P66</f>
        <v>2.5022262364207223E-2</v>
      </c>
      <c r="AO66" s="288">
        <f>+Q66-'Data FY23-24 Final'!Q66</f>
        <v>-4.1769777376357915</v>
      </c>
      <c r="AP66" s="288">
        <f>+R66-'Data FY23-24 Final'!R66</f>
        <v>-11.680999999999999</v>
      </c>
      <c r="AQ66" s="288">
        <f>+S66-'Data FY23-24 Final'!S66</f>
        <v>0</v>
      </c>
      <c r="AR66" s="288">
        <f>+T66-'Data FY23-24 Final'!T66</f>
        <v>0</v>
      </c>
      <c r="AS66" s="288">
        <f>+U66-'Data FY23-24 Final'!U66</f>
        <v>0</v>
      </c>
      <c r="AT66" s="288">
        <f>+V66-'Data FY23-24 Final'!V66</f>
        <v>0</v>
      </c>
      <c r="AU66" s="288">
        <f>+W66-'Data FY23-24 Final'!W66</f>
        <v>-15.857977737635789</v>
      </c>
      <c r="AV66" s="288">
        <f>+X66-'Data FY23-24 Final'!X66</f>
        <v>0</v>
      </c>
      <c r="AW66" s="261">
        <f>+Y66-'Data FY23-24 Final'!Y66</f>
        <v>726010.93999999762</v>
      </c>
      <c r="AX66" s="261">
        <f>+Z66-'Data FY23-24 Final'!Z66</f>
        <v>-202736.60210000351</v>
      </c>
    </row>
    <row r="67" spans="1:50" s="256" customFormat="1" ht="13" x14ac:dyDescent="0.3">
      <c r="A67" s="289" t="s">
        <v>227</v>
      </c>
      <c r="B67" s="289" t="s">
        <v>225</v>
      </c>
      <c r="C67" s="297" t="s">
        <v>228</v>
      </c>
      <c r="D67" s="378">
        <v>191372087</v>
      </c>
      <c r="E67" s="378">
        <v>0</v>
      </c>
      <c r="F67" s="378">
        <v>191372087</v>
      </c>
      <c r="G67" s="379">
        <v>14129.69</v>
      </c>
      <c r="H67" s="347">
        <v>27</v>
      </c>
      <c r="I67" s="347">
        <v>7.796999999999997</v>
      </c>
      <c r="J67" s="353">
        <f t="shared" si="8"/>
        <v>19.203000000000003</v>
      </c>
      <c r="K67" s="287">
        <v>0</v>
      </c>
      <c r="L67" s="300">
        <v>0</v>
      </c>
      <c r="M67" s="287">
        <v>0</v>
      </c>
      <c r="N67" s="353">
        <v>0</v>
      </c>
      <c r="O67" s="354">
        <v>1.768</v>
      </c>
      <c r="P67" s="355">
        <f t="shared" ref="P67:P98" si="9">+G67/F67*1000</f>
        <v>7.3833599358719443E-2</v>
      </c>
      <c r="Q67" s="360">
        <f t="shared" si="4"/>
        <v>21.044833599358721</v>
      </c>
      <c r="R67" s="299"/>
      <c r="S67" s="299"/>
      <c r="T67" s="299"/>
      <c r="U67" s="299"/>
      <c r="V67" s="299"/>
      <c r="W67" s="299">
        <f t="shared" si="5"/>
        <v>21.044833599358721</v>
      </c>
      <c r="X67" s="287">
        <v>68.624000000000009</v>
      </c>
      <c r="Y67" s="344">
        <v>13966299.560000001</v>
      </c>
      <c r="Z67" s="344">
        <v>9979448.9897330012</v>
      </c>
      <c r="AB67" s="261">
        <f>+D67-'Data FY23-24 Final'!D67</f>
        <v>6103077</v>
      </c>
      <c r="AC67" s="261">
        <f>+E67-'Data FY23-24 Final'!E67</f>
        <v>0</v>
      </c>
      <c r="AD67" s="261">
        <f>+F67-'Data FY23-24 Final'!F67</f>
        <v>6103077</v>
      </c>
      <c r="AE67" s="261">
        <f>+G67-'Data FY23-24 Final'!G67</f>
        <v>8351.4000000000015</v>
      </c>
      <c r="AF67" s="288">
        <f>+H67-'Data FY23-24 Final'!H67</f>
        <v>0</v>
      </c>
      <c r="AG67" s="288">
        <f>+I67-'Data FY23-24 Final'!I67</f>
        <v>-1.0000000000000036</v>
      </c>
      <c r="AH67" s="288">
        <f>+J67-'Data FY23-24 Final'!J67</f>
        <v>1.0000000000000036</v>
      </c>
      <c r="AI67" s="288">
        <f>+K67-'Data FY23-24 Final'!K67</f>
        <v>0</v>
      </c>
      <c r="AJ67" s="288">
        <f>+L67-'Data FY23-24 Final'!L67</f>
        <v>0</v>
      </c>
      <c r="AK67" s="288">
        <f>+M67-'Data FY23-24 Final'!M67</f>
        <v>0</v>
      </c>
      <c r="AL67" s="288">
        <f>+N67-'Data FY23-24 Final'!N67</f>
        <v>0</v>
      </c>
      <c r="AM67" s="288">
        <f>+O67-'Data FY23-24 Final'!O67</f>
        <v>-0.121</v>
      </c>
      <c r="AN67" s="288">
        <f>+P67-'Data FY23-24 Final'!P67</f>
        <v>4.2833599358719443E-2</v>
      </c>
      <c r="AO67" s="288">
        <f>+Q67-'Data FY23-24 Final'!Q67</f>
        <v>0.92183359935872033</v>
      </c>
      <c r="AP67" s="288">
        <f>+R67-'Data FY23-24 Final'!R67</f>
        <v>-10.189</v>
      </c>
      <c r="AQ67" s="288">
        <f>+S67-'Data FY23-24 Final'!S67</f>
        <v>0</v>
      </c>
      <c r="AR67" s="288">
        <f>+T67-'Data FY23-24 Final'!T67</f>
        <v>0</v>
      </c>
      <c r="AS67" s="288">
        <f>+U67-'Data FY23-24 Final'!U67</f>
        <v>0</v>
      </c>
      <c r="AT67" s="288">
        <f>+V67-'Data FY23-24 Final'!V67</f>
        <v>0</v>
      </c>
      <c r="AU67" s="288">
        <f>+W67-'Data FY23-24 Final'!W67</f>
        <v>-9.2671664006412797</v>
      </c>
      <c r="AV67" s="288">
        <f>+X67-'Data FY23-24 Final'!X67</f>
        <v>0</v>
      </c>
      <c r="AW67" s="261">
        <f>+Y67-'Data FY23-24 Final'!Y67</f>
        <v>276886.49000000022</v>
      </c>
      <c r="AX67" s="261">
        <f>+Z67-'Data FY23-24 Final'!Z67</f>
        <v>17918.97876300104</v>
      </c>
    </row>
    <row r="68" spans="1:50" s="256" customFormat="1" ht="13" x14ac:dyDescent="0.3">
      <c r="A68" s="289" t="s">
        <v>229</v>
      </c>
      <c r="B68" s="289" t="s">
        <v>225</v>
      </c>
      <c r="C68" s="297" t="s">
        <v>230</v>
      </c>
      <c r="D68" s="378">
        <v>92216969</v>
      </c>
      <c r="E68" s="378">
        <v>0</v>
      </c>
      <c r="F68" s="378">
        <v>92216969</v>
      </c>
      <c r="G68" s="379">
        <v>4162.1499999999996</v>
      </c>
      <c r="H68" s="347">
        <v>27</v>
      </c>
      <c r="I68" s="347">
        <v>1.2979999999999983</v>
      </c>
      <c r="J68" s="353">
        <f t="shared" si="8"/>
        <v>25.702000000000002</v>
      </c>
      <c r="K68" s="287">
        <v>0</v>
      </c>
      <c r="L68" s="300">
        <v>0</v>
      </c>
      <c r="M68" s="287">
        <v>0</v>
      </c>
      <c r="N68" s="353">
        <v>0</v>
      </c>
      <c r="O68" s="354">
        <v>0</v>
      </c>
      <c r="P68" s="355">
        <f t="shared" si="9"/>
        <v>4.5134317958335841E-2</v>
      </c>
      <c r="Q68" s="360">
        <f t="shared" ref="Q68:Q131" si="10">SUM(J68:P68)</f>
        <v>25.747134317958338</v>
      </c>
      <c r="R68" s="299"/>
      <c r="S68" s="299"/>
      <c r="T68" s="299"/>
      <c r="U68" s="299"/>
      <c r="V68" s="299"/>
      <c r="W68" s="299">
        <f t="shared" ref="W68:W131" si="11">Q68+(SUM(R68:V68))</f>
        <v>25.747134317958338</v>
      </c>
      <c r="X68" s="287">
        <v>33.404000000000003</v>
      </c>
      <c r="Y68" s="344">
        <v>3306415.31</v>
      </c>
      <c r="Z68" s="344">
        <v>833796.95303000009</v>
      </c>
      <c r="AB68" s="261">
        <f>+D68-'Data FY23-24 Final'!D68</f>
        <v>2646649</v>
      </c>
      <c r="AC68" s="261">
        <f>+E68-'Data FY23-24 Final'!E68</f>
        <v>0</v>
      </c>
      <c r="AD68" s="261">
        <f>+F68-'Data FY23-24 Final'!F68</f>
        <v>2646649</v>
      </c>
      <c r="AE68" s="261">
        <f>+G68-'Data FY23-24 Final'!G68</f>
        <v>4019.0499999999997</v>
      </c>
      <c r="AF68" s="288">
        <f>+H68-'Data FY23-24 Final'!H68</f>
        <v>0</v>
      </c>
      <c r="AG68" s="288">
        <f>+I68-'Data FY23-24 Final'!I68</f>
        <v>-1.0000000000000018</v>
      </c>
      <c r="AH68" s="288">
        <f>+J68-'Data FY23-24 Final'!J68</f>
        <v>1</v>
      </c>
      <c r="AI68" s="288">
        <f>+K68-'Data FY23-24 Final'!K68</f>
        <v>0</v>
      </c>
      <c r="AJ68" s="288">
        <f>+L68-'Data FY23-24 Final'!L68</f>
        <v>0</v>
      </c>
      <c r="AK68" s="288">
        <f>+M68-'Data FY23-24 Final'!M68</f>
        <v>0</v>
      </c>
      <c r="AL68" s="288">
        <f>+N68-'Data FY23-24 Final'!N68</f>
        <v>0</v>
      </c>
      <c r="AM68" s="288">
        <f>+O68-'Data FY23-24 Final'!O68</f>
        <v>-2</v>
      </c>
      <c r="AN68" s="288">
        <f>+P68-'Data FY23-24 Final'!P68</f>
        <v>4.4134317958335841E-2</v>
      </c>
      <c r="AO68" s="288">
        <f>+Q68-'Data FY23-24 Final'!Q68</f>
        <v>-0.95586568204166156</v>
      </c>
      <c r="AP68" s="288">
        <f>+R68-'Data FY23-24 Final'!R68</f>
        <v>0</v>
      </c>
      <c r="AQ68" s="288">
        <f>+S68-'Data FY23-24 Final'!S68</f>
        <v>0</v>
      </c>
      <c r="AR68" s="288">
        <f>+T68-'Data FY23-24 Final'!T68</f>
        <v>0</v>
      </c>
      <c r="AS68" s="288">
        <f>+U68-'Data FY23-24 Final'!U68</f>
        <v>0</v>
      </c>
      <c r="AT68" s="288">
        <f>+V68-'Data FY23-24 Final'!V68</f>
        <v>0</v>
      </c>
      <c r="AU68" s="288">
        <f>+W68-'Data FY23-24 Final'!W68</f>
        <v>-0.95586568204166156</v>
      </c>
      <c r="AV68" s="288">
        <f>+X68-'Data FY23-24 Final'!X68</f>
        <v>0</v>
      </c>
      <c r="AW68" s="261">
        <f>+Y68-'Data FY23-24 Final'!Y68</f>
        <v>62230.240000000224</v>
      </c>
      <c r="AX68" s="261">
        <f>+Z68-'Data FY23-24 Final'!Z68</f>
        <v>34053.927670000237</v>
      </c>
    </row>
    <row r="69" spans="1:50" s="256" customFormat="1" x14ac:dyDescent="0.25">
      <c r="A69" s="289" t="s">
        <v>231</v>
      </c>
      <c r="B69" s="289" t="s">
        <v>232</v>
      </c>
      <c r="C69" s="297" t="s">
        <v>233</v>
      </c>
      <c r="D69" s="344">
        <v>1913102841</v>
      </c>
      <c r="E69" s="344">
        <v>1390680</v>
      </c>
      <c r="F69" s="344">
        <f t="shared" ref="F69:F131" si="12">+D69-E69</f>
        <v>1911712161</v>
      </c>
      <c r="G69" s="343">
        <v>228482.13999999998</v>
      </c>
      <c r="H69" s="347">
        <v>27</v>
      </c>
      <c r="I69" s="347">
        <v>1.2409999999999997</v>
      </c>
      <c r="J69" s="353">
        <f t="shared" si="8"/>
        <v>25.759</v>
      </c>
      <c r="K69" s="287">
        <v>0</v>
      </c>
      <c r="L69" s="300">
        <v>0</v>
      </c>
      <c r="M69" s="287">
        <v>0</v>
      </c>
      <c r="N69" s="353">
        <v>0</v>
      </c>
      <c r="O69" s="354">
        <v>4.6030000000000006</v>
      </c>
      <c r="P69" s="355">
        <f t="shared" si="9"/>
        <v>0.11951701969635584</v>
      </c>
      <c r="Q69" s="360">
        <f t="shared" si="10"/>
        <v>30.481517019696359</v>
      </c>
      <c r="R69" s="299"/>
      <c r="S69" s="299"/>
      <c r="T69" s="299"/>
      <c r="U69" s="299"/>
      <c r="V69" s="299"/>
      <c r="W69" s="299">
        <f t="shared" si="11"/>
        <v>30.481517019696359</v>
      </c>
      <c r="X69" s="287">
        <v>33.987000000000002</v>
      </c>
      <c r="Y69" s="344">
        <v>66617655.549999997</v>
      </c>
      <c r="Z69" s="344">
        <v>17641585.830700997</v>
      </c>
      <c r="AB69" s="261">
        <f>+D69-'Data FY23-24 Final'!D69</f>
        <v>83335041</v>
      </c>
      <c r="AC69" s="261">
        <f>+E69-'Data FY23-24 Final'!E69</f>
        <v>-70790</v>
      </c>
      <c r="AD69" s="261">
        <f>+F69-'Data FY23-24 Final'!F69</f>
        <v>83405831</v>
      </c>
      <c r="AE69" s="261">
        <f>+G69-'Data FY23-24 Final'!G69</f>
        <v>127797.13999999998</v>
      </c>
      <c r="AF69" s="288">
        <f>+H69-'Data FY23-24 Final'!H69</f>
        <v>0</v>
      </c>
      <c r="AG69" s="288">
        <f>+I69-'Data FY23-24 Final'!I69</f>
        <v>-1.0000000000000004</v>
      </c>
      <c r="AH69" s="288">
        <f>+J69-'Data FY23-24 Final'!J69</f>
        <v>1</v>
      </c>
      <c r="AI69" s="288">
        <f>+K69-'Data FY23-24 Final'!K69</f>
        <v>0</v>
      </c>
      <c r="AJ69" s="288">
        <f>+L69-'Data FY23-24 Final'!L69</f>
        <v>0</v>
      </c>
      <c r="AK69" s="288">
        <f>+M69-'Data FY23-24 Final'!M69</f>
        <v>0</v>
      </c>
      <c r="AL69" s="288">
        <f>+N69-'Data FY23-24 Final'!N69</f>
        <v>0</v>
      </c>
      <c r="AM69" s="288">
        <f>+O69-'Data FY23-24 Final'!O69</f>
        <v>-4.72</v>
      </c>
      <c r="AN69" s="288">
        <f>+P69-'Data FY23-24 Final'!P69</f>
        <v>6.4517019696355843E-2</v>
      </c>
      <c r="AO69" s="288">
        <f>+Q69-'Data FY23-24 Final'!Q69</f>
        <v>-3.6554829803036419</v>
      </c>
      <c r="AP69" s="288">
        <f>+R69-'Data FY23-24 Final'!R69</f>
        <v>-7.66</v>
      </c>
      <c r="AQ69" s="288">
        <f>+S69-'Data FY23-24 Final'!S69</f>
        <v>0</v>
      </c>
      <c r="AR69" s="288">
        <f>+T69-'Data FY23-24 Final'!T69</f>
        <v>0</v>
      </c>
      <c r="AS69" s="288">
        <f>+U69-'Data FY23-24 Final'!U69</f>
        <v>0</v>
      </c>
      <c r="AT69" s="288">
        <f>+V69-'Data FY23-24 Final'!V69</f>
        <v>0</v>
      </c>
      <c r="AU69" s="288">
        <f>+W69-'Data FY23-24 Final'!W69</f>
        <v>-11.315482980303639</v>
      </c>
      <c r="AV69" s="288">
        <f>+X69-'Data FY23-24 Final'!X69</f>
        <v>0</v>
      </c>
      <c r="AW69" s="261">
        <f>+Y69-'Data FY23-24 Final'!Y69</f>
        <v>3058167.3640000001</v>
      </c>
      <c r="AX69" s="261">
        <f>+Z69-'Data FY23-24 Final'!Z69</f>
        <v>983327.99917099997</v>
      </c>
    </row>
    <row r="70" spans="1:50" s="256" customFormat="1" ht="13" x14ac:dyDescent="0.3">
      <c r="A70" s="289" t="s">
        <v>234</v>
      </c>
      <c r="B70" s="289" t="s">
        <v>232</v>
      </c>
      <c r="C70" s="297" t="s">
        <v>235</v>
      </c>
      <c r="D70" s="378">
        <v>958963920</v>
      </c>
      <c r="E70" s="378">
        <v>2341390</v>
      </c>
      <c r="F70" s="378">
        <v>956622530</v>
      </c>
      <c r="G70" s="379">
        <v>26186.82</v>
      </c>
      <c r="H70" s="347">
        <v>16.282</v>
      </c>
      <c r="I70" s="347">
        <v>7.5820000000000007</v>
      </c>
      <c r="J70" s="353">
        <f t="shared" si="8"/>
        <v>8.6999999999999993</v>
      </c>
      <c r="K70" s="287">
        <v>0</v>
      </c>
      <c r="L70" s="300">
        <v>0</v>
      </c>
      <c r="M70" s="287">
        <v>0</v>
      </c>
      <c r="N70" s="353">
        <v>0</v>
      </c>
      <c r="O70" s="354">
        <v>3.1389999999999998</v>
      </c>
      <c r="P70" s="355">
        <f t="shared" si="9"/>
        <v>2.7374245513536045E-2</v>
      </c>
      <c r="Q70" s="360">
        <f t="shared" si="10"/>
        <v>11.866374245513535</v>
      </c>
      <c r="R70" s="299"/>
      <c r="S70" s="299"/>
      <c r="T70" s="299"/>
      <c r="U70" s="299"/>
      <c r="V70" s="299"/>
      <c r="W70" s="299">
        <f t="shared" si="11"/>
        <v>11.866374245513535</v>
      </c>
      <c r="X70" s="287">
        <v>34.317</v>
      </c>
      <c r="Y70" s="344">
        <v>47296320.710000001</v>
      </c>
      <c r="Z70" s="344">
        <v>36460431.829099998</v>
      </c>
      <c r="AB70" s="261">
        <f>+D70-'Data FY23-24 Final'!D70</f>
        <v>-385887350</v>
      </c>
      <c r="AC70" s="261">
        <f>+E70-'Data FY23-24 Final'!E70</f>
        <v>43020</v>
      </c>
      <c r="AD70" s="261">
        <f>+F70-'Data FY23-24 Final'!F70</f>
        <v>-385930370</v>
      </c>
      <c r="AE70" s="261">
        <f>+G70-'Data FY23-24 Final'!G70</f>
        <v>-1068.6599999999999</v>
      </c>
      <c r="AF70" s="288">
        <f>+H70-'Data FY23-24 Final'!H70</f>
        <v>0</v>
      </c>
      <c r="AG70" s="288">
        <f>+I70-'Data FY23-24 Final'!I70</f>
        <v>-1</v>
      </c>
      <c r="AH70" s="288">
        <f>+J70-'Data FY23-24 Final'!J70</f>
        <v>0.99999999999999911</v>
      </c>
      <c r="AI70" s="288">
        <f>+K70-'Data FY23-24 Final'!K70</f>
        <v>0</v>
      </c>
      <c r="AJ70" s="288">
        <f>+L70-'Data FY23-24 Final'!L70</f>
        <v>0</v>
      </c>
      <c r="AK70" s="288">
        <f>+M70-'Data FY23-24 Final'!M70</f>
        <v>0</v>
      </c>
      <c r="AL70" s="288">
        <f>+N70-'Data FY23-24 Final'!N70</f>
        <v>0</v>
      </c>
      <c r="AM70" s="288">
        <f>+O70-'Data FY23-24 Final'!O70</f>
        <v>-3.714</v>
      </c>
      <c r="AN70" s="288">
        <f>+P70-'Data FY23-24 Final'!P70</f>
        <v>7.374245513536045E-3</v>
      </c>
      <c r="AO70" s="288">
        <f>+Q70-'Data FY23-24 Final'!Q70</f>
        <v>-2.7066257544864651</v>
      </c>
      <c r="AP70" s="288">
        <f>+R70-'Data FY23-24 Final'!R70</f>
        <v>-6.2830000000000004</v>
      </c>
      <c r="AQ70" s="288">
        <f>+S70-'Data FY23-24 Final'!S70</f>
        <v>0</v>
      </c>
      <c r="AR70" s="288">
        <f>+T70-'Data FY23-24 Final'!T70</f>
        <v>0</v>
      </c>
      <c r="AS70" s="288">
        <f>+U70-'Data FY23-24 Final'!U70</f>
        <v>0</v>
      </c>
      <c r="AT70" s="288">
        <f>+V70-'Data FY23-24 Final'!V70</f>
        <v>0</v>
      </c>
      <c r="AU70" s="288">
        <f>+W70-'Data FY23-24 Final'!W70</f>
        <v>-8.9896257544864664</v>
      </c>
      <c r="AV70" s="288">
        <f>+X70-'Data FY23-24 Final'!X70</f>
        <v>0</v>
      </c>
      <c r="AW70" s="261">
        <f>+Y70-'Data FY23-24 Final'!Y70</f>
        <v>1154227.7100000009</v>
      </c>
      <c r="AX70" s="261">
        <f>+Z70-'Data FY23-24 Final'!Z70</f>
        <v>1088663.919099994</v>
      </c>
    </row>
    <row r="71" spans="1:50" s="256" customFormat="1" ht="13" x14ac:dyDescent="0.3">
      <c r="A71" s="289" t="s">
        <v>236</v>
      </c>
      <c r="B71" s="289" t="s">
        <v>232</v>
      </c>
      <c r="C71" s="297" t="s">
        <v>237</v>
      </c>
      <c r="D71" s="378">
        <v>739632560</v>
      </c>
      <c r="E71" s="378">
        <v>0</v>
      </c>
      <c r="F71" s="378">
        <v>739632560</v>
      </c>
      <c r="G71" s="379">
        <v>217.66</v>
      </c>
      <c r="H71" s="347">
        <v>4.3949999999999996</v>
      </c>
      <c r="I71" s="347">
        <v>0</v>
      </c>
      <c r="J71" s="353">
        <f t="shared" si="8"/>
        <v>4.3949999999999996</v>
      </c>
      <c r="K71" s="287">
        <v>0</v>
      </c>
      <c r="L71" s="300">
        <v>0</v>
      </c>
      <c r="M71" s="287">
        <v>0</v>
      </c>
      <c r="N71" s="353">
        <v>0</v>
      </c>
      <c r="O71" s="354">
        <v>1.7309999999999999</v>
      </c>
      <c r="P71" s="355">
        <f t="shared" si="9"/>
        <v>2.9428125770990932E-4</v>
      </c>
      <c r="Q71" s="360">
        <f t="shared" si="10"/>
        <v>6.1262942812577093</v>
      </c>
      <c r="R71" s="299"/>
      <c r="S71" s="299"/>
      <c r="T71" s="299"/>
      <c r="U71" s="299"/>
      <c r="V71" s="299"/>
      <c r="W71" s="299">
        <f t="shared" si="11"/>
        <v>6.1262942812577093</v>
      </c>
      <c r="X71" s="287">
        <v>10.247999999999999</v>
      </c>
      <c r="Y71" s="344">
        <v>13120565.890000001</v>
      </c>
      <c r="Z71" s="344">
        <v>7325147.4520500014</v>
      </c>
      <c r="AB71" s="261">
        <f>+D71-'Data FY23-24 Final'!D71</f>
        <v>-506587930</v>
      </c>
      <c r="AC71" s="261">
        <f>+E71-'Data FY23-24 Final'!E71</f>
        <v>0</v>
      </c>
      <c r="AD71" s="261">
        <f>+F71-'Data FY23-24 Final'!F71</f>
        <v>-506587930</v>
      </c>
      <c r="AE71" s="261">
        <f>+G71-'Data FY23-24 Final'!G71</f>
        <v>-273.34000000000003</v>
      </c>
      <c r="AF71" s="288">
        <f>+H71-'Data FY23-24 Final'!H71</f>
        <v>0</v>
      </c>
      <c r="AG71" s="288">
        <f>+I71-'Data FY23-24 Final'!I71</f>
        <v>0</v>
      </c>
      <c r="AH71" s="288">
        <f>+J71-'Data FY23-24 Final'!J71</f>
        <v>0</v>
      </c>
      <c r="AI71" s="288">
        <f>+K71-'Data FY23-24 Final'!K71</f>
        <v>0</v>
      </c>
      <c r="AJ71" s="288">
        <f>+L71-'Data FY23-24 Final'!L71</f>
        <v>0</v>
      </c>
      <c r="AK71" s="288">
        <f>+M71-'Data FY23-24 Final'!M71</f>
        <v>0</v>
      </c>
      <c r="AL71" s="288">
        <f>+N71-'Data FY23-24 Final'!N71</f>
        <v>0</v>
      </c>
      <c r="AM71" s="288">
        <f>+O71-'Data FY23-24 Final'!O71</f>
        <v>-8.0000000000002292E-3</v>
      </c>
      <c r="AN71" s="288">
        <f>+P71-'Data FY23-24 Final'!P71</f>
        <v>2.9428125770990932E-4</v>
      </c>
      <c r="AO71" s="288">
        <f>+Q71-'Data FY23-24 Final'!Q71</f>
        <v>-7.70571874229109E-3</v>
      </c>
      <c r="AP71" s="288">
        <f>+R71-'Data FY23-24 Final'!R71</f>
        <v>-4.34</v>
      </c>
      <c r="AQ71" s="288">
        <f>+S71-'Data FY23-24 Final'!S71</f>
        <v>0</v>
      </c>
      <c r="AR71" s="288">
        <f>+T71-'Data FY23-24 Final'!T71</f>
        <v>0</v>
      </c>
      <c r="AS71" s="288">
        <f>+U71-'Data FY23-24 Final'!U71</f>
        <v>0</v>
      </c>
      <c r="AT71" s="288">
        <f>+V71-'Data FY23-24 Final'!V71</f>
        <v>0</v>
      </c>
      <c r="AU71" s="288">
        <f>+W71-'Data FY23-24 Final'!W71</f>
        <v>-4.3477057187422909</v>
      </c>
      <c r="AV71" s="288">
        <f>+X71-'Data FY23-24 Final'!X71</f>
        <v>0</v>
      </c>
      <c r="AW71" s="261">
        <f>+Y71-'Data FY23-24 Final'!Y71</f>
        <v>-119965.26999999955</v>
      </c>
      <c r="AX71" s="261">
        <f>+Z71-'Data FY23-24 Final'!Z71</f>
        <v>-194164.95439999923</v>
      </c>
    </row>
    <row r="72" spans="1:50" s="256" customFormat="1" ht="13" x14ac:dyDescent="0.3">
      <c r="A72" s="289" t="s">
        <v>238</v>
      </c>
      <c r="B72" s="289" t="s">
        <v>239</v>
      </c>
      <c r="C72" s="297" t="s">
        <v>239</v>
      </c>
      <c r="D72" s="378">
        <v>464735280</v>
      </c>
      <c r="E72" s="378">
        <v>0</v>
      </c>
      <c r="F72" s="378">
        <v>464735280</v>
      </c>
      <c r="G72" s="379">
        <v>202.244</v>
      </c>
      <c r="H72" s="347">
        <v>6.6509999999999998</v>
      </c>
      <c r="I72" s="347">
        <v>0</v>
      </c>
      <c r="J72" s="353">
        <f t="shared" si="8"/>
        <v>6.6509999999999998</v>
      </c>
      <c r="K72" s="287">
        <v>0</v>
      </c>
      <c r="L72" s="300">
        <v>0</v>
      </c>
      <c r="M72" s="287">
        <v>0</v>
      </c>
      <c r="N72" s="353">
        <v>0</v>
      </c>
      <c r="O72" s="354">
        <v>2.0990000000000002</v>
      </c>
      <c r="P72" s="355">
        <f t="shared" si="9"/>
        <v>4.3518107770944351E-4</v>
      </c>
      <c r="Q72" s="360">
        <f t="shared" si="10"/>
        <v>8.7504351810777088</v>
      </c>
      <c r="R72" s="299"/>
      <c r="S72" s="299"/>
      <c r="T72" s="299"/>
      <c r="U72" s="299"/>
      <c r="V72" s="299"/>
      <c r="W72" s="299">
        <f t="shared" si="11"/>
        <v>8.7504351810777088</v>
      </c>
      <c r="X72" s="287">
        <v>11.227</v>
      </c>
      <c r="Y72" s="344">
        <v>5378349.8799999999</v>
      </c>
      <c r="Z72" s="344">
        <v>2137504.9468669998</v>
      </c>
      <c r="AB72" s="261">
        <f>+D72-'Data FY23-24 Final'!D72</f>
        <v>2600370</v>
      </c>
      <c r="AC72" s="261">
        <f>+E72-'Data FY23-24 Final'!E72</f>
        <v>0</v>
      </c>
      <c r="AD72" s="261">
        <f>+F72-'Data FY23-24 Final'!F72</f>
        <v>2600370</v>
      </c>
      <c r="AE72" s="261">
        <f>+G72-'Data FY23-24 Final'!G72</f>
        <v>128.45400000000001</v>
      </c>
      <c r="AF72" s="288">
        <f>+H72-'Data FY23-24 Final'!H72</f>
        <v>0</v>
      </c>
      <c r="AG72" s="288">
        <f>+I72-'Data FY23-24 Final'!I72</f>
        <v>0</v>
      </c>
      <c r="AH72" s="288">
        <f>+J72-'Data FY23-24 Final'!J72</f>
        <v>0</v>
      </c>
      <c r="AI72" s="288">
        <f>+K72-'Data FY23-24 Final'!K72</f>
        <v>0</v>
      </c>
      <c r="AJ72" s="288">
        <f>+L72-'Data FY23-24 Final'!L72</f>
        <v>0</v>
      </c>
      <c r="AK72" s="288">
        <f>+M72-'Data FY23-24 Final'!M72</f>
        <v>0</v>
      </c>
      <c r="AL72" s="288">
        <f>+N72-'Data FY23-24 Final'!N72</f>
        <v>0</v>
      </c>
      <c r="AM72" s="288">
        <f>+O72-'Data FY23-24 Final'!O72</f>
        <v>-0.36499999999999977</v>
      </c>
      <c r="AN72" s="288">
        <f>+P72-'Data FY23-24 Final'!P72</f>
        <v>4.3518107770944351E-4</v>
      </c>
      <c r="AO72" s="288">
        <f>+Q72-'Data FY23-24 Final'!Q72</f>
        <v>-0.36456481892229142</v>
      </c>
      <c r="AP72" s="288">
        <f>+R72-'Data FY23-24 Final'!R72</f>
        <v>0</v>
      </c>
      <c r="AQ72" s="288">
        <f>+S72-'Data FY23-24 Final'!S72</f>
        <v>-0.36199999999999999</v>
      </c>
      <c r="AR72" s="288">
        <f>+T72-'Data FY23-24 Final'!T72</f>
        <v>0</v>
      </c>
      <c r="AS72" s="288">
        <f>+U72-'Data FY23-24 Final'!U72</f>
        <v>0</v>
      </c>
      <c r="AT72" s="288">
        <f>+V72-'Data FY23-24 Final'!V72</f>
        <v>0</v>
      </c>
      <c r="AU72" s="288">
        <f>+W72-'Data FY23-24 Final'!W72</f>
        <v>-0.72656481892229152</v>
      </c>
      <c r="AV72" s="288">
        <f>+X72-'Data FY23-24 Final'!X72</f>
        <v>0</v>
      </c>
      <c r="AW72" s="261">
        <f>+Y72-'Data FY23-24 Final'!Y72</f>
        <v>38488.349999999627</v>
      </c>
      <c r="AX72" s="261">
        <f>+Z72-'Data FY23-24 Final'!Z72</f>
        <v>12119.12327699922</v>
      </c>
    </row>
    <row r="73" spans="1:50" s="256" customFormat="1" x14ac:dyDescent="0.25">
      <c r="A73" s="289" t="s">
        <v>240</v>
      </c>
      <c r="B73" s="289" t="s">
        <v>241</v>
      </c>
      <c r="C73" s="297" t="s">
        <v>242</v>
      </c>
      <c r="D73" s="344">
        <v>162507510</v>
      </c>
      <c r="E73" s="344">
        <v>0</v>
      </c>
      <c r="F73" s="344">
        <f t="shared" si="12"/>
        <v>162507510</v>
      </c>
      <c r="G73" s="343">
        <v>23692.930000000004</v>
      </c>
      <c r="H73" s="347">
        <v>13.811</v>
      </c>
      <c r="I73" s="347">
        <v>0</v>
      </c>
      <c r="J73" s="353">
        <f t="shared" si="8"/>
        <v>13.811</v>
      </c>
      <c r="K73" s="287">
        <v>0</v>
      </c>
      <c r="L73" s="300">
        <v>0</v>
      </c>
      <c r="M73" s="287">
        <v>0</v>
      </c>
      <c r="N73" s="353">
        <v>0</v>
      </c>
      <c r="O73" s="354">
        <v>6.7690000000000001</v>
      </c>
      <c r="P73" s="355">
        <f t="shared" si="9"/>
        <v>0.14579590813987614</v>
      </c>
      <c r="Q73" s="360">
        <f t="shared" si="10"/>
        <v>20.725795908139876</v>
      </c>
      <c r="R73" s="299"/>
      <c r="S73" s="299"/>
      <c r="T73" s="299"/>
      <c r="U73" s="299"/>
      <c r="V73" s="299"/>
      <c r="W73" s="299">
        <f t="shared" si="11"/>
        <v>20.725795908139876</v>
      </c>
      <c r="X73" s="287">
        <v>32.755000000000003</v>
      </c>
      <c r="Y73" s="344">
        <v>5435949.5199999996</v>
      </c>
      <c r="Z73" s="344">
        <v>3078623.1665899996</v>
      </c>
      <c r="AB73" s="261">
        <f>+D73-'Data FY23-24 Final'!D73</f>
        <v>6263150</v>
      </c>
      <c r="AC73" s="261">
        <f>+E73-'Data FY23-24 Final'!E73</f>
        <v>0</v>
      </c>
      <c r="AD73" s="261">
        <f>+F73-'Data FY23-24 Final'!F73</f>
        <v>6263150</v>
      </c>
      <c r="AE73" s="261">
        <f>+G73-'Data FY23-24 Final'!G73</f>
        <v>5449.9300000000039</v>
      </c>
      <c r="AF73" s="288">
        <f>+H73-'Data FY23-24 Final'!H73</f>
        <v>0</v>
      </c>
      <c r="AG73" s="288">
        <f>+I73-'Data FY23-24 Final'!I73</f>
        <v>0</v>
      </c>
      <c r="AH73" s="288">
        <f>+J73-'Data FY23-24 Final'!J73</f>
        <v>0</v>
      </c>
      <c r="AI73" s="288">
        <f>+K73-'Data FY23-24 Final'!K73</f>
        <v>0</v>
      </c>
      <c r="AJ73" s="288">
        <f>+L73-'Data FY23-24 Final'!L73</f>
        <v>0</v>
      </c>
      <c r="AK73" s="288">
        <f>+M73-'Data FY23-24 Final'!M73</f>
        <v>0</v>
      </c>
      <c r="AL73" s="288">
        <f>+N73-'Data FY23-24 Final'!N73</f>
        <v>0</v>
      </c>
      <c r="AM73" s="288">
        <f>+O73-'Data FY23-24 Final'!O73</f>
        <v>-0.28099999999999969</v>
      </c>
      <c r="AN73" s="288">
        <f>+P73-'Data FY23-24 Final'!P73</f>
        <v>2.5795908139876145E-2</v>
      </c>
      <c r="AO73" s="288">
        <f>+Q73-'Data FY23-24 Final'!Q73</f>
        <v>-0.25520409186012571</v>
      </c>
      <c r="AP73" s="288">
        <f>+R73-'Data FY23-24 Final'!R73</f>
        <v>-5.85</v>
      </c>
      <c r="AQ73" s="288">
        <f>+S73-'Data FY23-24 Final'!S73</f>
        <v>0</v>
      </c>
      <c r="AR73" s="288">
        <f>+T73-'Data FY23-24 Final'!T73</f>
        <v>0</v>
      </c>
      <c r="AS73" s="288">
        <f>+U73-'Data FY23-24 Final'!U73</f>
        <v>0</v>
      </c>
      <c r="AT73" s="288">
        <f>+V73-'Data FY23-24 Final'!V73</f>
        <v>0</v>
      </c>
      <c r="AU73" s="288">
        <f>+W73-'Data FY23-24 Final'!W73</f>
        <v>-6.1052040918601236</v>
      </c>
      <c r="AV73" s="288">
        <f>+X73-'Data FY23-24 Final'!X73</f>
        <v>0</v>
      </c>
      <c r="AW73" s="261">
        <f>+Y73-'Data FY23-24 Final'!Y73</f>
        <v>-1581.9700000006706</v>
      </c>
      <c r="AX73" s="261">
        <f>+Z73-'Data FY23-24 Final'!Z73</f>
        <v>-97932.507450000849</v>
      </c>
    </row>
    <row r="74" spans="1:50" s="256" customFormat="1" ht="13" x14ac:dyDescent="0.3">
      <c r="A74" s="289" t="s">
        <v>243</v>
      </c>
      <c r="B74" s="289" t="s">
        <v>241</v>
      </c>
      <c r="C74" s="297" t="s">
        <v>244</v>
      </c>
      <c r="D74" s="378">
        <v>1304096200</v>
      </c>
      <c r="E74" s="378">
        <v>0</v>
      </c>
      <c r="F74" s="378">
        <v>1304096200</v>
      </c>
      <c r="G74" s="379">
        <v>17614.43</v>
      </c>
      <c r="H74" s="347">
        <v>12.776999999999999</v>
      </c>
      <c r="I74" s="347">
        <v>0</v>
      </c>
      <c r="J74" s="361">
        <f>+H74-I74-K74-L74</f>
        <v>9.6159999999999979</v>
      </c>
      <c r="K74" s="362">
        <v>0.42299999999999999</v>
      </c>
      <c r="L74" s="363">
        <v>2.7380000000000009</v>
      </c>
      <c r="M74" s="287">
        <v>0.59100000000000008</v>
      </c>
      <c r="N74" s="353">
        <v>0</v>
      </c>
      <c r="O74" s="354">
        <v>1.0029999999999999</v>
      </c>
      <c r="P74" s="355">
        <f t="shared" si="9"/>
        <v>1.3507002014115217E-2</v>
      </c>
      <c r="Q74" s="360">
        <f t="shared" si="10"/>
        <v>14.384507002014114</v>
      </c>
      <c r="R74" s="299"/>
      <c r="S74" s="299"/>
      <c r="T74" s="299"/>
      <c r="U74" s="299"/>
      <c r="V74" s="299"/>
      <c r="W74" s="299">
        <f t="shared" si="11"/>
        <v>14.384507002014114</v>
      </c>
      <c r="X74" s="287">
        <v>9.6159999999999997</v>
      </c>
      <c r="Y74" s="344">
        <v>13433689.51</v>
      </c>
      <c r="Z74" s="344">
        <v>20.19456171290949</v>
      </c>
      <c r="AB74" s="261">
        <f>+D74-'Data FY23-24 Final'!D74</f>
        <v>30433920</v>
      </c>
      <c r="AC74" s="261">
        <f>+E74-'Data FY23-24 Final'!E74</f>
        <v>0</v>
      </c>
      <c r="AD74" s="261">
        <f>+F74-'Data FY23-24 Final'!F74</f>
        <v>30433920</v>
      </c>
      <c r="AE74" s="261">
        <f>+G74-'Data FY23-24 Final'!G74</f>
        <v>2130.6200000000008</v>
      </c>
      <c r="AF74" s="288">
        <f>+H74-'Data FY23-24 Final'!H74</f>
        <v>0</v>
      </c>
      <c r="AG74" s="288">
        <f>+I74-'Data FY23-24 Final'!I74</f>
        <v>0</v>
      </c>
      <c r="AH74" s="288">
        <f>+J74-'Data FY23-24 Final'!J74</f>
        <v>-3.1610000000000014</v>
      </c>
      <c r="AI74" s="288">
        <f>+K74-'Data FY23-24 Final'!K74</f>
        <v>0.42299999999999999</v>
      </c>
      <c r="AJ74" s="288">
        <f>+L74-'Data FY23-24 Final'!L74</f>
        <v>2.7380000000000009</v>
      </c>
      <c r="AK74" s="288">
        <f>+M74-'Data FY23-24 Final'!M74</f>
        <v>-2.4999999999999911E-2</v>
      </c>
      <c r="AL74" s="288">
        <f>+N74-'Data FY23-24 Final'!N74</f>
        <v>0</v>
      </c>
      <c r="AM74" s="288">
        <f>+O74-'Data FY23-24 Final'!O74</f>
        <v>-0.81</v>
      </c>
      <c r="AN74" s="288">
        <f>+P74-'Data FY23-24 Final'!P74</f>
        <v>1.5070020141152163E-3</v>
      </c>
      <c r="AO74" s="288">
        <f>+Q74-'Data FY23-24 Final'!Q74</f>
        <v>-0.83349299798588561</v>
      </c>
      <c r="AP74" s="288">
        <f>+R74-'Data FY23-24 Final'!R74</f>
        <v>-5.0720000000000001</v>
      </c>
      <c r="AQ74" s="288">
        <f>+S74-'Data FY23-24 Final'!S74</f>
        <v>-0.23599999999999999</v>
      </c>
      <c r="AR74" s="288">
        <f>+T74-'Data FY23-24 Final'!T74</f>
        <v>0</v>
      </c>
      <c r="AS74" s="288">
        <f>+U74-'Data FY23-24 Final'!U74</f>
        <v>0</v>
      </c>
      <c r="AT74" s="288">
        <f>+V74-'Data FY23-24 Final'!V74</f>
        <v>0</v>
      </c>
      <c r="AU74" s="288">
        <f>+W74-'Data FY23-24 Final'!W74</f>
        <v>-6.1414929979858854</v>
      </c>
      <c r="AV74" s="288">
        <f>+X74-'Data FY23-24 Final'!X74</f>
        <v>0</v>
      </c>
      <c r="AW74" s="261">
        <f>+Y74-'Data FY23-24 Final'!Y74</f>
        <v>-142378.59999999963</v>
      </c>
      <c r="AX74" s="261">
        <f>+Z74-'Data FY23-24 Final'!Z74</f>
        <v>20.19456171290949</v>
      </c>
    </row>
    <row r="75" spans="1:50" s="256" customFormat="1" ht="13" x14ac:dyDescent="0.3">
      <c r="A75" s="289" t="s">
        <v>245</v>
      </c>
      <c r="B75" s="289" t="s">
        <v>246</v>
      </c>
      <c r="C75" s="297" t="s">
        <v>246</v>
      </c>
      <c r="D75" s="378">
        <v>1090966411</v>
      </c>
      <c r="E75" s="378">
        <v>19645670</v>
      </c>
      <c r="F75" s="378">
        <v>1071320741</v>
      </c>
      <c r="G75" s="379">
        <v>21273.9</v>
      </c>
      <c r="H75" s="347">
        <v>15.736000000000001</v>
      </c>
      <c r="I75" s="347">
        <v>0</v>
      </c>
      <c r="J75" s="353">
        <f t="shared" ref="J75:J87" si="13">+H75-I75</f>
        <v>15.736000000000001</v>
      </c>
      <c r="K75" s="287">
        <v>0</v>
      </c>
      <c r="L75" s="300">
        <v>0</v>
      </c>
      <c r="M75" s="287">
        <v>0</v>
      </c>
      <c r="N75" s="353">
        <v>0</v>
      </c>
      <c r="O75" s="354">
        <v>3.4409999999999998</v>
      </c>
      <c r="P75" s="355">
        <f t="shared" si="9"/>
        <v>1.9857638507159266E-2</v>
      </c>
      <c r="Q75" s="360">
        <f t="shared" si="10"/>
        <v>19.196857638507158</v>
      </c>
      <c r="R75" s="299"/>
      <c r="S75" s="299"/>
      <c r="T75" s="299"/>
      <c r="U75" s="299"/>
      <c r="V75" s="299"/>
      <c r="W75" s="299">
        <f t="shared" si="11"/>
        <v>19.196857638507158</v>
      </c>
      <c r="X75" s="287">
        <v>18.443999999999999</v>
      </c>
      <c r="Y75" s="344">
        <v>21172071.449999999</v>
      </c>
      <c r="Z75" s="344">
        <v>2990779.4184319996</v>
      </c>
      <c r="AB75" s="261">
        <f>+D75-'Data FY23-24 Final'!D75</f>
        <v>7451646</v>
      </c>
      <c r="AC75" s="261">
        <f>+E75-'Data FY23-24 Final'!E75</f>
        <v>32810</v>
      </c>
      <c r="AD75" s="261">
        <f>+F75-'Data FY23-24 Final'!F75</f>
        <v>7418836</v>
      </c>
      <c r="AE75" s="261">
        <f>+G75-'Data FY23-24 Final'!G75</f>
        <v>-31208.1</v>
      </c>
      <c r="AF75" s="288">
        <f>+H75-'Data FY23-24 Final'!H75</f>
        <v>0</v>
      </c>
      <c r="AG75" s="288">
        <f>+I75-'Data FY23-24 Final'!I75</f>
        <v>0</v>
      </c>
      <c r="AH75" s="288">
        <f>+J75-'Data FY23-24 Final'!J75</f>
        <v>0</v>
      </c>
      <c r="AI75" s="288">
        <f>+K75-'Data FY23-24 Final'!K75</f>
        <v>0</v>
      </c>
      <c r="AJ75" s="288">
        <f>+L75-'Data FY23-24 Final'!L75</f>
        <v>0</v>
      </c>
      <c r="AK75" s="288">
        <f>+M75-'Data FY23-24 Final'!M75</f>
        <v>0</v>
      </c>
      <c r="AL75" s="288">
        <f>+N75-'Data FY23-24 Final'!N75</f>
        <v>0</v>
      </c>
      <c r="AM75" s="288">
        <f>+O75-'Data FY23-24 Final'!O75</f>
        <v>-0.129</v>
      </c>
      <c r="AN75" s="288">
        <f>+P75-'Data FY23-24 Final'!P75</f>
        <v>-2.9142361492840736E-2</v>
      </c>
      <c r="AO75" s="288">
        <f>+Q75-'Data FY23-24 Final'!Q75</f>
        <v>-0.15814236149284255</v>
      </c>
      <c r="AP75" s="288">
        <f>+R75-'Data FY23-24 Final'!R75</f>
        <v>-8.8350000000000009</v>
      </c>
      <c r="AQ75" s="288">
        <f>+S75-'Data FY23-24 Final'!S75</f>
        <v>0</v>
      </c>
      <c r="AR75" s="288">
        <f>+T75-'Data FY23-24 Final'!T75</f>
        <v>0</v>
      </c>
      <c r="AS75" s="288">
        <f>+U75-'Data FY23-24 Final'!U75</f>
        <v>0</v>
      </c>
      <c r="AT75" s="288">
        <f>+V75-'Data FY23-24 Final'!V75</f>
        <v>0</v>
      </c>
      <c r="AU75" s="288">
        <f>+W75-'Data FY23-24 Final'!W75</f>
        <v>-8.9931423614928434</v>
      </c>
      <c r="AV75" s="288">
        <f>+X75-'Data FY23-24 Final'!X75</f>
        <v>0</v>
      </c>
      <c r="AW75" s="261">
        <f>+Y75-'Data FY23-24 Final'!Y75</f>
        <v>24211.25</v>
      </c>
      <c r="AX75" s="261">
        <f>+Z75-'Data FY23-24 Final'!Z75</f>
        <v>-744718.03448800044</v>
      </c>
    </row>
    <row r="76" spans="1:50" s="256" customFormat="1" ht="13" x14ac:dyDescent="0.3">
      <c r="A76" s="375" t="s">
        <v>247</v>
      </c>
      <c r="B76" s="289" t="s">
        <v>248</v>
      </c>
      <c r="C76" s="297" t="s">
        <v>248</v>
      </c>
      <c r="D76" s="378">
        <v>55662240</v>
      </c>
      <c r="E76" s="378">
        <v>0</v>
      </c>
      <c r="F76" s="378">
        <v>55662240</v>
      </c>
      <c r="G76" s="379">
        <v>1668.67</v>
      </c>
      <c r="H76" s="347">
        <v>19.067</v>
      </c>
      <c r="I76" s="347">
        <v>0</v>
      </c>
      <c r="J76" s="353">
        <f t="shared" si="13"/>
        <v>19.067</v>
      </c>
      <c r="K76" s="287">
        <v>0</v>
      </c>
      <c r="L76" s="300">
        <v>0</v>
      </c>
      <c r="M76" s="287">
        <v>0</v>
      </c>
      <c r="N76" s="353">
        <v>0</v>
      </c>
      <c r="O76" s="354">
        <v>0</v>
      </c>
      <c r="P76" s="355">
        <f t="shared" si="9"/>
        <v>2.9978491702813255E-2</v>
      </c>
      <c r="Q76" s="360">
        <f t="shared" si="10"/>
        <v>19.096978491702814</v>
      </c>
      <c r="R76" s="299"/>
      <c r="S76" s="299"/>
      <c r="T76" s="299"/>
      <c r="U76" s="299"/>
      <c r="V76" s="299"/>
      <c r="W76" s="299">
        <f t="shared" si="11"/>
        <v>19.096978491702814</v>
      </c>
      <c r="X76" s="287">
        <v>28.140999999999998</v>
      </c>
      <c r="Y76" s="344">
        <v>1764603.94</v>
      </c>
      <c r="Z76" s="344">
        <v>541097.00485000003</v>
      </c>
      <c r="AB76" s="261">
        <f>+D76-'Data FY23-24 Final'!D76</f>
        <v>22500</v>
      </c>
      <c r="AC76" s="261">
        <f>+E76-'Data FY23-24 Final'!E76</f>
        <v>0</v>
      </c>
      <c r="AD76" s="261">
        <f>+F76-'Data FY23-24 Final'!F76</f>
        <v>22500</v>
      </c>
      <c r="AE76" s="261">
        <f>+G76-'Data FY23-24 Final'!G76</f>
        <v>-42732.76</v>
      </c>
      <c r="AF76" s="288">
        <f>+H76-'Data FY23-24 Final'!H76</f>
        <v>0</v>
      </c>
      <c r="AG76" s="288">
        <f>+I76-'Data FY23-24 Final'!I76</f>
        <v>0</v>
      </c>
      <c r="AH76" s="288">
        <f>+J76-'Data FY23-24 Final'!J76</f>
        <v>0</v>
      </c>
      <c r="AI76" s="288">
        <f>+K76-'Data FY23-24 Final'!K76</f>
        <v>0</v>
      </c>
      <c r="AJ76" s="288">
        <f>+L76-'Data FY23-24 Final'!L76</f>
        <v>0</v>
      </c>
      <c r="AK76" s="288">
        <f>+M76-'Data FY23-24 Final'!M76</f>
        <v>0</v>
      </c>
      <c r="AL76" s="288">
        <f>+N76-'Data FY23-24 Final'!N76</f>
        <v>0</v>
      </c>
      <c r="AM76" s="288">
        <f>+O76-'Data FY23-24 Final'!O76</f>
        <v>0</v>
      </c>
      <c r="AN76" s="288">
        <f>+P76-'Data FY23-24 Final'!P76</f>
        <v>-0.76802150829718674</v>
      </c>
      <c r="AO76" s="288">
        <f>+Q76-'Data FY23-24 Final'!Q76</f>
        <v>-0.76802150829718485</v>
      </c>
      <c r="AP76" s="288">
        <f>+R76-'Data FY23-24 Final'!R76</f>
        <v>-5.3019999999999996</v>
      </c>
      <c r="AQ76" s="288">
        <f>+S76-'Data FY23-24 Final'!S76</f>
        <v>0</v>
      </c>
      <c r="AR76" s="288">
        <f>+T76-'Data FY23-24 Final'!T76</f>
        <v>0</v>
      </c>
      <c r="AS76" s="288">
        <f>+U76-'Data FY23-24 Final'!U76</f>
        <v>0</v>
      </c>
      <c r="AT76" s="288">
        <f>+V76-'Data FY23-24 Final'!V76</f>
        <v>0</v>
      </c>
      <c r="AU76" s="288">
        <f>+W76-'Data FY23-24 Final'!W76</f>
        <v>-6.070021508297188</v>
      </c>
      <c r="AV76" s="288">
        <f>+X76-'Data FY23-24 Final'!X76</f>
        <v>0</v>
      </c>
      <c r="AW76" s="261">
        <f>+Y76-'Data FY23-24 Final'!Y76</f>
        <v>169151.54000000004</v>
      </c>
      <c r="AX76" s="261">
        <f>+Z76-'Data FY23-24 Final'!Z76</f>
        <v>100734.1174300001</v>
      </c>
    </row>
    <row r="77" spans="1:50" s="256" customFormat="1" x14ac:dyDescent="0.25">
      <c r="A77" s="289" t="s">
        <v>249</v>
      </c>
      <c r="B77" s="289" t="s">
        <v>250</v>
      </c>
      <c r="C77" s="297" t="s">
        <v>250</v>
      </c>
      <c r="D77" s="344">
        <v>128475126</v>
      </c>
      <c r="E77" s="344">
        <v>361073</v>
      </c>
      <c r="F77" s="344">
        <f t="shared" si="12"/>
        <v>128114053</v>
      </c>
      <c r="G77" s="343">
        <v>4975.9799999999996</v>
      </c>
      <c r="H77" s="347">
        <v>27</v>
      </c>
      <c r="I77" s="347">
        <v>0</v>
      </c>
      <c r="J77" s="353">
        <f t="shared" si="13"/>
        <v>27</v>
      </c>
      <c r="K77" s="287">
        <v>0</v>
      </c>
      <c r="L77" s="300">
        <v>0</v>
      </c>
      <c r="M77" s="287">
        <v>0</v>
      </c>
      <c r="N77" s="353">
        <v>0</v>
      </c>
      <c r="O77" s="354">
        <v>0</v>
      </c>
      <c r="P77" s="355">
        <f t="shared" si="9"/>
        <v>3.8840235582898931E-2</v>
      </c>
      <c r="Q77" s="360">
        <f t="shared" si="10"/>
        <v>27.038840235582899</v>
      </c>
      <c r="R77" s="299"/>
      <c r="S77" s="299"/>
      <c r="T77" s="299"/>
      <c r="U77" s="299"/>
      <c r="V77" s="299"/>
      <c r="W77" s="299">
        <f t="shared" si="11"/>
        <v>27.038840235582899</v>
      </c>
      <c r="X77" s="287">
        <v>41.325000000000003</v>
      </c>
      <c r="Y77" s="344">
        <v>5576082.4000000004</v>
      </c>
      <c r="Z77" s="344">
        <v>1863348.0765070007</v>
      </c>
      <c r="AB77" s="261">
        <f>+D77-'Data FY23-24 Final'!D77</f>
        <v>7364099</v>
      </c>
      <c r="AC77" s="261">
        <f>+E77-'Data FY23-24 Final'!E77</f>
        <v>0</v>
      </c>
      <c r="AD77" s="261">
        <f>+F77-'Data FY23-24 Final'!F77</f>
        <v>7364099</v>
      </c>
      <c r="AE77" s="261">
        <f>+G77-'Data FY23-24 Final'!G77</f>
        <v>0</v>
      </c>
      <c r="AF77" s="288">
        <f>+H77-'Data FY23-24 Final'!H77</f>
        <v>0</v>
      </c>
      <c r="AG77" s="288">
        <f>+I77-'Data FY23-24 Final'!I77</f>
        <v>-0.219</v>
      </c>
      <c r="AH77" s="288">
        <f>+J77-'Data FY23-24 Final'!J77</f>
        <v>0.21900000000000119</v>
      </c>
      <c r="AI77" s="288">
        <f>+K77-'Data FY23-24 Final'!K77</f>
        <v>0</v>
      </c>
      <c r="AJ77" s="288">
        <f>+L77-'Data FY23-24 Final'!L77</f>
        <v>0</v>
      </c>
      <c r="AK77" s="288">
        <f>+M77-'Data FY23-24 Final'!M77</f>
        <v>0</v>
      </c>
      <c r="AL77" s="288">
        <f>+N77-'Data FY23-24 Final'!N77</f>
        <v>0</v>
      </c>
      <c r="AM77" s="288">
        <f>+O77-'Data FY23-24 Final'!O77</f>
        <v>0</v>
      </c>
      <c r="AN77" s="288">
        <f>+P77-'Data FY23-24 Final'!P77</f>
        <v>-2.1597644171010705E-3</v>
      </c>
      <c r="AO77" s="288">
        <f>+Q77-'Data FY23-24 Final'!Q77</f>
        <v>0.21684023558290022</v>
      </c>
      <c r="AP77" s="288">
        <f>+R77-'Data FY23-24 Final'!R77</f>
        <v>-8.8699999999999992</v>
      </c>
      <c r="AQ77" s="288">
        <f>+S77-'Data FY23-24 Final'!S77</f>
        <v>0</v>
      </c>
      <c r="AR77" s="288">
        <f>+T77-'Data FY23-24 Final'!T77</f>
        <v>0</v>
      </c>
      <c r="AS77" s="288">
        <f>+U77-'Data FY23-24 Final'!U77</f>
        <v>0</v>
      </c>
      <c r="AT77" s="288">
        <f>+V77-'Data FY23-24 Final'!V77</f>
        <v>0</v>
      </c>
      <c r="AU77" s="288">
        <f>+W77-'Data FY23-24 Final'!W77</f>
        <v>-8.6531597644171008</v>
      </c>
      <c r="AV77" s="288">
        <f>+X77-'Data FY23-24 Final'!X77</f>
        <v>0</v>
      </c>
      <c r="AW77" s="261">
        <f>+Y77-'Data FY23-24 Final'!Y77</f>
        <v>132026.95000000019</v>
      </c>
      <c r="AX77" s="261">
        <f>+Z77-'Data FY23-24 Final'!Z77</f>
        <v>-164608.1254189997</v>
      </c>
    </row>
    <row r="78" spans="1:50" s="256" customFormat="1" x14ac:dyDescent="0.25">
      <c r="A78" s="289" t="s">
        <v>251</v>
      </c>
      <c r="B78" s="289" t="s">
        <v>250</v>
      </c>
      <c r="C78" s="297" t="s">
        <v>252</v>
      </c>
      <c r="D78" s="344">
        <v>39591626</v>
      </c>
      <c r="E78" s="344">
        <v>0</v>
      </c>
      <c r="F78" s="344">
        <f t="shared" si="12"/>
        <v>39591626</v>
      </c>
      <c r="G78" s="343">
        <v>0</v>
      </c>
      <c r="H78" s="347">
        <v>27</v>
      </c>
      <c r="I78" s="347">
        <v>0</v>
      </c>
      <c r="J78" s="353">
        <f t="shared" si="13"/>
        <v>27</v>
      </c>
      <c r="K78" s="287">
        <v>0</v>
      </c>
      <c r="L78" s="300">
        <v>0</v>
      </c>
      <c r="M78" s="287">
        <v>0</v>
      </c>
      <c r="N78" s="353">
        <v>0</v>
      </c>
      <c r="O78" s="354">
        <v>0</v>
      </c>
      <c r="P78" s="355">
        <f t="shared" si="9"/>
        <v>0</v>
      </c>
      <c r="Q78" s="360">
        <f t="shared" si="10"/>
        <v>27</v>
      </c>
      <c r="R78" s="299"/>
      <c r="S78" s="299"/>
      <c r="T78" s="299"/>
      <c r="U78" s="299"/>
      <c r="V78" s="299"/>
      <c r="W78" s="299">
        <f t="shared" si="11"/>
        <v>27</v>
      </c>
      <c r="X78" s="287">
        <v>85.318000000000012</v>
      </c>
      <c r="Y78" s="344">
        <v>3478356.55</v>
      </c>
      <c r="Z78" s="344">
        <v>2308899.5663000001</v>
      </c>
      <c r="AB78" s="261">
        <f>+D78-'Data FY23-24 Final'!D78</f>
        <v>4215945</v>
      </c>
      <c r="AC78" s="261">
        <f>+E78-'Data FY23-24 Final'!E78</f>
        <v>0</v>
      </c>
      <c r="AD78" s="261">
        <f>+F78-'Data FY23-24 Final'!F78</f>
        <v>4215945</v>
      </c>
      <c r="AE78" s="261">
        <f>+G78-'Data FY23-24 Final'!G78</f>
        <v>0</v>
      </c>
      <c r="AF78" s="288">
        <f>+H78-'Data FY23-24 Final'!H78</f>
        <v>0</v>
      </c>
      <c r="AG78" s="288">
        <f>+I78-'Data FY23-24 Final'!I78</f>
        <v>0</v>
      </c>
      <c r="AH78" s="288">
        <f>+J78-'Data FY23-24 Final'!J78</f>
        <v>0</v>
      </c>
      <c r="AI78" s="288">
        <f>+K78-'Data FY23-24 Final'!K78</f>
        <v>0</v>
      </c>
      <c r="AJ78" s="288">
        <f>+L78-'Data FY23-24 Final'!L78</f>
        <v>0</v>
      </c>
      <c r="AK78" s="288">
        <f>+M78-'Data FY23-24 Final'!M78</f>
        <v>0</v>
      </c>
      <c r="AL78" s="288">
        <f>+N78-'Data FY23-24 Final'!N78</f>
        <v>0</v>
      </c>
      <c r="AM78" s="288">
        <f>+O78-'Data FY23-24 Final'!O78</f>
        <v>0</v>
      </c>
      <c r="AN78" s="288">
        <f>+P78-'Data FY23-24 Final'!P78</f>
        <v>0</v>
      </c>
      <c r="AO78" s="288">
        <f>+Q78-'Data FY23-24 Final'!Q78</f>
        <v>0</v>
      </c>
      <c r="AP78" s="288">
        <f>+R78-'Data FY23-24 Final'!R78</f>
        <v>-12.11</v>
      </c>
      <c r="AQ78" s="288">
        <f>+S78-'Data FY23-24 Final'!S78</f>
        <v>0</v>
      </c>
      <c r="AR78" s="288">
        <f>+T78-'Data FY23-24 Final'!T78</f>
        <v>0</v>
      </c>
      <c r="AS78" s="288">
        <f>+U78-'Data FY23-24 Final'!U78</f>
        <v>0</v>
      </c>
      <c r="AT78" s="288">
        <f>+V78-'Data FY23-24 Final'!V78</f>
        <v>0</v>
      </c>
      <c r="AU78" s="288">
        <f>+W78-'Data FY23-24 Final'!W78</f>
        <v>-12.11</v>
      </c>
      <c r="AV78" s="288">
        <f>+X78-'Data FY23-24 Final'!X78</f>
        <v>0</v>
      </c>
      <c r="AW78" s="261">
        <f>+Y78-'Data FY23-24 Final'!Y78</f>
        <v>122671.46999999974</v>
      </c>
      <c r="AX78" s="261">
        <f>+Z78-'Data FY23-24 Final'!Z78</f>
        <v>2492.2733000000007</v>
      </c>
    </row>
    <row r="79" spans="1:50" s="256" customFormat="1" x14ac:dyDescent="0.25">
      <c r="A79" s="289" t="s">
        <v>253</v>
      </c>
      <c r="B79" s="289" t="s">
        <v>254</v>
      </c>
      <c r="C79" s="297" t="s">
        <v>255</v>
      </c>
      <c r="D79" s="344">
        <v>97793367</v>
      </c>
      <c r="E79" s="344">
        <v>0</v>
      </c>
      <c r="F79" s="344">
        <f t="shared" si="12"/>
        <v>97793367</v>
      </c>
      <c r="G79" s="343">
        <v>5999.94</v>
      </c>
      <c r="H79" s="347">
        <v>23.041</v>
      </c>
      <c r="I79" s="347">
        <v>0</v>
      </c>
      <c r="J79" s="353">
        <f t="shared" si="13"/>
        <v>23.041</v>
      </c>
      <c r="K79" s="287">
        <v>0</v>
      </c>
      <c r="L79" s="300">
        <v>0</v>
      </c>
      <c r="M79" s="287">
        <v>0</v>
      </c>
      <c r="N79" s="353">
        <v>0</v>
      </c>
      <c r="O79" s="354">
        <v>0</v>
      </c>
      <c r="P79" s="355">
        <f t="shared" si="9"/>
        <v>6.1353240859372382E-2</v>
      </c>
      <c r="Q79" s="360">
        <f t="shared" si="10"/>
        <v>23.102353240859372</v>
      </c>
      <c r="R79" s="299"/>
      <c r="S79" s="299"/>
      <c r="T79" s="299"/>
      <c r="U79" s="299"/>
      <c r="V79" s="299"/>
      <c r="W79" s="299">
        <f t="shared" si="11"/>
        <v>23.102353240859372</v>
      </c>
      <c r="X79" s="287">
        <v>28.209999999999997</v>
      </c>
      <c r="Y79" s="344">
        <v>3089312.25</v>
      </c>
      <c r="Z79" s="344">
        <v>505542.42285300029</v>
      </c>
      <c r="AB79" s="261">
        <f>+D79-'Data FY23-24 Final'!D79</f>
        <v>2630004</v>
      </c>
      <c r="AC79" s="261">
        <f>+E79-'Data FY23-24 Final'!E79</f>
        <v>0</v>
      </c>
      <c r="AD79" s="261">
        <f>+F79-'Data FY23-24 Final'!F79</f>
        <v>2630004</v>
      </c>
      <c r="AE79" s="261">
        <f>+G79-'Data FY23-24 Final'!G79</f>
        <v>0</v>
      </c>
      <c r="AF79" s="288">
        <f>+H79-'Data FY23-24 Final'!H79</f>
        <v>0</v>
      </c>
      <c r="AG79" s="288">
        <f>+I79-'Data FY23-24 Final'!I79</f>
        <v>0</v>
      </c>
      <c r="AH79" s="288">
        <f>+J79-'Data FY23-24 Final'!J79</f>
        <v>0</v>
      </c>
      <c r="AI79" s="288">
        <f>+K79-'Data FY23-24 Final'!K79</f>
        <v>0</v>
      </c>
      <c r="AJ79" s="288">
        <f>+L79-'Data FY23-24 Final'!L79</f>
        <v>0</v>
      </c>
      <c r="AK79" s="288">
        <f>+M79-'Data FY23-24 Final'!M79</f>
        <v>0</v>
      </c>
      <c r="AL79" s="288">
        <f>+N79-'Data FY23-24 Final'!N79</f>
        <v>0</v>
      </c>
      <c r="AM79" s="288">
        <f>+O79-'Data FY23-24 Final'!O79</f>
        <v>0</v>
      </c>
      <c r="AN79" s="288">
        <f>+P79-'Data FY23-24 Final'!P79</f>
        <v>-6.4675914062761741E-4</v>
      </c>
      <c r="AO79" s="288">
        <f>+Q79-'Data FY23-24 Final'!Q79</f>
        <v>-6.4675914062917172E-4</v>
      </c>
      <c r="AP79" s="288">
        <f>+R79-'Data FY23-24 Final'!R79</f>
        <v>0</v>
      </c>
      <c r="AQ79" s="288">
        <f>+S79-'Data FY23-24 Final'!S79</f>
        <v>0</v>
      </c>
      <c r="AR79" s="288">
        <f>+T79-'Data FY23-24 Final'!T79</f>
        <v>0</v>
      </c>
      <c r="AS79" s="288">
        <f>+U79-'Data FY23-24 Final'!U79</f>
        <v>0</v>
      </c>
      <c r="AT79" s="288">
        <f>+V79-'Data FY23-24 Final'!V79</f>
        <v>0</v>
      </c>
      <c r="AU79" s="288">
        <f>+W79-'Data FY23-24 Final'!W79</f>
        <v>-6.4675914062917172E-4</v>
      </c>
      <c r="AV79" s="288">
        <f>+X79-'Data FY23-24 Final'!X79</f>
        <v>0</v>
      </c>
      <c r="AW79" s="261">
        <f>+Y79-'Data FY23-24 Final'!Y79</f>
        <v>198410.70999999996</v>
      </c>
      <c r="AX79" s="261">
        <f>+Z79-'Data FY23-24 Final'!Z79</f>
        <v>179264.11973600031</v>
      </c>
    </row>
    <row r="80" spans="1:50" s="256" customFormat="1" ht="13" x14ac:dyDescent="0.3">
      <c r="A80" s="289" t="s">
        <v>256</v>
      </c>
      <c r="B80" s="289" t="s">
        <v>257</v>
      </c>
      <c r="C80" s="297" t="s">
        <v>257</v>
      </c>
      <c r="D80" s="378">
        <v>14243214010</v>
      </c>
      <c r="E80" s="378">
        <v>635431385</v>
      </c>
      <c r="F80" s="378">
        <v>13607782625</v>
      </c>
      <c r="G80" s="379">
        <v>2767828.79</v>
      </c>
      <c r="H80" s="347">
        <v>27</v>
      </c>
      <c r="I80" s="347">
        <v>0</v>
      </c>
      <c r="J80" s="353">
        <f t="shared" si="13"/>
        <v>27</v>
      </c>
      <c r="K80" s="287">
        <v>0</v>
      </c>
      <c r="L80" s="300">
        <v>0</v>
      </c>
      <c r="M80" s="287">
        <v>0</v>
      </c>
      <c r="N80" s="353">
        <v>0</v>
      </c>
      <c r="O80" s="354">
        <v>7.8720000000000008</v>
      </c>
      <c r="P80" s="355">
        <f t="shared" si="9"/>
        <v>0.20340042652614021</v>
      </c>
      <c r="Q80" s="360">
        <f t="shared" si="10"/>
        <v>35.075400426526137</v>
      </c>
      <c r="R80" s="299"/>
      <c r="S80" s="299"/>
      <c r="T80" s="299"/>
      <c r="U80" s="299"/>
      <c r="V80" s="299"/>
      <c r="W80" s="299">
        <f t="shared" si="11"/>
        <v>35.075400426526137</v>
      </c>
      <c r="X80" s="287">
        <v>54.186999999999998</v>
      </c>
      <c r="Y80" s="344">
        <v>803965681.27999997</v>
      </c>
      <c r="Z80" s="344">
        <v>391303144.00190002</v>
      </c>
      <c r="AB80" s="261">
        <f>+D80-'Data FY23-24 Final'!D80</f>
        <v>108522989</v>
      </c>
      <c r="AC80" s="261">
        <f>+E80-'Data FY23-24 Final'!E80</f>
        <v>3775074</v>
      </c>
      <c r="AD80" s="261">
        <f>+F80-'Data FY23-24 Final'!F80</f>
        <v>104747915</v>
      </c>
      <c r="AE80" s="261">
        <f>+G80-'Data FY23-24 Final'!G80</f>
        <v>-1476526.7599999998</v>
      </c>
      <c r="AF80" s="288">
        <f>+H80-'Data FY23-24 Final'!H80</f>
        <v>0</v>
      </c>
      <c r="AG80" s="288">
        <f>+I80-'Data FY23-24 Final'!I80</f>
        <v>0</v>
      </c>
      <c r="AH80" s="288">
        <f>+J80-'Data FY23-24 Final'!J80</f>
        <v>0</v>
      </c>
      <c r="AI80" s="288">
        <f>+K80-'Data FY23-24 Final'!K80</f>
        <v>0</v>
      </c>
      <c r="AJ80" s="288">
        <f>+L80-'Data FY23-24 Final'!L80</f>
        <v>0</v>
      </c>
      <c r="AK80" s="288">
        <f>+M80-'Data FY23-24 Final'!M80</f>
        <v>0</v>
      </c>
      <c r="AL80" s="288">
        <f>+N80-'Data FY23-24 Final'!N80</f>
        <v>0</v>
      </c>
      <c r="AM80" s="288">
        <f>+O80-'Data FY23-24 Final'!O80</f>
        <v>-3.4339999999999984</v>
      </c>
      <c r="AN80" s="288">
        <f>+P80-'Data FY23-24 Final'!P80</f>
        <v>-0.11059957347385979</v>
      </c>
      <c r="AO80" s="288">
        <f>+Q80-'Data FY23-24 Final'!Q80</f>
        <v>-3.5445995734738602</v>
      </c>
      <c r="AP80" s="288">
        <f>+R80-'Data FY23-24 Final'!R80</f>
        <v>-5.9059999999999997</v>
      </c>
      <c r="AQ80" s="288">
        <f>+S80-'Data FY23-24 Final'!S80</f>
        <v>0</v>
      </c>
      <c r="AR80" s="288">
        <f>+T80-'Data FY23-24 Final'!T80</f>
        <v>0</v>
      </c>
      <c r="AS80" s="288">
        <f>+U80-'Data FY23-24 Final'!U80</f>
        <v>0</v>
      </c>
      <c r="AT80" s="288">
        <f>+V80-'Data FY23-24 Final'!V80</f>
        <v>0</v>
      </c>
      <c r="AU80" s="288">
        <f>+W80-'Data FY23-24 Final'!W80</f>
        <v>-9.4505995734738661</v>
      </c>
      <c r="AV80" s="288">
        <f>+X80-'Data FY23-24 Final'!X80</f>
        <v>0</v>
      </c>
      <c r="AW80" s="261">
        <f>+Y80-'Data FY23-24 Final'!Y80</f>
        <v>19823064.963999867</v>
      </c>
      <c r="AX80" s="261">
        <f>+Z80-'Data FY23-24 Final'!Z80</f>
        <v>-4910492.6741000414</v>
      </c>
    </row>
    <row r="81" spans="1:50" s="256" customFormat="1" ht="13" x14ac:dyDescent="0.25">
      <c r="A81" s="289" t="s">
        <v>258</v>
      </c>
      <c r="B81" s="289" t="s">
        <v>187</v>
      </c>
      <c r="C81" s="297" t="s">
        <v>259</v>
      </c>
      <c r="D81" s="383">
        <v>19541579</v>
      </c>
      <c r="E81" s="383">
        <v>0</v>
      </c>
      <c r="F81" s="383">
        <v>19541579</v>
      </c>
      <c r="G81" s="383">
        <v>466.62</v>
      </c>
      <c r="H81" s="347">
        <v>27</v>
      </c>
      <c r="I81" s="347">
        <v>0.80099999999999838</v>
      </c>
      <c r="J81" s="353">
        <f t="shared" si="13"/>
        <v>26.199000000000002</v>
      </c>
      <c r="K81" s="287">
        <v>0</v>
      </c>
      <c r="L81" s="300">
        <v>0</v>
      </c>
      <c r="M81" s="287">
        <v>0</v>
      </c>
      <c r="N81" s="353">
        <v>0</v>
      </c>
      <c r="O81" s="354">
        <v>0</v>
      </c>
      <c r="P81" s="355">
        <f t="shared" si="9"/>
        <v>2.3878316076710076E-2</v>
      </c>
      <c r="Q81" s="360">
        <f t="shared" si="10"/>
        <v>26.222878316076713</v>
      </c>
      <c r="R81" s="299"/>
      <c r="S81" s="299"/>
      <c r="T81" s="299"/>
      <c r="U81" s="299"/>
      <c r="V81" s="299"/>
      <c r="W81" s="299">
        <f t="shared" si="11"/>
        <v>26.222878316076713</v>
      </c>
      <c r="X81" s="287">
        <v>148.029</v>
      </c>
      <c r="Y81" s="344">
        <v>3198837.91</v>
      </c>
      <c r="Z81" s="344">
        <v>2580937.3067490002</v>
      </c>
      <c r="AB81" s="261">
        <f>+D81-'Data FY23-24 Final'!D81</f>
        <v>-486401</v>
      </c>
      <c r="AC81" s="261">
        <f>+E81-'Data FY23-24 Final'!E81</f>
        <v>0</v>
      </c>
      <c r="AD81" s="261">
        <f>+F81-'Data FY23-24 Final'!F81</f>
        <v>-486401</v>
      </c>
      <c r="AE81" s="261">
        <f>+G81-'Data FY23-24 Final'!G81</f>
        <v>-15338.67</v>
      </c>
      <c r="AF81" s="288">
        <f>+H81-'Data FY23-24 Final'!H81</f>
        <v>0</v>
      </c>
      <c r="AG81" s="288">
        <f>+I81-'Data FY23-24 Final'!I81</f>
        <v>-1.0000000000000016</v>
      </c>
      <c r="AH81" s="288">
        <f>+J81-'Data FY23-24 Final'!J81</f>
        <v>1</v>
      </c>
      <c r="AI81" s="288">
        <f>+K81-'Data FY23-24 Final'!K81</f>
        <v>0</v>
      </c>
      <c r="AJ81" s="288">
        <f>+L81-'Data FY23-24 Final'!L81</f>
        <v>0</v>
      </c>
      <c r="AK81" s="288">
        <f>+M81-'Data FY23-24 Final'!M81</f>
        <v>0</v>
      </c>
      <c r="AL81" s="288">
        <f>+N81-'Data FY23-24 Final'!N81</f>
        <v>0</v>
      </c>
      <c r="AM81" s="288">
        <f>+O81-'Data FY23-24 Final'!O81</f>
        <v>0</v>
      </c>
      <c r="AN81" s="288">
        <f>+P81-'Data FY23-24 Final'!P81</f>
        <v>-0.76512168392328994</v>
      </c>
      <c r="AO81" s="288">
        <f>+Q81-'Data FY23-24 Final'!Q81</f>
        <v>0.23487831607671339</v>
      </c>
      <c r="AP81" s="288">
        <f>+R81-'Data FY23-24 Final'!R81</f>
        <v>0</v>
      </c>
      <c r="AQ81" s="288">
        <f>+S81-'Data FY23-24 Final'!S81</f>
        <v>0</v>
      </c>
      <c r="AR81" s="288">
        <f>+T81-'Data FY23-24 Final'!T81</f>
        <v>0</v>
      </c>
      <c r="AS81" s="288">
        <f>+U81-'Data FY23-24 Final'!U81</f>
        <v>0</v>
      </c>
      <c r="AT81" s="288">
        <f>+V81-'Data FY23-24 Final'!V81</f>
        <v>0</v>
      </c>
      <c r="AU81" s="288">
        <f>+W81-'Data FY23-24 Final'!W81</f>
        <v>0.23487831607671339</v>
      </c>
      <c r="AV81" s="288">
        <f>+X81-'Data FY23-24 Final'!X81</f>
        <v>0</v>
      </c>
      <c r="AW81" s="261">
        <f>+Y81-'Data FY23-24 Final'!Y81</f>
        <v>-33206.219999999739</v>
      </c>
      <c r="AX81" s="261">
        <f>+Z81-'Data FY23-24 Final'!Z81</f>
        <v>-60586.89921099972</v>
      </c>
    </row>
    <row r="82" spans="1:50" s="256" customFormat="1" ht="13" x14ac:dyDescent="0.25">
      <c r="A82" s="289" t="s">
        <v>260</v>
      </c>
      <c r="B82" s="289" t="s">
        <v>187</v>
      </c>
      <c r="C82" s="297" t="s">
        <v>261</v>
      </c>
      <c r="D82" s="383">
        <v>19887270</v>
      </c>
      <c r="E82" s="383">
        <v>0</v>
      </c>
      <c r="F82" s="383">
        <v>19887270</v>
      </c>
      <c r="G82" s="383">
        <v>0</v>
      </c>
      <c r="H82" s="347">
        <v>27</v>
      </c>
      <c r="I82" s="347">
        <v>3.4800000000000004</v>
      </c>
      <c r="J82" s="353">
        <f t="shared" si="13"/>
        <v>23.52</v>
      </c>
      <c r="K82" s="287">
        <v>0</v>
      </c>
      <c r="L82" s="300">
        <v>0</v>
      </c>
      <c r="M82" s="287">
        <v>3.2610000000000001</v>
      </c>
      <c r="N82" s="353">
        <v>0</v>
      </c>
      <c r="O82" s="354">
        <v>0</v>
      </c>
      <c r="P82" s="355">
        <f t="shared" si="9"/>
        <v>0</v>
      </c>
      <c r="Q82" s="360">
        <f t="shared" si="10"/>
        <v>26.780999999999999</v>
      </c>
      <c r="R82" s="299"/>
      <c r="S82" s="299"/>
      <c r="T82" s="299"/>
      <c r="U82" s="299"/>
      <c r="V82" s="299"/>
      <c r="W82" s="299">
        <f t="shared" si="11"/>
        <v>26.780999999999999</v>
      </c>
      <c r="X82" s="287">
        <v>167.149</v>
      </c>
      <c r="Y82" s="344">
        <v>3382615.27</v>
      </c>
      <c r="Z82" s="344">
        <v>2862744.6596400002</v>
      </c>
      <c r="AB82" s="261">
        <f>+D82-'Data FY23-24 Final'!D82</f>
        <v>316540</v>
      </c>
      <c r="AC82" s="261">
        <f>+E82-'Data FY23-24 Final'!E82</f>
        <v>0</v>
      </c>
      <c r="AD82" s="261">
        <f>+F82-'Data FY23-24 Final'!F82</f>
        <v>316540</v>
      </c>
      <c r="AE82" s="261">
        <f>+G82-'Data FY23-24 Final'!G82</f>
        <v>-10063.209999999999</v>
      </c>
      <c r="AF82" s="288">
        <f>+H82-'Data FY23-24 Final'!H82</f>
        <v>0</v>
      </c>
      <c r="AG82" s="288">
        <f>+I82-'Data FY23-24 Final'!I82</f>
        <v>-1</v>
      </c>
      <c r="AH82" s="288">
        <f>+J82-'Data FY23-24 Final'!J82</f>
        <v>1</v>
      </c>
      <c r="AI82" s="288">
        <f>+K82-'Data FY23-24 Final'!K82</f>
        <v>0</v>
      </c>
      <c r="AJ82" s="288">
        <f>+L82-'Data FY23-24 Final'!L82</f>
        <v>0</v>
      </c>
      <c r="AK82" s="288">
        <f>+M82-'Data FY23-24 Final'!M82</f>
        <v>-3.6999999999999922E-2</v>
      </c>
      <c r="AL82" s="288">
        <f>+N82-'Data FY23-24 Final'!N82</f>
        <v>0</v>
      </c>
      <c r="AM82" s="288">
        <f>+O82-'Data FY23-24 Final'!O82</f>
        <v>0</v>
      </c>
      <c r="AN82" s="288">
        <f>+P82-'Data FY23-24 Final'!P82</f>
        <v>-0.51400000000000001</v>
      </c>
      <c r="AO82" s="288">
        <f>+Q82-'Data FY23-24 Final'!Q82</f>
        <v>0.44899999999999807</v>
      </c>
      <c r="AP82" s="288">
        <f>+R82-'Data FY23-24 Final'!R82</f>
        <v>0</v>
      </c>
      <c r="AQ82" s="288">
        <f>+S82-'Data FY23-24 Final'!S82</f>
        <v>0</v>
      </c>
      <c r="AR82" s="288">
        <f>+T82-'Data FY23-24 Final'!T82</f>
        <v>0</v>
      </c>
      <c r="AS82" s="288">
        <f>+U82-'Data FY23-24 Final'!U82</f>
        <v>0</v>
      </c>
      <c r="AT82" s="288">
        <f>+V82-'Data FY23-24 Final'!V82</f>
        <v>0</v>
      </c>
      <c r="AU82" s="288">
        <f>+W82-'Data FY23-24 Final'!W82</f>
        <v>0.44899999999999807</v>
      </c>
      <c r="AV82" s="288">
        <f>+X82-'Data FY23-24 Final'!X82</f>
        <v>0</v>
      </c>
      <c r="AW82" s="261">
        <f>+Y82-'Data FY23-24 Final'!Y82</f>
        <v>184464.87000000011</v>
      </c>
      <c r="AX82" s="261">
        <f>+Z82-'Data FY23-24 Final'!Z82</f>
        <v>174060.90924000042</v>
      </c>
    </row>
    <row r="83" spans="1:50" s="256" customFormat="1" x14ac:dyDescent="0.25">
      <c r="A83" s="289" t="s">
        <v>262</v>
      </c>
      <c r="B83" s="289" t="s">
        <v>152</v>
      </c>
      <c r="C83" s="297" t="s">
        <v>263</v>
      </c>
      <c r="D83" s="344">
        <v>43182742</v>
      </c>
      <c r="E83" s="344">
        <v>0</v>
      </c>
      <c r="F83" s="344">
        <f t="shared" si="12"/>
        <v>43182742</v>
      </c>
      <c r="G83" s="343">
        <v>2290.3599999999997</v>
      </c>
      <c r="H83" s="347">
        <v>27</v>
      </c>
      <c r="I83" s="347">
        <v>0</v>
      </c>
      <c r="J83" s="353">
        <f t="shared" si="13"/>
        <v>27</v>
      </c>
      <c r="K83" s="287">
        <v>0</v>
      </c>
      <c r="L83" s="300">
        <v>0</v>
      </c>
      <c r="M83" s="287">
        <v>0</v>
      </c>
      <c r="N83" s="353">
        <v>0</v>
      </c>
      <c r="O83" s="354">
        <v>0</v>
      </c>
      <c r="P83" s="355">
        <f t="shared" si="9"/>
        <v>5.3038781094540029E-2</v>
      </c>
      <c r="Q83" s="360">
        <f t="shared" si="10"/>
        <v>27.053038781094539</v>
      </c>
      <c r="R83" s="299"/>
      <c r="S83" s="299"/>
      <c r="T83" s="299"/>
      <c r="U83" s="299"/>
      <c r="V83" s="299"/>
      <c r="W83" s="299">
        <f t="shared" si="11"/>
        <v>27.053038781094539</v>
      </c>
      <c r="X83" s="287">
        <v>61.994</v>
      </c>
      <c r="Y83" s="344">
        <v>2781008.48</v>
      </c>
      <c r="Z83" s="344">
        <v>1511121.2427999999</v>
      </c>
      <c r="AB83" s="261">
        <f>+D83-'Data FY23-24 Final'!D83</f>
        <v>1403098</v>
      </c>
      <c r="AC83" s="261">
        <f>+E83-'Data FY23-24 Final'!E83</f>
        <v>0</v>
      </c>
      <c r="AD83" s="261">
        <f>+F83-'Data FY23-24 Final'!F83</f>
        <v>1403098</v>
      </c>
      <c r="AE83" s="261">
        <f>+G83-'Data FY23-24 Final'!G83</f>
        <v>-7.6400000000003274</v>
      </c>
      <c r="AF83" s="288">
        <f>+H83-'Data FY23-24 Final'!H83</f>
        <v>0</v>
      </c>
      <c r="AG83" s="288">
        <f>+I83-'Data FY23-24 Final'!I83</f>
        <v>0</v>
      </c>
      <c r="AH83" s="288">
        <f>+J83-'Data FY23-24 Final'!J83</f>
        <v>0</v>
      </c>
      <c r="AI83" s="288">
        <f>+K83-'Data FY23-24 Final'!K83</f>
        <v>0</v>
      </c>
      <c r="AJ83" s="288">
        <f>+L83-'Data FY23-24 Final'!L83</f>
        <v>0</v>
      </c>
      <c r="AK83" s="288">
        <f>+M83-'Data FY23-24 Final'!M83</f>
        <v>0</v>
      </c>
      <c r="AL83" s="288">
        <f>+N83-'Data FY23-24 Final'!N83</f>
        <v>0</v>
      </c>
      <c r="AM83" s="288">
        <f>+O83-'Data FY23-24 Final'!O83</f>
        <v>0</v>
      </c>
      <c r="AN83" s="288">
        <f>+P83-'Data FY23-24 Final'!P83</f>
        <v>-1.9612189054599716E-3</v>
      </c>
      <c r="AO83" s="288">
        <f>+Q83-'Data FY23-24 Final'!Q83</f>
        <v>-1.9612189054605267E-3</v>
      </c>
      <c r="AP83" s="288">
        <f>+R83-'Data FY23-24 Final'!R83</f>
        <v>0</v>
      </c>
      <c r="AQ83" s="288">
        <f>+S83-'Data FY23-24 Final'!S83</f>
        <v>0</v>
      </c>
      <c r="AR83" s="288">
        <f>+T83-'Data FY23-24 Final'!T83</f>
        <v>0</v>
      </c>
      <c r="AS83" s="288">
        <f>+U83-'Data FY23-24 Final'!U83</f>
        <v>0</v>
      </c>
      <c r="AT83" s="288">
        <f>+V83-'Data FY23-24 Final'!V83</f>
        <v>0</v>
      </c>
      <c r="AU83" s="288">
        <f>+W83-'Data FY23-24 Final'!W83</f>
        <v>-1.9612189054605267E-3</v>
      </c>
      <c r="AV83" s="288">
        <f>+X83-'Data FY23-24 Final'!X83</f>
        <v>0</v>
      </c>
      <c r="AW83" s="261">
        <f>+Y83-'Data FY23-24 Final'!Y83</f>
        <v>10271.919999999925</v>
      </c>
      <c r="AX83" s="261">
        <f>+Z83-'Data FY23-24 Final'!Z83</f>
        <v>-33075.159200000111</v>
      </c>
    </row>
    <row r="84" spans="1:50" s="256" customFormat="1" x14ac:dyDescent="0.25">
      <c r="A84" s="289" t="s">
        <v>264</v>
      </c>
      <c r="B84" s="289" t="s">
        <v>152</v>
      </c>
      <c r="C84" s="297" t="s">
        <v>265</v>
      </c>
      <c r="D84" s="344">
        <v>30692947</v>
      </c>
      <c r="E84" s="344">
        <v>0</v>
      </c>
      <c r="F84" s="344">
        <f t="shared" si="12"/>
        <v>30692947</v>
      </c>
      <c r="G84" s="343">
        <v>79131.509999999995</v>
      </c>
      <c r="H84" s="347">
        <v>24.334</v>
      </c>
      <c r="I84" s="347">
        <v>0</v>
      </c>
      <c r="J84" s="353">
        <f t="shared" si="13"/>
        <v>24.334</v>
      </c>
      <c r="K84" s="287">
        <v>0</v>
      </c>
      <c r="L84" s="300">
        <v>0</v>
      </c>
      <c r="M84" s="287">
        <v>4.54</v>
      </c>
      <c r="N84" s="353">
        <v>0</v>
      </c>
      <c r="O84" s="354">
        <v>0</v>
      </c>
      <c r="P84" s="355">
        <f t="shared" si="9"/>
        <v>2.5781659219624626</v>
      </c>
      <c r="Q84" s="360">
        <f t="shared" si="10"/>
        <v>31.452165921962461</v>
      </c>
      <c r="R84" s="299"/>
      <c r="S84" s="299"/>
      <c r="T84" s="299"/>
      <c r="U84" s="299"/>
      <c r="V84" s="299"/>
      <c r="W84" s="299">
        <f t="shared" si="11"/>
        <v>31.452165921962461</v>
      </c>
      <c r="X84" s="287">
        <v>75.546999999999997</v>
      </c>
      <c r="Y84" s="344">
        <v>2371098.61</v>
      </c>
      <c r="Z84" s="344">
        <v>1571891.1090019997</v>
      </c>
      <c r="AB84" s="261">
        <f>+D84-'Data FY23-24 Final'!D84</f>
        <v>616516</v>
      </c>
      <c r="AC84" s="261">
        <f>+E84-'Data FY23-24 Final'!E84</f>
        <v>0</v>
      </c>
      <c r="AD84" s="261">
        <f>+F84-'Data FY23-24 Final'!F84</f>
        <v>616516</v>
      </c>
      <c r="AE84" s="261">
        <f>+G84-'Data FY23-24 Final'!G84</f>
        <v>0</v>
      </c>
      <c r="AF84" s="288">
        <f>+H84-'Data FY23-24 Final'!H84</f>
        <v>0</v>
      </c>
      <c r="AG84" s="288">
        <f>+I84-'Data FY23-24 Final'!I84</f>
        <v>0</v>
      </c>
      <c r="AH84" s="288">
        <f>+J84-'Data FY23-24 Final'!J84</f>
        <v>0</v>
      </c>
      <c r="AI84" s="288">
        <f>+K84-'Data FY23-24 Final'!K84</f>
        <v>0</v>
      </c>
      <c r="AJ84" s="288">
        <f>+L84-'Data FY23-24 Final'!L84</f>
        <v>0</v>
      </c>
      <c r="AK84" s="288">
        <f>+M84-'Data FY23-24 Final'!M84</f>
        <v>-9.4000000000000306E-2</v>
      </c>
      <c r="AL84" s="288">
        <f>+N84-'Data FY23-24 Final'!N84</f>
        <v>0</v>
      </c>
      <c r="AM84" s="288">
        <f>+O84-'Data FY23-24 Final'!O84</f>
        <v>0</v>
      </c>
      <c r="AN84" s="288">
        <f>+P84-'Data FY23-24 Final'!P84</f>
        <v>2.5781659219624626</v>
      </c>
      <c r="AO84" s="288">
        <f>+Q84-'Data FY23-24 Final'!Q84</f>
        <v>2.484165921962461</v>
      </c>
      <c r="AP84" s="288">
        <f>+R84-'Data FY23-24 Final'!R84</f>
        <v>-7.4809999999999999</v>
      </c>
      <c r="AQ84" s="288">
        <f>+S84-'Data FY23-24 Final'!S84</f>
        <v>0</v>
      </c>
      <c r="AR84" s="288">
        <f>+T84-'Data FY23-24 Final'!T84</f>
        <v>0</v>
      </c>
      <c r="AS84" s="288">
        <f>+U84-'Data FY23-24 Final'!U84</f>
        <v>0</v>
      </c>
      <c r="AT84" s="288">
        <f>+V84-'Data FY23-24 Final'!V84</f>
        <v>0</v>
      </c>
      <c r="AU84" s="288">
        <f>+W84-'Data FY23-24 Final'!W84</f>
        <v>-4.9968340780375371</v>
      </c>
      <c r="AV84" s="288">
        <f>+X84-'Data FY23-24 Final'!X84</f>
        <v>0</v>
      </c>
      <c r="AW84" s="261">
        <f>+Y84-'Data FY23-24 Final'!Y84</f>
        <v>53955.529999999795</v>
      </c>
      <c r="AX84" s="261">
        <f>+Z84-'Data FY23-24 Final'!Z84</f>
        <v>67926.070955999661</v>
      </c>
    </row>
    <row r="85" spans="1:50" s="256" customFormat="1" x14ac:dyDescent="0.25">
      <c r="A85" s="289" t="s">
        <v>266</v>
      </c>
      <c r="B85" s="289" t="s">
        <v>152</v>
      </c>
      <c r="C85" s="297" t="s">
        <v>267</v>
      </c>
      <c r="D85" s="344">
        <v>24727555</v>
      </c>
      <c r="E85" s="344">
        <v>0</v>
      </c>
      <c r="F85" s="344">
        <f t="shared" si="12"/>
        <v>24727555</v>
      </c>
      <c r="G85" s="343">
        <v>4109.01</v>
      </c>
      <c r="H85" s="347">
        <v>27</v>
      </c>
      <c r="I85" s="347">
        <v>0</v>
      </c>
      <c r="J85" s="353">
        <f t="shared" si="13"/>
        <v>27</v>
      </c>
      <c r="K85" s="287">
        <v>0</v>
      </c>
      <c r="L85" s="300">
        <v>0</v>
      </c>
      <c r="M85" s="287">
        <v>0</v>
      </c>
      <c r="N85" s="353">
        <v>0</v>
      </c>
      <c r="O85" s="354">
        <v>4.8209999999999997</v>
      </c>
      <c r="P85" s="355">
        <f t="shared" si="9"/>
        <v>0.16617130161069302</v>
      </c>
      <c r="Q85" s="360">
        <f t="shared" si="10"/>
        <v>31.98717130161069</v>
      </c>
      <c r="R85" s="299"/>
      <c r="S85" s="299"/>
      <c r="T85" s="299"/>
      <c r="U85" s="299"/>
      <c r="V85" s="299"/>
      <c r="W85" s="299">
        <f t="shared" si="11"/>
        <v>31.98717130161069</v>
      </c>
      <c r="X85" s="287">
        <v>134.22300000000001</v>
      </c>
      <c r="Y85" s="344">
        <v>3383601.22</v>
      </c>
      <c r="Z85" s="344">
        <v>2651369.7048000004</v>
      </c>
      <c r="AB85" s="261">
        <f>+D85-'Data FY23-24 Final'!D85</f>
        <v>1100075</v>
      </c>
      <c r="AC85" s="261">
        <f>+E85-'Data FY23-24 Final'!E85</f>
        <v>0</v>
      </c>
      <c r="AD85" s="261">
        <f>+F85-'Data FY23-24 Final'!F85</f>
        <v>1100075</v>
      </c>
      <c r="AE85" s="261">
        <f>+G85-'Data FY23-24 Final'!G85</f>
        <v>1.0000000000218279E-2</v>
      </c>
      <c r="AF85" s="288">
        <f>+H85-'Data FY23-24 Final'!H85</f>
        <v>0</v>
      </c>
      <c r="AG85" s="288">
        <f>+I85-'Data FY23-24 Final'!I85</f>
        <v>0</v>
      </c>
      <c r="AH85" s="288">
        <f>+J85-'Data FY23-24 Final'!J85</f>
        <v>0</v>
      </c>
      <c r="AI85" s="288">
        <f>+K85-'Data FY23-24 Final'!K85</f>
        <v>0</v>
      </c>
      <c r="AJ85" s="288">
        <f>+L85-'Data FY23-24 Final'!L85</f>
        <v>0</v>
      </c>
      <c r="AK85" s="288">
        <f>+M85-'Data FY23-24 Final'!M85</f>
        <v>0</v>
      </c>
      <c r="AL85" s="288">
        <f>+N85-'Data FY23-24 Final'!N85</f>
        <v>0</v>
      </c>
      <c r="AM85" s="288">
        <f>+O85-'Data FY23-24 Final'!O85</f>
        <v>-2.6790000000000003</v>
      </c>
      <c r="AN85" s="288">
        <f>+P85-'Data FY23-24 Final'!P85</f>
        <v>-7.8286983893069706E-3</v>
      </c>
      <c r="AO85" s="288">
        <f>+Q85-'Data FY23-24 Final'!Q85</f>
        <v>-2.6868286983893093</v>
      </c>
      <c r="AP85" s="288">
        <f>+R85-'Data FY23-24 Final'!R85</f>
        <v>0</v>
      </c>
      <c r="AQ85" s="288">
        <f>+S85-'Data FY23-24 Final'!S85</f>
        <v>0</v>
      </c>
      <c r="AR85" s="288">
        <f>+T85-'Data FY23-24 Final'!T85</f>
        <v>0</v>
      </c>
      <c r="AS85" s="288">
        <f>+U85-'Data FY23-24 Final'!U85</f>
        <v>0</v>
      </c>
      <c r="AT85" s="288">
        <f>+V85-'Data FY23-24 Final'!V85</f>
        <v>0</v>
      </c>
      <c r="AU85" s="288">
        <f>+W85-'Data FY23-24 Final'!W85</f>
        <v>-2.6868286983893093</v>
      </c>
      <c r="AV85" s="288">
        <f>+X85-'Data FY23-24 Final'!X85</f>
        <v>0</v>
      </c>
      <c r="AW85" s="261">
        <f>+Y85-'Data FY23-24 Final'!Y85</f>
        <v>18548.530000000261</v>
      </c>
      <c r="AX85" s="261">
        <f>+Z85-'Data FY23-24 Final'!Z85</f>
        <v>-5586.7251999997534</v>
      </c>
    </row>
    <row r="86" spans="1:50" s="256" customFormat="1" x14ac:dyDescent="0.25">
      <c r="A86" s="289" t="s">
        <v>268</v>
      </c>
      <c r="B86" s="289" t="s">
        <v>152</v>
      </c>
      <c r="C86" s="297" t="s">
        <v>269</v>
      </c>
      <c r="D86" s="344">
        <v>18198786</v>
      </c>
      <c r="E86" s="344">
        <v>0</v>
      </c>
      <c r="F86" s="344">
        <f t="shared" si="12"/>
        <v>18198786</v>
      </c>
      <c r="G86" s="343">
        <v>2731.14</v>
      </c>
      <c r="H86" s="347">
        <v>27</v>
      </c>
      <c r="I86" s="347">
        <v>0.81200000000000117</v>
      </c>
      <c r="J86" s="353">
        <f t="shared" si="13"/>
        <v>26.187999999999999</v>
      </c>
      <c r="K86" s="287">
        <v>0</v>
      </c>
      <c r="L86" s="300">
        <v>0</v>
      </c>
      <c r="M86" s="287">
        <v>0</v>
      </c>
      <c r="N86" s="353">
        <v>0</v>
      </c>
      <c r="O86" s="354">
        <v>0</v>
      </c>
      <c r="P86" s="355">
        <f t="shared" si="9"/>
        <v>0.15007264770298415</v>
      </c>
      <c r="Q86" s="360">
        <f t="shared" si="10"/>
        <v>26.338072647702983</v>
      </c>
      <c r="R86" s="299"/>
      <c r="S86" s="299"/>
      <c r="T86" s="299"/>
      <c r="U86" s="299"/>
      <c r="V86" s="299"/>
      <c r="W86" s="299">
        <f t="shared" si="11"/>
        <v>26.338072647702983</v>
      </c>
      <c r="X86" s="287">
        <v>117.13800000000001</v>
      </c>
      <c r="Y86" s="344">
        <v>2175034.67</v>
      </c>
      <c r="Z86" s="344">
        <v>1673384.657632</v>
      </c>
      <c r="AB86" s="261">
        <f>+D86-'Data FY23-24 Final'!D86</f>
        <v>453284</v>
      </c>
      <c r="AC86" s="261">
        <f>+E86-'Data FY23-24 Final'!E86</f>
        <v>0</v>
      </c>
      <c r="AD86" s="261">
        <f>+F86-'Data FY23-24 Final'!F86</f>
        <v>453284</v>
      </c>
      <c r="AE86" s="261">
        <f>+G86-'Data FY23-24 Final'!G86</f>
        <v>2731.14</v>
      </c>
      <c r="AF86" s="288">
        <f>+H86-'Data FY23-24 Final'!H86</f>
        <v>0</v>
      </c>
      <c r="AG86" s="288">
        <f>+I86-'Data FY23-24 Final'!I86</f>
        <v>-0.99999999999999889</v>
      </c>
      <c r="AH86" s="288">
        <f>+J86-'Data FY23-24 Final'!J86</f>
        <v>1</v>
      </c>
      <c r="AI86" s="288">
        <f>+K86-'Data FY23-24 Final'!K86</f>
        <v>0</v>
      </c>
      <c r="AJ86" s="288">
        <f>+L86-'Data FY23-24 Final'!L86</f>
        <v>0</v>
      </c>
      <c r="AK86" s="288">
        <f>+M86-'Data FY23-24 Final'!M86</f>
        <v>0</v>
      </c>
      <c r="AL86" s="288">
        <f>+N86-'Data FY23-24 Final'!N86</f>
        <v>0</v>
      </c>
      <c r="AM86" s="288">
        <f>+O86-'Data FY23-24 Final'!O86</f>
        <v>-13.7</v>
      </c>
      <c r="AN86" s="288">
        <f>+P86-'Data FY23-24 Final'!P86</f>
        <v>0.15007264770298415</v>
      </c>
      <c r="AO86" s="288">
        <f>+Q86-'Data FY23-24 Final'!Q86</f>
        <v>-12.549927352297015</v>
      </c>
      <c r="AP86" s="288">
        <f>+R86-'Data FY23-24 Final'!R86</f>
        <v>0</v>
      </c>
      <c r="AQ86" s="288">
        <f>+S86-'Data FY23-24 Final'!S86</f>
        <v>0</v>
      </c>
      <c r="AR86" s="288">
        <f>+T86-'Data FY23-24 Final'!T86</f>
        <v>0</v>
      </c>
      <c r="AS86" s="288">
        <f>+U86-'Data FY23-24 Final'!U86</f>
        <v>0</v>
      </c>
      <c r="AT86" s="288">
        <f>+V86-'Data FY23-24 Final'!V86</f>
        <v>0</v>
      </c>
      <c r="AU86" s="288">
        <f>+W86-'Data FY23-24 Final'!W86</f>
        <v>-12.549927352297015</v>
      </c>
      <c r="AV86" s="288">
        <f>+X86-'Data FY23-24 Final'!X86</f>
        <v>0</v>
      </c>
      <c r="AW86" s="261">
        <f>+Y86-'Data FY23-24 Final'!Y86</f>
        <v>57811.75</v>
      </c>
      <c r="AX86" s="261">
        <f>+Z86-'Data FY23-24 Final'!Z86</f>
        <v>34659.712008000119</v>
      </c>
    </row>
    <row r="87" spans="1:50" s="256" customFormat="1" x14ac:dyDescent="0.25">
      <c r="A87" s="289" t="s">
        <v>270</v>
      </c>
      <c r="B87" s="289" t="s">
        <v>152</v>
      </c>
      <c r="C87" s="297" t="s">
        <v>271</v>
      </c>
      <c r="D87" s="344">
        <v>116176801</v>
      </c>
      <c r="E87" s="344">
        <v>0</v>
      </c>
      <c r="F87" s="344">
        <f t="shared" si="12"/>
        <v>116176801</v>
      </c>
      <c r="G87" s="343">
        <v>32845.07</v>
      </c>
      <c r="H87" s="347">
        <v>27</v>
      </c>
      <c r="I87" s="347">
        <v>0</v>
      </c>
      <c r="J87" s="353">
        <f t="shared" si="13"/>
        <v>27</v>
      </c>
      <c r="K87" s="287">
        <v>0</v>
      </c>
      <c r="L87" s="300">
        <v>0</v>
      </c>
      <c r="M87" s="287">
        <v>0</v>
      </c>
      <c r="N87" s="353">
        <v>0</v>
      </c>
      <c r="O87" s="354">
        <v>2.2839999999999998</v>
      </c>
      <c r="P87" s="355">
        <f t="shared" si="9"/>
        <v>0.28271625416850654</v>
      </c>
      <c r="Q87" s="360">
        <f t="shared" si="10"/>
        <v>29.566716254168504</v>
      </c>
      <c r="R87" s="299"/>
      <c r="S87" s="299"/>
      <c r="T87" s="299"/>
      <c r="U87" s="299"/>
      <c r="V87" s="299"/>
      <c r="W87" s="299">
        <f t="shared" si="11"/>
        <v>29.566716254168504</v>
      </c>
      <c r="X87" s="287">
        <v>65.262</v>
      </c>
      <c r="Y87" s="344">
        <v>7969812.6699999999</v>
      </c>
      <c r="Z87" s="344">
        <v>4523823.6492999997</v>
      </c>
      <c r="AB87" s="261">
        <f>+D87-'Data FY23-24 Final'!D87</f>
        <v>1963765</v>
      </c>
      <c r="AC87" s="261">
        <f>+E87-'Data FY23-24 Final'!E87</f>
        <v>0</v>
      </c>
      <c r="AD87" s="261">
        <f>+F87-'Data FY23-24 Final'!F87</f>
        <v>1963765</v>
      </c>
      <c r="AE87" s="261">
        <f>+G87-'Data FY23-24 Final'!G87</f>
        <v>30465.47</v>
      </c>
      <c r="AF87" s="288">
        <f>+H87-'Data FY23-24 Final'!H87</f>
        <v>0</v>
      </c>
      <c r="AG87" s="288">
        <f>+I87-'Data FY23-24 Final'!I87</f>
        <v>0</v>
      </c>
      <c r="AH87" s="288">
        <f>+J87-'Data FY23-24 Final'!J87</f>
        <v>0</v>
      </c>
      <c r="AI87" s="288">
        <f>+K87-'Data FY23-24 Final'!K87</f>
        <v>0</v>
      </c>
      <c r="AJ87" s="288">
        <f>+L87-'Data FY23-24 Final'!L87</f>
        <v>0</v>
      </c>
      <c r="AK87" s="288">
        <f>+M87-'Data FY23-24 Final'!M87</f>
        <v>0</v>
      </c>
      <c r="AL87" s="288">
        <f>+N87-'Data FY23-24 Final'!N87</f>
        <v>0</v>
      </c>
      <c r="AM87" s="288">
        <f>+O87-'Data FY23-24 Final'!O87</f>
        <v>-11.081</v>
      </c>
      <c r="AN87" s="288">
        <f>+P87-'Data FY23-24 Final'!P87</f>
        <v>0.26171625416850652</v>
      </c>
      <c r="AO87" s="288">
        <f>+Q87-'Data FY23-24 Final'!Q87</f>
        <v>-10.819283745831498</v>
      </c>
      <c r="AP87" s="288">
        <f>+R87-'Data FY23-24 Final'!R87</f>
        <v>0</v>
      </c>
      <c r="AQ87" s="288">
        <f>+S87-'Data FY23-24 Final'!S87</f>
        <v>0</v>
      </c>
      <c r="AR87" s="288">
        <f>+T87-'Data FY23-24 Final'!T87</f>
        <v>0</v>
      </c>
      <c r="AS87" s="288">
        <f>+U87-'Data FY23-24 Final'!U87</f>
        <v>0</v>
      </c>
      <c r="AT87" s="288">
        <f>+V87-'Data FY23-24 Final'!V87</f>
        <v>0</v>
      </c>
      <c r="AU87" s="288">
        <f>+W87-'Data FY23-24 Final'!W87</f>
        <v>-10.819283745831498</v>
      </c>
      <c r="AV87" s="288">
        <f>+X87-'Data FY23-24 Final'!X87</f>
        <v>0</v>
      </c>
      <c r="AW87" s="261">
        <f>+Y87-'Data FY23-24 Final'!Y87</f>
        <v>178016.1799999997</v>
      </c>
      <c r="AX87" s="261">
        <f>+Z87-'Data FY23-24 Final'!Z87</f>
        <v>118155.07129999995</v>
      </c>
    </row>
    <row r="88" spans="1:50" s="256" customFormat="1" x14ac:dyDescent="0.25">
      <c r="A88" s="289" t="s">
        <v>272</v>
      </c>
      <c r="B88" s="289" t="s">
        <v>273</v>
      </c>
      <c r="C88" s="297" t="s">
        <v>273</v>
      </c>
      <c r="D88" s="344">
        <v>402915979</v>
      </c>
      <c r="E88" s="344">
        <v>3795889</v>
      </c>
      <c r="F88" s="344">
        <f t="shared" si="12"/>
        <v>399120090</v>
      </c>
      <c r="G88" s="343">
        <v>60201.48</v>
      </c>
      <c r="H88" s="347">
        <v>26.513999999999999</v>
      </c>
      <c r="I88" s="347">
        <v>0</v>
      </c>
      <c r="J88" s="361">
        <f>+H88-I88-K88-L88</f>
        <v>26.111999999999998</v>
      </c>
      <c r="K88" s="362">
        <v>0.40200000000000002</v>
      </c>
      <c r="L88" s="363">
        <v>0</v>
      </c>
      <c r="M88" s="287">
        <v>0</v>
      </c>
      <c r="N88" s="353">
        <v>0</v>
      </c>
      <c r="O88" s="354">
        <v>1.673</v>
      </c>
      <c r="P88" s="355">
        <f t="shared" si="9"/>
        <v>0.15083550417118818</v>
      </c>
      <c r="Q88" s="360">
        <f t="shared" si="10"/>
        <v>28.337835504171185</v>
      </c>
      <c r="R88" s="299"/>
      <c r="S88" s="299"/>
      <c r="T88" s="299"/>
      <c r="U88" s="299"/>
      <c r="V88" s="299"/>
      <c r="W88" s="299">
        <f t="shared" si="11"/>
        <v>28.337835504171185</v>
      </c>
      <c r="X88" s="287">
        <v>26.067</v>
      </c>
      <c r="Y88" s="344">
        <v>10713924.859999999</v>
      </c>
      <c r="Z88" s="344">
        <v>0</v>
      </c>
      <c r="AB88" s="261">
        <f>+D88-'Data FY23-24 Final'!D88</f>
        <v>33345790</v>
      </c>
      <c r="AC88" s="261">
        <f>+E88-'Data FY23-24 Final'!E88</f>
        <v>0</v>
      </c>
      <c r="AD88" s="261">
        <f>+F88-'Data FY23-24 Final'!F88</f>
        <v>33345790</v>
      </c>
      <c r="AE88" s="261">
        <f>+G88-'Data FY23-24 Final'!G88</f>
        <v>0</v>
      </c>
      <c r="AF88" s="288">
        <f>+H88-'Data FY23-24 Final'!H88</f>
        <v>0</v>
      </c>
      <c r="AG88" s="288">
        <f>+I88-'Data FY23-24 Final'!I88</f>
        <v>-4.4999999999999998E-2</v>
      </c>
      <c r="AH88" s="288">
        <f>+J88-'Data FY23-24 Final'!J88</f>
        <v>-0.35700000000000287</v>
      </c>
      <c r="AI88" s="288">
        <f>+K88-'Data FY23-24 Final'!K88</f>
        <v>0.40200000000000002</v>
      </c>
      <c r="AJ88" s="288">
        <f>+L88-'Data FY23-24 Final'!L88</f>
        <v>0</v>
      </c>
      <c r="AK88" s="288">
        <f>+M88-'Data FY23-24 Final'!M88</f>
        <v>0</v>
      </c>
      <c r="AL88" s="288">
        <f>+N88-'Data FY23-24 Final'!N88</f>
        <v>0</v>
      </c>
      <c r="AM88" s="288">
        <f>+O88-'Data FY23-24 Final'!O88</f>
        <v>-0.15300000000000002</v>
      </c>
      <c r="AN88" s="288">
        <f>+P88-'Data FY23-24 Final'!P88</f>
        <v>-1.4164495828811824E-2</v>
      </c>
      <c r="AO88" s="288">
        <f>+Q88-'Data FY23-24 Final'!Q88</f>
        <v>-0.12216449582881594</v>
      </c>
      <c r="AP88" s="288">
        <f>+R88-'Data FY23-24 Final'!R88</f>
        <v>-5.2060000000000004</v>
      </c>
      <c r="AQ88" s="288">
        <f>+S88-'Data FY23-24 Final'!S88</f>
        <v>0</v>
      </c>
      <c r="AR88" s="288">
        <f>+T88-'Data FY23-24 Final'!T88</f>
        <v>0</v>
      </c>
      <c r="AS88" s="288">
        <f>+U88-'Data FY23-24 Final'!U88</f>
        <v>0</v>
      </c>
      <c r="AT88" s="288">
        <f>+V88-'Data FY23-24 Final'!V88</f>
        <v>0</v>
      </c>
      <c r="AU88" s="288">
        <f>+W88-'Data FY23-24 Final'!W88</f>
        <v>-5.3281644958288119</v>
      </c>
      <c r="AV88" s="288">
        <f>+X88-'Data FY23-24 Final'!X88</f>
        <v>0</v>
      </c>
      <c r="AW88" s="261">
        <f>+Y88-'Data FY23-24 Final'!Y88</f>
        <v>198058.70999999903</v>
      </c>
      <c r="AX88" s="261">
        <f>+Z88-'Data FY23-24 Final'!Z88</f>
        <v>-538344.14330000104</v>
      </c>
    </row>
    <row r="89" spans="1:50" s="256" customFormat="1" ht="13" x14ac:dyDescent="0.3">
      <c r="A89" s="289" t="s">
        <v>274</v>
      </c>
      <c r="B89" s="289" t="s">
        <v>275</v>
      </c>
      <c r="C89" s="297" t="s">
        <v>276</v>
      </c>
      <c r="D89" s="378">
        <v>1598579500</v>
      </c>
      <c r="E89" s="378">
        <v>3107860</v>
      </c>
      <c r="F89" s="378">
        <v>1595471640</v>
      </c>
      <c r="G89" s="379">
        <v>131750.25</v>
      </c>
      <c r="H89" s="347">
        <v>12.747999999999999</v>
      </c>
      <c r="I89" s="347">
        <v>2.1470000000000002</v>
      </c>
      <c r="J89" s="353">
        <f>+H89-I89</f>
        <v>10.600999999999999</v>
      </c>
      <c r="K89" s="287">
        <v>0</v>
      </c>
      <c r="L89" s="300">
        <v>0</v>
      </c>
      <c r="M89" s="287">
        <v>1.5309999999999999</v>
      </c>
      <c r="N89" s="353">
        <v>0</v>
      </c>
      <c r="O89" s="354">
        <v>3.2709999999999999</v>
      </c>
      <c r="P89" s="355">
        <f t="shared" si="9"/>
        <v>8.2577619493129945E-2</v>
      </c>
      <c r="Q89" s="360">
        <f t="shared" si="10"/>
        <v>15.485577619493128</v>
      </c>
      <c r="R89" s="299"/>
      <c r="S89" s="299"/>
      <c r="T89" s="299"/>
      <c r="U89" s="299"/>
      <c r="V89" s="299"/>
      <c r="W89" s="299">
        <f t="shared" si="11"/>
        <v>15.485577619493128</v>
      </c>
      <c r="X89" s="287">
        <v>35.492000000000004</v>
      </c>
      <c r="Y89" s="344">
        <v>62311105.909999996</v>
      </c>
      <c r="Z89" s="344">
        <v>44321656.616590001</v>
      </c>
      <c r="AB89" s="261">
        <f>+D89-'Data FY23-24 Final'!D89</f>
        <v>-59726990</v>
      </c>
      <c r="AC89" s="261">
        <f>+E89-'Data FY23-24 Final'!E89</f>
        <v>213150</v>
      </c>
      <c r="AD89" s="261">
        <f>+F89-'Data FY23-24 Final'!F89</f>
        <v>-59940140</v>
      </c>
      <c r="AE89" s="261">
        <f>+G89-'Data FY23-24 Final'!G89</f>
        <v>88327.25</v>
      </c>
      <c r="AF89" s="288">
        <f>+H89-'Data FY23-24 Final'!H89</f>
        <v>0</v>
      </c>
      <c r="AG89" s="288">
        <f>+I89-'Data FY23-24 Final'!I89</f>
        <v>-0.99999999999999956</v>
      </c>
      <c r="AH89" s="288">
        <f>+J89-'Data FY23-24 Final'!J89</f>
        <v>0.99999999999999822</v>
      </c>
      <c r="AI89" s="288">
        <f>+K89-'Data FY23-24 Final'!K89</f>
        <v>0</v>
      </c>
      <c r="AJ89" s="288">
        <f>+L89-'Data FY23-24 Final'!L89</f>
        <v>0</v>
      </c>
      <c r="AK89" s="288">
        <f>+M89-'Data FY23-24 Final'!M89</f>
        <v>-5.2000000000000046E-2</v>
      </c>
      <c r="AL89" s="288">
        <f>+N89-'Data FY23-24 Final'!N89</f>
        <v>0</v>
      </c>
      <c r="AM89" s="288">
        <f>+O89-'Data FY23-24 Final'!O89</f>
        <v>-4.3280000000000003</v>
      </c>
      <c r="AN89" s="288">
        <f>+P89-'Data FY23-24 Final'!P89</f>
        <v>5.6577619493129949E-2</v>
      </c>
      <c r="AO89" s="288">
        <f>+Q89-'Data FY23-24 Final'!Q89</f>
        <v>-3.323422380506873</v>
      </c>
      <c r="AP89" s="288">
        <f>+R89-'Data FY23-24 Final'!R89</f>
        <v>-5.7759999999999998</v>
      </c>
      <c r="AQ89" s="288">
        <f>+S89-'Data FY23-24 Final'!S89</f>
        <v>0</v>
      </c>
      <c r="AR89" s="288">
        <f>+T89-'Data FY23-24 Final'!T89</f>
        <v>0</v>
      </c>
      <c r="AS89" s="288">
        <f>+U89-'Data FY23-24 Final'!U89</f>
        <v>0</v>
      </c>
      <c r="AT89" s="288">
        <f>+V89-'Data FY23-24 Final'!V89</f>
        <v>0</v>
      </c>
      <c r="AU89" s="288">
        <f>+W89-'Data FY23-24 Final'!W89</f>
        <v>-9.0994223805068728</v>
      </c>
      <c r="AV89" s="288">
        <f>+X89-'Data FY23-24 Final'!X89</f>
        <v>0</v>
      </c>
      <c r="AW89" s="261">
        <f>+Y89-'Data FY23-24 Final'!Y89</f>
        <v>8607297.75</v>
      </c>
      <c r="AX89" s="261">
        <f>+Z89-'Data FY23-24 Final'!Z89</f>
        <v>7944116.5963700041</v>
      </c>
    </row>
    <row r="90" spans="1:50" s="256" customFormat="1" ht="13" x14ac:dyDescent="0.3">
      <c r="A90" s="289" t="s">
        <v>277</v>
      </c>
      <c r="B90" s="289" t="s">
        <v>275</v>
      </c>
      <c r="C90" s="297" t="s">
        <v>278</v>
      </c>
      <c r="D90" s="378">
        <v>230996490</v>
      </c>
      <c r="E90" s="378">
        <v>0</v>
      </c>
      <c r="F90" s="378">
        <v>230996490</v>
      </c>
      <c r="G90" s="379">
        <v>4733.4100000000008</v>
      </c>
      <c r="H90" s="347">
        <v>19.373000000000001</v>
      </c>
      <c r="I90" s="347">
        <v>7.1440000000000001</v>
      </c>
      <c r="J90" s="353">
        <f>+H90-I90</f>
        <v>12.229000000000001</v>
      </c>
      <c r="K90" s="287">
        <v>0</v>
      </c>
      <c r="L90" s="300">
        <v>0</v>
      </c>
      <c r="M90" s="287">
        <v>0.122</v>
      </c>
      <c r="N90" s="353">
        <v>0</v>
      </c>
      <c r="O90" s="354">
        <v>7.1680000000000001</v>
      </c>
      <c r="P90" s="355">
        <f t="shared" si="9"/>
        <v>2.0491263741713134E-2</v>
      </c>
      <c r="Q90" s="360">
        <f t="shared" si="10"/>
        <v>19.539491263741716</v>
      </c>
      <c r="R90" s="299"/>
      <c r="S90" s="299"/>
      <c r="T90" s="299"/>
      <c r="U90" s="299"/>
      <c r="V90" s="299"/>
      <c r="W90" s="299">
        <f t="shared" si="11"/>
        <v>19.539491263741716</v>
      </c>
      <c r="X90" s="287">
        <v>51.721000000000004</v>
      </c>
      <c r="Y90" s="344">
        <v>14787952.98</v>
      </c>
      <c r="Z90" s="344">
        <v>11394326.22989</v>
      </c>
      <c r="AB90" s="261">
        <f>+D90-'Data FY23-24 Final'!D90</f>
        <v>-36443970</v>
      </c>
      <c r="AC90" s="261">
        <f>+E90-'Data FY23-24 Final'!E90</f>
        <v>0</v>
      </c>
      <c r="AD90" s="261">
        <f>+F90-'Data FY23-24 Final'!F90</f>
        <v>-36443970</v>
      </c>
      <c r="AE90" s="261">
        <f>+G90-'Data FY23-24 Final'!G90</f>
        <v>873.14000000000078</v>
      </c>
      <c r="AF90" s="288">
        <f>+H90-'Data FY23-24 Final'!H90</f>
        <v>0.23499999999999943</v>
      </c>
      <c r="AG90" s="288">
        <f>+I90-'Data FY23-24 Final'!I90</f>
        <v>-0.76500000000000234</v>
      </c>
      <c r="AH90" s="288">
        <f>+J90-'Data FY23-24 Final'!J90</f>
        <v>1.0000000000000018</v>
      </c>
      <c r="AI90" s="288">
        <f>+K90-'Data FY23-24 Final'!K90</f>
        <v>0</v>
      </c>
      <c r="AJ90" s="288">
        <f>+L90-'Data FY23-24 Final'!L90</f>
        <v>0</v>
      </c>
      <c r="AK90" s="288">
        <f>+M90-'Data FY23-24 Final'!M90</f>
        <v>-7.0000000000000062E-3</v>
      </c>
      <c r="AL90" s="288">
        <f>+N90-'Data FY23-24 Final'!N90</f>
        <v>0</v>
      </c>
      <c r="AM90" s="288">
        <f>+O90-'Data FY23-24 Final'!O90</f>
        <v>-0.56700000000000017</v>
      </c>
      <c r="AN90" s="288">
        <f>+P90-'Data FY23-24 Final'!P90</f>
        <v>6.4912637417131342E-3</v>
      </c>
      <c r="AO90" s="288">
        <f>+Q90-'Data FY23-24 Final'!Q90</f>
        <v>0.43249126374171709</v>
      </c>
      <c r="AP90" s="288">
        <f>+R90-'Data FY23-24 Final'!R90</f>
        <v>-12.47</v>
      </c>
      <c r="AQ90" s="288">
        <f>+S90-'Data FY23-24 Final'!S90</f>
        <v>0</v>
      </c>
      <c r="AR90" s="288">
        <f>+T90-'Data FY23-24 Final'!T90</f>
        <v>0</v>
      </c>
      <c r="AS90" s="288">
        <f>+U90-'Data FY23-24 Final'!U90</f>
        <v>0</v>
      </c>
      <c r="AT90" s="288">
        <f>+V90-'Data FY23-24 Final'!V90</f>
        <v>0</v>
      </c>
      <c r="AU90" s="288">
        <f>+W90-'Data FY23-24 Final'!W90</f>
        <v>-12.037508736258285</v>
      </c>
      <c r="AV90" s="288">
        <f>+X90-'Data FY23-24 Final'!X90</f>
        <v>0</v>
      </c>
      <c r="AW90" s="261">
        <f>+Y90-'Data FY23-24 Final'!Y90</f>
        <v>250008.50999999978</v>
      </c>
      <c r="AX90" s="261">
        <f>+Z90-'Data FY23-24 Final'!Z90</f>
        <v>79678.085229998454</v>
      </c>
    </row>
    <row r="91" spans="1:50" s="256" customFormat="1" ht="13" x14ac:dyDescent="0.3">
      <c r="A91" s="289" t="s">
        <v>279</v>
      </c>
      <c r="B91" s="289" t="s">
        <v>275</v>
      </c>
      <c r="C91" s="297" t="s">
        <v>280</v>
      </c>
      <c r="D91" s="378">
        <v>264777280</v>
      </c>
      <c r="E91" s="378">
        <v>0</v>
      </c>
      <c r="F91" s="378">
        <v>264777280</v>
      </c>
      <c r="G91" s="379">
        <v>7087.81</v>
      </c>
      <c r="H91" s="347">
        <v>7.3310000000000004</v>
      </c>
      <c r="I91" s="347">
        <v>1.0570000000000004</v>
      </c>
      <c r="J91" s="353">
        <f>+H91-I91</f>
        <v>6.274</v>
      </c>
      <c r="K91" s="287">
        <v>0</v>
      </c>
      <c r="L91" s="300">
        <v>0</v>
      </c>
      <c r="M91" s="287">
        <v>0</v>
      </c>
      <c r="N91" s="353">
        <v>0</v>
      </c>
      <c r="O91" s="354">
        <v>3.0829999999999997</v>
      </c>
      <c r="P91" s="355">
        <f t="shared" si="9"/>
        <v>2.6768950870709147E-2</v>
      </c>
      <c r="Q91" s="360">
        <f t="shared" si="10"/>
        <v>9.3837689508707083</v>
      </c>
      <c r="R91" s="299"/>
      <c r="S91" s="299"/>
      <c r="T91" s="299"/>
      <c r="U91" s="299"/>
      <c r="V91" s="299"/>
      <c r="W91" s="299">
        <f t="shared" si="11"/>
        <v>9.3837689508707083</v>
      </c>
      <c r="X91" s="287">
        <v>25.791999999999998</v>
      </c>
      <c r="Y91" s="344">
        <v>9263462.7400000002</v>
      </c>
      <c r="Z91" s="344">
        <v>7320898.2071200004</v>
      </c>
      <c r="AB91" s="261">
        <f>+D91-'Data FY23-24 Final'!D91</f>
        <v>-87198850</v>
      </c>
      <c r="AC91" s="261">
        <f>+E91-'Data FY23-24 Final'!E91</f>
        <v>0</v>
      </c>
      <c r="AD91" s="261">
        <f>+F91-'Data FY23-24 Final'!F91</f>
        <v>-87198850</v>
      </c>
      <c r="AE91" s="261">
        <f>+G91-'Data FY23-24 Final'!G91</f>
        <v>5327.81</v>
      </c>
      <c r="AF91" s="288">
        <f>+H91-'Data FY23-24 Final'!H91</f>
        <v>0</v>
      </c>
      <c r="AG91" s="288">
        <f>+I91-'Data FY23-24 Final'!I91</f>
        <v>-0.99999999999999956</v>
      </c>
      <c r="AH91" s="288">
        <f>+J91-'Data FY23-24 Final'!J91</f>
        <v>1</v>
      </c>
      <c r="AI91" s="288">
        <f>+K91-'Data FY23-24 Final'!K91</f>
        <v>0</v>
      </c>
      <c r="AJ91" s="288">
        <f>+L91-'Data FY23-24 Final'!L91</f>
        <v>0</v>
      </c>
      <c r="AK91" s="288">
        <f>+M91-'Data FY23-24 Final'!M91</f>
        <v>0</v>
      </c>
      <c r="AL91" s="288">
        <f>+N91-'Data FY23-24 Final'!N91</f>
        <v>0</v>
      </c>
      <c r="AM91" s="288">
        <f>+O91-'Data FY23-24 Final'!O91</f>
        <v>-4.2000000000000259E-2</v>
      </c>
      <c r="AN91" s="288">
        <f>+P91-'Data FY23-24 Final'!P91</f>
        <v>2.1768950870709146E-2</v>
      </c>
      <c r="AO91" s="288">
        <f>+Q91-'Data FY23-24 Final'!Q91</f>
        <v>0.97976895087070837</v>
      </c>
      <c r="AP91" s="288">
        <f>+R91-'Data FY23-24 Final'!R91</f>
        <v>-9</v>
      </c>
      <c r="AQ91" s="288">
        <f>+S91-'Data FY23-24 Final'!S91</f>
        <v>0</v>
      </c>
      <c r="AR91" s="288">
        <f>+T91-'Data FY23-24 Final'!T91</f>
        <v>0</v>
      </c>
      <c r="AS91" s="288">
        <f>+U91-'Data FY23-24 Final'!U91</f>
        <v>0</v>
      </c>
      <c r="AT91" s="288">
        <f>+V91-'Data FY23-24 Final'!V91</f>
        <v>0</v>
      </c>
      <c r="AU91" s="288">
        <f>+W91-'Data FY23-24 Final'!W91</f>
        <v>-8.0202310491292916</v>
      </c>
      <c r="AV91" s="288">
        <f>+X91-'Data FY23-24 Final'!X91</f>
        <v>0</v>
      </c>
      <c r="AW91" s="261">
        <f>+Y91-'Data FY23-24 Final'!Y91</f>
        <v>225142.9299999997</v>
      </c>
      <c r="AX91" s="261">
        <f>+Z91-'Data FY23-24 Final'!Z91</f>
        <v>246256.12674000021</v>
      </c>
    </row>
    <row r="92" spans="1:50" s="256" customFormat="1" ht="13" x14ac:dyDescent="0.3">
      <c r="A92" s="289" t="s">
        <v>281</v>
      </c>
      <c r="B92" s="289" t="s">
        <v>282</v>
      </c>
      <c r="C92" s="297" t="s">
        <v>283</v>
      </c>
      <c r="D92" s="378">
        <v>5216398255</v>
      </c>
      <c r="E92" s="378">
        <v>296150894</v>
      </c>
      <c r="F92" s="378">
        <v>4920247361</v>
      </c>
      <c r="G92" s="379">
        <v>1371051.23</v>
      </c>
      <c r="H92" s="347">
        <v>27</v>
      </c>
      <c r="I92" s="347">
        <v>0</v>
      </c>
      <c r="J92" s="353">
        <f>+H92-I92</f>
        <v>27</v>
      </c>
      <c r="K92" s="287">
        <v>0</v>
      </c>
      <c r="L92" s="300">
        <v>0</v>
      </c>
      <c r="M92" s="287">
        <v>0</v>
      </c>
      <c r="N92" s="353">
        <v>0</v>
      </c>
      <c r="O92" s="354">
        <v>6.8519999999999994</v>
      </c>
      <c r="P92" s="355">
        <f t="shared" si="9"/>
        <v>0.27865493935681823</v>
      </c>
      <c r="Q92" s="360">
        <f t="shared" si="10"/>
        <v>34.130654939356816</v>
      </c>
      <c r="R92" s="299"/>
      <c r="S92" s="299"/>
      <c r="T92" s="299"/>
      <c r="U92" s="299"/>
      <c r="V92" s="299"/>
      <c r="W92" s="299">
        <f t="shared" si="11"/>
        <v>34.130654939356816</v>
      </c>
      <c r="X92" s="287">
        <v>63.563999999999993</v>
      </c>
      <c r="Y92" s="344">
        <v>333257683.69999999</v>
      </c>
      <c r="Z92" s="344">
        <v>186823065.2128</v>
      </c>
      <c r="AB92" s="261">
        <f>+D92-'Data FY23-24 Final'!D92</f>
        <v>52098350</v>
      </c>
      <c r="AC92" s="261">
        <f>+E92-'Data FY23-24 Final'!E92</f>
        <v>9077456</v>
      </c>
      <c r="AD92" s="261">
        <f>+F92-'Data FY23-24 Final'!F92</f>
        <v>43020894</v>
      </c>
      <c r="AE92" s="261">
        <f>+G92-'Data FY23-24 Final'!G92</f>
        <v>438110.23</v>
      </c>
      <c r="AF92" s="288">
        <f>+H92-'Data FY23-24 Final'!H92</f>
        <v>0</v>
      </c>
      <c r="AG92" s="288">
        <f>+I92-'Data FY23-24 Final'!I92</f>
        <v>0</v>
      </c>
      <c r="AH92" s="288">
        <f>+J92-'Data FY23-24 Final'!J92</f>
        <v>0</v>
      </c>
      <c r="AI92" s="288">
        <f>+K92-'Data FY23-24 Final'!K92</f>
        <v>0</v>
      </c>
      <c r="AJ92" s="288">
        <f>+L92-'Data FY23-24 Final'!L92</f>
        <v>0</v>
      </c>
      <c r="AK92" s="288">
        <f>+M92-'Data FY23-24 Final'!M92</f>
        <v>0</v>
      </c>
      <c r="AL92" s="288">
        <f>+N92-'Data FY23-24 Final'!N92</f>
        <v>0</v>
      </c>
      <c r="AM92" s="288">
        <f>+O92-'Data FY23-24 Final'!O92</f>
        <v>-6.2540000000000004</v>
      </c>
      <c r="AN92" s="288">
        <f>+P92-'Data FY23-24 Final'!P92</f>
        <v>8.7654939356818229E-2</v>
      </c>
      <c r="AO92" s="288">
        <f>+Q92-'Data FY23-24 Final'!Q92</f>
        <v>-6.1663450606431809</v>
      </c>
      <c r="AP92" s="288">
        <f>+R92-'Data FY23-24 Final'!R92</f>
        <v>-13.137</v>
      </c>
      <c r="AQ92" s="288">
        <f>+S92-'Data FY23-24 Final'!S92</f>
        <v>0</v>
      </c>
      <c r="AR92" s="288">
        <f>+T92-'Data FY23-24 Final'!T92</f>
        <v>0</v>
      </c>
      <c r="AS92" s="288">
        <f>+U92-'Data FY23-24 Final'!U92</f>
        <v>0</v>
      </c>
      <c r="AT92" s="288">
        <f>+V92-'Data FY23-24 Final'!V92</f>
        <v>0</v>
      </c>
      <c r="AU92" s="288">
        <f>+W92-'Data FY23-24 Final'!W92</f>
        <v>-19.303345060643181</v>
      </c>
      <c r="AV92" s="288">
        <f>+X92-'Data FY23-24 Final'!X92</f>
        <v>0</v>
      </c>
      <c r="AW92" s="261">
        <f>+Y92-'Data FY23-24 Final'!Y92</f>
        <v>39973971.373600006</v>
      </c>
      <c r="AX92" s="261">
        <f>+Z92-'Data FY23-24 Final'!Z92</f>
        <v>33335584.855399996</v>
      </c>
    </row>
    <row r="93" spans="1:50" s="256" customFormat="1" ht="13" x14ac:dyDescent="0.3">
      <c r="A93" s="289" t="s">
        <v>284</v>
      </c>
      <c r="B93" s="289" t="s">
        <v>282</v>
      </c>
      <c r="C93" s="297" t="s">
        <v>285</v>
      </c>
      <c r="D93" s="378">
        <v>3355344315</v>
      </c>
      <c r="E93" s="378">
        <v>197362086</v>
      </c>
      <c r="F93" s="378">
        <v>3157982229</v>
      </c>
      <c r="G93" s="379">
        <v>1252098.3700000001</v>
      </c>
      <c r="H93" s="347">
        <v>27</v>
      </c>
      <c r="I93" s="347">
        <v>0.63999999999999702</v>
      </c>
      <c r="J93" s="353">
        <f>+H93-I93</f>
        <v>26.360000000000003</v>
      </c>
      <c r="K93" s="287">
        <v>0</v>
      </c>
      <c r="L93" s="300">
        <v>0</v>
      </c>
      <c r="M93" s="287">
        <v>0</v>
      </c>
      <c r="N93" s="353">
        <v>0</v>
      </c>
      <c r="O93" s="354">
        <v>4.0860000000000003</v>
      </c>
      <c r="P93" s="355">
        <f t="shared" si="9"/>
        <v>0.39648683216196784</v>
      </c>
      <c r="Q93" s="360">
        <f t="shared" si="10"/>
        <v>30.842486832161974</v>
      </c>
      <c r="R93" s="299"/>
      <c r="S93" s="299"/>
      <c r="T93" s="299"/>
      <c r="U93" s="299"/>
      <c r="V93" s="299"/>
      <c r="W93" s="299">
        <f t="shared" si="11"/>
        <v>30.842486832161974</v>
      </c>
      <c r="X93" s="287">
        <v>42.564999999999998</v>
      </c>
      <c r="Y93" s="344">
        <v>150776286.75</v>
      </c>
      <c r="Z93" s="344">
        <v>59125200.619260006</v>
      </c>
      <c r="AB93" s="261">
        <f>+D93-'Data FY23-24 Final'!D93</f>
        <v>-124425331</v>
      </c>
      <c r="AC93" s="261">
        <f>+E93-'Data FY23-24 Final'!E93</f>
        <v>5224953</v>
      </c>
      <c r="AD93" s="261">
        <f>+F93-'Data FY23-24 Final'!F93</f>
        <v>-129650284</v>
      </c>
      <c r="AE93" s="261">
        <f>+G93-'Data FY23-24 Final'!G93</f>
        <v>1045691.5900000001</v>
      </c>
      <c r="AF93" s="288">
        <f>+H93-'Data FY23-24 Final'!H93</f>
        <v>0</v>
      </c>
      <c r="AG93" s="288">
        <f>+I93-'Data FY23-24 Final'!I93</f>
        <v>-1.0000000000000029</v>
      </c>
      <c r="AH93" s="288">
        <f>+J93-'Data FY23-24 Final'!J93</f>
        <v>1.0000000000000036</v>
      </c>
      <c r="AI93" s="288">
        <f>+K93-'Data FY23-24 Final'!K93</f>
        <v>0</v>
      </c>
      <c r="AJ93" s="288">
        <f>+L93-'Data FY23-24 Final'!L93</f>
        <v>0</v>
      </c>
      <c r="AK93" s="288">
        <f>+M93-'Data FY23-24 Final'!M93</f>
        <v>0</v>
      </c>
      <c r="AL93" s="288">
        <f>+N93-'Data FY23-24 Final'!N93</f>
        <v>0</v>
      </c>
      <c r="AM93" s="288">
        <f>+O93-'Data FY23-24 Final'!O93</f>
        <v>-7.427999999999999</v>
      </c>
      <c r="AN93" s="288">
        <f>+P93-'Data FY23-24 Final'!P93</f>
        <v>0.33348683216196784</v>
      </c>
      <c r="AO93" s="288">
        <f>+Q93-'Data FY23-24 Final'!Q93</f>
        <v>-6.0945131678380235</v>
      </c>
      <c r="AP93" s="288">
        <f>+R93-'Data FY23-24 Final'!R93</f>
        <v>-5.8230000000000004</v>
      </c>
      <c r="AQ93" s="288">
        <f>+S93-'Data FY23-24 Final'!S93</f>
        <v>0</v>
      </c>
      <c r="AR93" s="288">
        <f>+T93-'Data FY23-24 Final'!T93</f>
        <v>0</v>
      </c>
      <c r="AS93" s="288">
        <f>+U93-'Data FY23-24 Final'!U93</f>
        <v>0</v>
      </c>
      <c r="AT93" s="288">
        <f>+V93-'Data FY23-24 Final'!V93</f>
        <v>0</v>
      </c>
      <c r="AU93" s="288">
        <f>+W93-'Data FY23-24 Final'!W93</f>
        <v>-11.917513167838024</v>
      </c>
      <c r="AV93" s="288">
        <f>+X93-'Data FY23-24 Final'!X93</f>
        <v>0</v>
      </c>
      <c r="AW93" s="261">
        <f>+Y93-'Data FY23-24 Final'!Y93</f>
        <v>1645599.2599999905</v>
      </c>
      <c r="AX93" s="261">
        <f>+Z93-'Data FY23-24 Final'!Z93</f>
        <v>-1773558.1610600054</v>
      </c>
    </row>
    <row r="94" spans="1:50" s="256" customFormat="1" ht="13" x14ac:dyDescent="0.3">
      <c r="A94" s="289" t="s">
        <v>286</v>
      </c>
      <c r="B94" s="289" t="s">
        <v>282</v>
      </c>
      <c r="C94" s="297" t="s">
        <v>287</v>
      </c>
      <c r="D94" s="378">
        <v>624622040</v>
      </c>
      <c r="E94" s="378">
        <v>0</v>
      </c>
      <c r="F94" s="378">
        <v>624622040</v>
      </c>
      <c r="G94" s="379">
        <v>57306.74</v>
      </c>
      <c r="H94" s="347">
        <v>20.548999999999999</v>
      </c>
      <c r="I94" s="347">
        <v>0</v>
      </c>
      <c r="J94" s="361">
        <f>+H94-I94-K94-L94</f>
        <v>16.422000000000004</v>
      </c>
      <c r="K94" s="362">
        <v>0.64700000000000002</v>
      </c>
      <c r="L94" s="363">
        <v>3.4799999999999986</v>
      </c>
      <c r="M94" s="287">
        <v>0</v>
      </c>
      <c r="N94" s="353">
        <v>0</v>
      </c>
      <c r="O94" s="354">
        <v>2.9319999999999999</v>
      </c>
      <c r="P94" s="355">
        <f t="shared" si="9"/>
        <v>9.1746266270079105E-2</v>
      </c>
      <c r="Q94" s="360">
        <f t="shared" si="10"/>
        <v>23.572746266270077</v>
      </c>
      <c r="R94" s="299"/>
      <c r="S94" s="299"/>
      <c r="T94" s="299"/>
      <c r="U94" s="299"/>
      <c r="V94" s="299"/>
      <c r="W94" s="299">
        <f t="shared" si="11"/>
        <v>23.572746266270077</v>
      </c>
      <c r="X94" s="287">
        <v>16.422000000000001</v>
      </c>
      <c r="Y94" s="344">
        <v>11470103.039999999</v>
      </c>
      <c r="Z94" s="344">
        <v>37.435737998806871</v>
      </c>
      <c r="AB94" s="261">
        <f>+D94-'Data FY23-24 Final'!D94</f>
        <v>969223</v>
      </c>
      <c r="AC94" s="261">
        <f>+E94-'Data FY23-24 Final'!E94</f>
        <v>0</v>
      </c>
      <c r="AD94" s="261">
        <f>+F94-'Data FY23-24 Final'!F94</f>
        <v>969223</v>
      </c>
      <c r="AE94" s="261">
        <f>+G94-'Data FY23-24 Final'!G94</f>
        <v>30850.53</v>
      </c>
      <c r="AF94" s="288">
        <f>+H94-'Data FY23-24 Final'!H94</f>
        <v>0</v>
      </c>
      <c r="AG94" s="288">
        <f>+I94-'Data FY23-24 Final'!I94</f>
        <v>0</v>
      </c>
      <c r="AH94" s="288">
        <f>+J94-'Data FY23-24 Final'!J94</f>
        <v>-1.1009999999999955</v>
      </c>
      <c r="AI94" s="288">
        <f>+K94-'Data FY23-24 Final'!K94</f>
        <v>-0.10299999999999998</v>
      </c>
      <c r="AJ94" s="288">
        <f>+L94-'Data FY23-24 Final'!L94</f>
        <v>1.2039999999999988</v>
      </c>
      <c r="AK94" s="288">
        <f>+M94-'Data FY23-24 Final'!M94</f>
        <v>0</v>
      </c>
      <c r="AL94" s="288">
        <f>+N94-'Data FY23-24 Final'!N94</f>
        <v>0</v>
      </c>
      <c r="AM94" s="288">
        <f>+O94-'Data FY23-24 Final'!O94</f>
        <v>-2.504</v>
      </c>
      <c r="AN94" s="288">
        <f>+P94-'Data FY23-24 Final'!P94</f>
        <v>4.8746266270079108E-2</v>
      </c>
      <c r="AO94" s="288">
        <f>+Q94-'Data FY23-24 Final'!Q94</f>
        <v>-2.4552537337299221</v>
      </c>
      <c r="AP94" s="288">
        <f>+R94-'Data FY23-24 Final'!R94</f>
        <v>-2.7050000000000001</v>
      </c>
      <c r="AQ94" s="288">
        <f>+S94-'Data FY23-24 Final'!S94</f>
        <v>0</v>
      </c>
      <c r="AR94" s="288">
        <f>+T94-'Data FY23-24 Final'!T94</f>
        <v>0</v>
      </c>
      <c r="AS94" s="288">
        <f>+U94-'Data FY23-24 Final'!U94</f>
        <v>0</v>
      </c>
      <c r="AT94" s="288">
        <f>+V94-'Data FY23-24 Final'!V94</f>
        <v>0</v>
      </c>
      <c r="AU94" s="288">
        <f>+W94-'Data FY23-24 Final'!W94</f>
        <v>-5.1602537337299239</v>
      </c>
      <c r="AV94" s="288">
        <f>+X94-'Data FY23-24 Final'!X94</f>
        <v>0</v>
      </c>
      <c r="AW94" s="261">
        <f>+Y94-'Data FY23-24 Final'!Y94</f>
        <v>-149585.22000000067</v>
      </c>
      <c r="AX94" s="261">
        <f>+Z94-'Data FY23-24 Final'!Z94</f>
        <v>37.435211999341846</v>
      </c>
    </row>
    <row r="95" spans="1:50" s="256" customFormat="1" ht="13" x14ac:dyDescent="0.25">
      <c r="A95" s="289" t="s">
        <v>288</v>
      </c>
      <c r="B95" s="289" t="s">
        <v>138</v>
      </c>
      <c r="C95" s="297" t="s">
        <v>289</v>
      </c>
      <c r="D95" s="383">
        <v>150552020</v>
      </c>
      <c r="E95" s="383">
        <v>709821</v>
      </c>
      <c r="F95" s="383">
        <v>149842199</v>
      </c>
      <c r="G95" s="383">
        <v>779.01</v>
      </c>
      <c r="H95" s="347">
        <v>27</v>
      </c>
      <c r="I95" s="347">
        <v>10.573</v>
      </c>
      <c r="J95" s="353">
        <f t="shared" ref="J95:J120" si="14">+H95-I95</f>
        <v>16.427</v>
      </c>
      <c r="K95" s="287">
        <v>0</v>
      </c>
      <c r="L95" s="300">
        <v>0</v>
      </c>
      <c r="M95" s="287">
        <v>0</v>
      </c>
      <c r="N95" s="353">
        <v>0</v>
      </c>
      <c r="O95" s="354">
        <v>0</v>
      </c>
      <c r="P95" s="355">
        <f t="shared" si="9"/>
        <v>5.198869245104978E-3</v>
      </c>
      <c r="Q95" s="360">
        <f t="shared" si="10"/>
        <v>16.432198869245106</v>
      </c>
      <c r="R95" s="299"/>
      <c r="S95" s="299"/>
      <c r="T95" s="299"/>
      <c r="U95" s="299"/>
      <c r="V95" s="299"/>
      <c r="W95" s="299">
        <f t="shared" si="11"/>
        <v>16.432198869245106</v>
      </c>
      <c r="X95" s="287">
        <v>53.576000000000001</v>
      </c>
      <c r="Y95" s="344">
        <v>9821092.6199999992</v>
      </c>
      <c r="Z95" s="344">
        <v>6766122.738601</v>
      </c>
      <c r="AB95" s="261">
        <f>+D95-'Data FY23-24 Final'!D95</f>
        <v>-16002535</v>
      </c>
      <c r="AC95" s="261">
        <f>+E95-'Data FY23-24 Final'!E95</f>
        <v>-718457</v>
      </c>
      <c r="AD95" s="261">
        <f>+F95-'Data FY23-24 Final'!F95</f>
        <v>-15284078</v>
      </c>
      <c r="AE95" s="261">
        <f>+G95-'Data FY23-24 Final'!G95</f>
        <v>779.01</v>
      </c>
      <c r="AF95" s="288">
        <f>+H95-'Data FY23-24 Final'!H95</f>
        <v>0</v>
      </c>
      <c r="AG95" s="288">
        <f>+I95-'Data FY23-24 Final'!I95</f>
        <v>-1</v>
      </c>
      <c r="AH95" s="288">
        <f>+J95-'Data FY23-24 Final'!J95</f>
        <v>1</v>
      </c>
      <c r="AI95" s="288">
        <f>+K95-'Data FY23-24 Final'!K95</f>
        <v>0</v>
      </c>
      <c r="AJ95" s="288">
        <f>+L95-'Data FY23-24 Final'!L95</f>
        <v>0</v>
      </c>
      <c r="AK95" s="288">
        <f>+M95-'Data FY23-24 Final'!M95</f>
        <v>0</v>
      </c>
      <c r="AL95" s="288">
        <f>+N95-'Data FY23-24 Final'!N95</f>
        <v>0</v>
      </c>
      <c r="AM95" s="288">
        <f>+O95-'Data FY23-24 Final'!O95</f>
        <v>0</v>
      </c>
      <c r="AN95" s="288">
        <f>+P95-'Data FY23-24 Final'!P95</f>
        <v>5.198869245104978E-3</v>
      </c>
      <c r="AO95" s="288">
        <f>+Q95-'Data FY23-24 Final'!Q95</f>
        <v>1.0051988692451062</v>
      </c>
      <c r="AP95" s="288">
        <f>+R95-'Data FY23-24 Final'!R95</f>
        <v>-3.4420000000000002</v>
      </c>
      <c r="AQ95" s="288">
        <f>+S95-'Data FY23-24 Final'!S95</f>
        <v>0</v>
      </c>
      <c r="AR95" s="288">
        <f>+T95-'Data FY23-24 Final'!T95</f>
        <v>0</v>
      </c>
      <c r="AS95" s="288">
        <f>+U95-'Data FY23-24 Final'!U95</f>
        <v>0</v>
      </c>
      <c r="AT95" s="288">
        <f>+V95-'Data FY23-24 Final'!V95</f>
        <v>0</v>
      </c>
      <c r="AU95" s="288">
        <f>+W95-'Data FY23-24 Final'!W95</f>
        <v>-2.436801130754894</v>
      </c>
      <c r="AV95" s="288">
        <f>+X95-'Data FY23-24 Final'!X95</f>
        <v>0</v>
      </c>
      <c r="AW95" s="261">
        <f>+Y95-'Data FY23-24 Final'!Y95</f>
        <v>228997.97999999858</v>
      </c>
      <c r="AX95" s="261">
        <f>+Z95-'Data FY23-24 Final'!Z95</f>
        <v>85675.363879999146</v>
      </c>
    </row>
    <row r="96" spans="1:50" s="256" customFormat="1" ht="13" x14ac:dyDescent="0.25">
      <c r="A96" s="289" t="s">
        <v>290</v>
      </c>
      <c r="B96" s="289" t="s">
        <v>138</v>
      </c>
      <c r="C96" s="297" t="s">
        <v>291</v>
      </c>
      <c r="D96" s="383">
        <v>92784920</v>
      </c>
      <c r="E96" s="383">
        <v>0</v>
      </c>
      <c r="F96" s="383">
        <v>92784920</v>
      </c>
      <c r="G96" s="383">
        <v>0</v>
      </c>
      <c r="H96" s="347">
        <v>4.1689999999999996</v>
      </c>
      <c r="I96" s="347">
        <v>0</v>
      </c>
      <c r="J96" s="353">
        <f t="shared" si="14"/>
        <v>4.1689999999999996</v>
      </c>
      <c r="K96" s="287">
        <v>0</v>
      </c>
      <c r="L96" s="300">
        <v>0</v>
      </c>
      <c r="M96" s="287">
        <v>0.45500000000000002</v>
      </c>
      <c r="N96" s="353">
        <v>0</v>
      </c>
      <c r="O96" s="354">
        <v>2.0230000000000001</v>
      </c>
      <c r="P96" s="355">
        <f t="shared" si="9"/>
        <v>0</v>
      </c>
      <c r="Q96" s="360">
        <f t="shared" si="10"/>
        <v>6.6470000000000002</v>
      </c>
      <c r="R96" s="299"/>
      <c r="S96" s="299"/>
      <c r="T96" s="299"/>
      <c r="U96" s="299"/>
      <c r="V96" s="299"/>
      <c r="W96" s="299">
        <f t="shared" si="11"/>
        <v>6.6470000000000002</v>
      </c>
      <c r="X96" s="287">
        <v>21.583000000000002</v>
      </c>
      <c r="Y96" s="344">
        <v>3784717.03</v>
      </c>
      <c r="Z96" s="344">
        <v>3012763.4600389996</v>
      </c>
      <c r="AB96" s="261">
        <f>+D96-'Data FY23-24 Final'!D96</f>
        <v>-77718649</v>
      </c>
      <c r="AC96" s="261">
        <f>+E96-'Data FY23-24 Final'!E96</f>
        <v>0</v>
      </c>
      <c r="AD96" s="261">
        <f>+F96-'Data FY23-24 Final'!F96</f>
        <v>-77718649</v>
      </c>
      <c r="AE96" s="261">
        <f>+G96-'Data FY23-24 Final'!G96</f>
        <v>-156.54</v>
      </c>
      <c r="AF96" s="288">
        <f>+H96-'Data FY23-24 Final'!H96</f>
        <v>0</v>
      </c>
      <c r="AG96" s="288">
        <f>+I96-'Data FY23-24 Final'!I96</f>
        <v>0</v>
      </c>
      <c r="AH96" s="288">
        <f>+J96-'Data FY23-24 Final'!J96</f>
        <v>0</v>
      </c>
      <c r="AI96" s="288">
        <f>+K96-'Data FY23-24 Final'!K96</f>
        <v>0</v>
      </c>
      <c r="AJ96" s="288">
        <f>+L96-'Data FY23-24 Final'!L96</f>
        <v>0</v>
      </c>
      <c r="AK96" s="288">
        <f>+M96-'Data FY23-24 Final'!M96</f>
        <v>-7.0000000000000062E-3</v>
      </c>
      <c r="AL96" s="288">
        <f>+N96-'Data FY23-24 Final'!N96</f>
        <v>0</v>
      </c>
      <c r="AM96" s="288">
        <f>+O96-'Data FY23-24 Final'!O96</f>
        <v>-2.9999999999999805E-2</v>
      </c>
      <c r="AN96" s="288">
        <f>+P96-'Data FY23-24 Final'!P96</f>
        <v>-1E-3</v>
      </c>
      <c r="AO96" s="288">
        <f>+Q96-'Data FY23-24 Final'!Q96</f>
        <v>-3.7999999999999368E-2</v>
      </c>
      <c r="AP96" s="288">
        <f>+R96-'Data FY23-24 Final'!R96</f>
        <v>-5.5129999999999999</v>
      </c>
      <c r="AQ96" s="288">
        <f>+S96-'Data FY23-24 Final'!S96</f>
        <v>-0.82099999999999995</v>
      </c>
      <c r="AR96" s="288">
        <f>+T96-'Data FY23-24 Final'!T96</f>
        <v>0</v>
      </c>
      <c r="AS96" s="288">
        <f>+U96-'Data FY23-24 Final'!U96</f>
        <v>0</v>
      </c>
      <c r="AT96" s="288">
        <f>+V96-'Data FY23-24 Final'!V96</f>
        <v>0</v>
      </c>
      <c r="AU96" s="288">
        <f>+W96-'Data FY23-24 Final'!W96</f>
        <v>-6.3719999999999999</v>
      </c>
      <c r="AV96" s="288">
        <f>+X96-'Data FY23-24 Final'!X96</f>
        <v>0</v>
      </c>
      <c r="AW96" s="261">
        <f>+Y96-'Data FY23-24 Final'!Y96</f>
        <v>83768.229999999981</v>
      </c>
      <c r="AX96" s="261">
        <f>+Z96-'Data FY23-24 Final'!Z96</f>
        <v>98509.559200000018</v>
      </c>
    </row>
    <row r="97" spans="1:50" s="256" customFormat="1" ht="13" x14ac:dyDescent="0.25">
      <c r="A97" s="289" t="s">
        <v>292</v>
      </c>
      <c r="B97" s="289" t="s">
        <v>138</v>
      </c>
      <c r="C97" s="297" t="s">
        <v>293</v>
      </c>
      <c r="D97" s="383">
        <v>54964390</v>
      </c>
      <c r="E97" s="383">
        <v>87731</v>
      </c>
      <c r="F97" s="383">
        <v>54876659</v>
      </c>
      <c r="G97" s="383">
        <v>1558.47</v>
      </c>
      <c r="H97" s="347">
        <v>27</v>
      </c>
      <c r="I97" s="347">
        <v>0.34199999999999875</v>
      </c>
      <c r="J97" s="353">
        <f t="shared" si="14"/>
        <v>26.658000000000001</v>
      </c>
      <c r="K97" s="287">
        <v>0</v>
      </c>
      <c r="L97" s="300">
        <v>0</v>
      </c>
      <c r="M97" s="287">
        <v>0</v>
      </c>
      <c r="N97" s="353">
        <v>0</v>
      </c>
      <c r="O97" s="354">
        <v>0</v>
      </c>
      <c r="P97" s="355">
        <f t="shared" si="9"/>
        <v>2.83995058809976E-2</v>
      </c>
      <c r="Q97" s="360">
        <f t="shared" si="10"/>
        <v>26.686399505880999</v>
      </c>
      <c r="R97" s="299"/>
      <c r="S97" s="299"/>
      <c r="T97" s="299"/>
      <c r="U97" s="299"/>
      <c r="V97" s="299"/>
      <c r="W97" s="299">
        <f t="shared" si="11"/>
        <v>26.686399505880999</v>
      </c>
      <c r="X97" s="287">
        <v>72.866</v>
      </c>
      <c r="Y97" s="344">
        <v>4388958.38</v>
      </c>
      <c r="Z97" s="344">
        <v>2696745.8529360001</v>
      </c>
      <c r="AB97" s="261">
        <f>+D97-'Data FY23-24 Final'!D97</f>
        <v>-938367</v>
      </c>
      <c r="AC97" s="261">
        <f>+E97-'Data FY23-24 Final'!E97</f>
        <v>-88798</v>
      </c>
      <c r="AD97" s="261">
        <f>+F97-'Data FY23-24 Final'!F97</f>
        <v>-849569</v>
      </c>
      <c r="AE97" s="261">
        <f>+G97-'Data FY23-24 Final'!G97</f>
        <v>1558.47</v>
      </c>
      <c r="AF97" s="288">
        <f>+H97-'Data FY23-24 Final'!H97</f>
        <v>0</v>
      </c>
      <c r="AG97" s="288">
        <f>+I97-'Data FY23-24 Final'!I97</f>
        <v>-1.0000000000000013</v>
      </c>
      <c r="AH97" s="288">
        <f>+J97-'Data FY23-24 Final'!J97</f>
        <v>1</v>
      </c>
      <c r="AI97" s="288">
        <f>+K97-'Data FY23-24 Final'!K97</f>
        <v>0</v>
      </c>
      <c r="AJ97" s="288">
        <f>+L97-'Data FY23-24 Final'!L97</f>
        <v>0</v>
      </c>
      <c r="AK97" s="288">
        <f>+M97-'Data FY23-24 Final'!M97</f>
        <v>0</v>
      </c>
      <c r="AL97" s="288">
        <f>+N97-'Data FY23-24 Final'!N97</f>
        <v>0</v>
      </c>
      <c r="AM97" s="288">
        <f>+O97-'Data FY23-24 Final'!O97</f>
        <v>0</v>
      </c>
      <c r="AN97" s="288">
        <f>+P97-'Data FY23-24 Final'!P97</f>
        <v>2.83995058809976E-2</v>
      </c>
      <c r="AO97" s="288">
        <f>+Q97-'Data FY23-24 Final'!Q97</f>
        <v>1.0283995058809978</v>
      </c>
      <c r="AP97" s="288">
        <f>+R97-'Data FY23-24 Final'!R97</f>
        <v>-4.5</v>
      </c>
      <c r="AQ97" s="288">
        <f>+S97-'Data FY23-24 Final'!S97</f>
        <v>0</v>
      </c>
      <c r="AR97" s="288">
        <f>+T97-'Data FY23-24 Final'!T97</f>
        <v>0</v>
      </c>
      <c r="AS97" s="288">
        <f>+U97-'Data FY23-24 Final'!U97</f>
        <v>0</v>
      </c>
      <c r="AT97" s="288">
        <f>+V97-'Data FY23-24 Final'!V97</f>
        <v>0</v>
      </c>
      <c r="AU97" s="288">
        <f>+W97-'Data FY23-24 Final'!W97</f>
        <v>-3.4716004941190022</v>
      </c>
      <c r="AV97" s="288">
        <f>+X97-'Data FY23-24 Final'!X97</f>
        <v>0</v>
      </c>
      <c r="AW97" s="261">
        <f>+Y97-'Data FY23-24 Final'!Y97</f>
        <v>65776.179999999702</v>
      </c>
      <c r="AX97" s="261">
        <f>+Z97-'Data FY23-24 Final'!Z97</f>
        <v>37362.770959999878</v>
      </c>
    </row>
    <row r="98" spans="1:50" s="256" customFormat="1" ht="13" x14ac:dyDescent="0.25">
      <c r="A98" s="289" t="s">
        <v>294</v>
      </c>
      <c r="B98" s="289" t="s">
        <v>138</v>
      </c>
      <c r="C98" s="297" t="s">
        <v>295</v>
      </c>
      <c r="D98" s="383">
        <v>48382040</v>
      </c>
      <c r="E98" s="383">
        <v>0</v>
      </c>
      <c r="F98" s="383">
        <v>48382040</v>
      </c>
      <c r="G98" s="383">
        <v>45.01</v>
      </c>
      <c r="H98" s="347">
        <v>23.288</v>
      </c>
      <c r="I98" s="347">
        <v>10.768000000000001</v>
      </c>
      <c r="J98" s="353">
        <f t="shared" si="14"/>
        <v>12.52</v>
      </c>
      <c r="K98" s="287">
        <v>0</v>
      </c>
      <c r="L98" s="300">
        <v>0</v>
      </c>
      <c r="M98" s="287">
        <v>0.45800000000000002</v>
      </c>
      <c r="N98" s="353">
        <v>0</v>
      </c>
      <c r="O98" s="354">
        <v>0</v>
      </c>
      <c r="P98" s="355">
        <f t="shared" si="9"/>
        <v>9.3030388962515843E-4</v>
      </c>
      <c r="Q98" s="360">
        <f t="shared" si="10"/>
        <v>12.978930303889625</v>
      </c>
      <c r="R98" s="299"/>
      <c r="S98" s="299"/>
      <c r="T98" s="299"/>
      <c r="U98" s="299"/>
      <c r="V98" s="299"/>
      <c r="W98" s="299">
        <f t="shared" si="11"/>
        <v>12.978930303889625</v>
      </c>
      <c r="X98" s="287">
        <v>32.253</v>
      </c>
      <c r="Y98" s="344">
        <v>2171867.46</v>
      </c>
      <c r="Z98" s="344">
        <v>1342490.6879599998</v>
      </c>
      <c r="AB98" s="261">
        <f>+D98-'Data FY23-24 Final'!D98</f>
        <v>-14095917</v>
      </c>
      <c r="AC98" s="261">
        <f>+E98-'Data FY23-24 Final'!E98</f>
        <v>0</v>
      </c>
      <c r="AD98" s="261">
        <f>+F98-'Data FY23-24 Final'!F98</f>
        <v>-14095917</v>
      </c>
      <c r="AE98" s="261">
        <f>+G98-'Data FY23-24 Final'!G98</f>
        <v>45.01</v>
      </c>
      <c r="AF98" s="288">
        <f>+H98-'Data FY23-24 Final'!H98</f>
        <v>0</v>
      </c>
      <c r="AG98" s="288">
        <f>+I98-'Data FY23-24 Final'!I98</f>
        <v>-1</v>
      </c>
      <c r="AH98" s="288">
        <f>+J98-'Data FY23-24 Final'!J98</f>
        <v>1</v>
      </c>
      <c r="AI98" s="288">
        <f>+K98-'Data FY23-24 Final'!K98</f>
        <v>0</v>
      </c>
      <c r="AJ98" s="288">
        <f>+L98-'Data FY23-24 Final'!L98</f>
        <v>0</v>
      </c>
      <c r="AK98" s="288">
        <f>+M98-'Data FY23-24 Final'!M98</f>
        <v>-1.5999999999999959E-2</v>
      </c>
      <c r="AL98" s="288">
        <f>+N98-'Data FY23-24 Final'!N98</f>
        <v>0</v>
      </c>
      <c r="AM98" s="288">
        <f>+O98-'Data FY23-24 Final'!O98</f>
        <v>0</v>
      </c>
      <c r="AN98" s="288">
        <f>+P98-'Data FY23-24 Final'!P98</f>
        <v>9.3030388962515843E-4</v>
      </c>
      <c r="AO98" s="288">
        <f>+Q98-'Data FY23-24 Final'!Q98</f>
        <v>0.98493030388962488</v>
      </c>
      <c r="AP98" s="288">
        <f>+R98-'Data FY23-24 Final'!R98</f>
        <v>0</v>
      </c>
      <c r="AQ98" s="288">
        <f>+S98-'Data FY23-24 Final'!S98</f>
        <v>0</v>
      </c>
      <c r="AR98" s="288">
        <f>+T98-'Data FY23-24 Final'!T98</f>
        <v>0</v>
      </c>
      <c r="AS98" s="288">
        <f>+U98-'Data FY23-24 Final'!U98</f>
        <v>0</v>
      </c>
      <c r="AT98" s="288">
        <f>+V98-'Data FY23-24 Final'!V98</f>
        <v>0</v>
      </c>
      <c r="AU98" s="288">
        <f>+W98-'Data FY23-24 Final'!W98</f>
        <v>0.98493030388962488</v>
      </c>
      <c r="AV98" s="288">
        <f>+X98-'Data FY23-24 Final'!X98</f>
        <v>0</v>
      </c>
      <c r="AW98" s="261">
        <f>+Y98-'Data FY23-24 Final'!Y98</f>
        <v>66948.790000000037</v>
      </c>
      <c r="AX98" s="261">
        <f>+Z98-'Data FY23-24 Final'!Z98</f>
        <v>38342.542599999812</v>
      </c>
    </row>
    <row r="99" spans="1:50" s="256" customFormat="1" ht="13" x14ac:dyDescent="0.25">
      <c r="A99" s="289" t="s">
        <v>296</v>
      </c>
      <c r="B99" s="289" t="s">
        <v>138</v>
      </c>
      <c r="C99" s="297" t="s">
        <v>297</v>
      </c>
      <c r="D99" s="383">
        <v>19163350</v>
      </c>
      <c r="E99" s="383">
        <v>0</v>
      </c>
      <c r="F99" s="383">
        <v>19163350</v>
      </c>
      <c r="G99" s="383">
        <v>0</v>
      </c>
      <c r="H99" s="347">
        <v>21.616</v>
      </c>
      <c r="I99" s="347">
        <v>-2.0000000000000036</v>
      </c>
      <c r="J99" s="353">
        <f t="shared" si="14"/>
        <v>23.616000000000003</v>
      </c>
      <c r="K99" s="287">
        <v>0</v>
      </c>
      <c r="L99" s="300">
        <v>0</v>
      </c>
      <c r="M99" s="287">
        <v>0</v>
      </c>
      <c r="N99" s="353">
        <v>0</v>
      </c>
      <c r="O99" s="354">
        <v>10.385</v>
      </c>
      <c r="P99" s="355">
        <f t="shared" ref="P99:P130" si="15">+G99/F99*1000</f>
        <v>0</v>
      </c>
      <c r="Q99" s="360">
        <f t="shared" si="10"/>
        <v>34.001000000000005</v>
      </c>
      <c r="R99" s="299"/>
      <c r="S99" s="299"/>
      <c r="T99" s="299"/>
      <c r="U99" s="299"/>
      <c r="V99" s="299"/>
      <c r="W99" s="299">
        <f t="shared" si="11"/>
        <v>34.001000000000005</v>
      </c>
      <c r="X99" s="287">
        <v>230.43199999999999</v>
      </c>
      <c r="Y99" s="344">
        <v>4598394.5199999996</v>
      </c>
      <c r="Z99" s="344">
        <v>4102437.1531559993</v>
      </c>
      <c r="AB99" s="261">
        <f>+D99-'Data FY23-24 Final'!D99</f>
        <v>-436544</v>
      </c>
      <c r="AC99" s="261">
        <f>+E99-'Data FY23-24 Final'!E99</f>
        <v>0</v>
      </c>
      <c r="AD99" s="261">
        <f>+F99-'Data FY23-24 Final'!F99</f>
        <v>-436544</v>
      </c>
      <c r="AE99" s="261">
        <f>+G99-'Data FY23-24 Final'!G99</f>
        <v>0</v>
      </c>
      <c r="AF99" s="288">
        <f>+H99-'Data FY23-24 Final'!H99</f>
        <v>-5.3840000000000003</v>
      </c>
      <c r="AG99" s="288">
        <f>+I99-'Data FY23-24 Final'!I99</f>
        <v>-6.3840000000000039</v>
      </c>
      <c r="AH99" s="288">
        <f>+J99-'Data FY23-24 Final'!J99</f>
        <v>1.0000000000000036</v>
      </c>
      <c r="AI99" s="288">
        <f>+K99-'Data FY23-24 Final'!K99</f>
        <v>0</v>
      </c>
      <c r="AJ99" s="288">
        <f>+L99-'Data FY23-24 Final'!L99</f>
        <v>0</v>
      </c>
      <c r="AK99" s="288">
        <f>+M99-'Data FY23-24 Final'!M99</f>
        <v>0</v>
      </c>
      <c r="AL99" s="288">
        <f>+N99-'Data FY23-24 Final'!N99</f>
        <v>0</v>
      </c>
      <c r="AM99" s="288">
        <f>+O99-'Data FY23-24 Final'!O99</f>
        <v>3.7450000000000001</v>
      </c>
      <c r="AN99" s="288">
        <f>+P99-'Data FY23-24 Final'!P99</f>
        <v>0</v>
      </c>
      <c r="AO99" s="288">
        <f>+Q99-'Data FY23-24 Final'!Q99</f>
        <v>4.7450000000000045</v>
      </c>
      <c r="AP99" s="288">
        <f>+R99-'Data FY23-24 Final'!R99</f>
        <v>0</v>
      </c>
      <c r="AQ99" s="288">
        <f>+S99-'Data FY23-24 Final'!S99</f>
        <v>0</v>
      </c>
      <c r="AR99" s="288">
        <f>+T99-'Data FY23-24 Final'!T99</f>
        <v>0</v>
      </c>
      <c r="AS99" s="288">
        <f>+U99-'Data FY23-24 Final'!U99</f>
        <v>0</v>
      </c>
      <c r="AT99" s="288">
        <f>+V99-'Data FY23-24 Final'!V99</f>
        <v>0</v>
      </c>
      <c r="AU99" s="288">
        <f>+W99-'Data FY23-24 Final'!W99</f>
        <v>4.7450000000000045</v>
      </c>
      <c r="AV99" s="288">
        <f>+X99-'Data FY23-24 Final'!X99</f>
        <v>0</v>
      </c>
      <c r="AW99" s="261">
        <f>+Y99-'Data FY23-24 Final'!Y99</f>
        <v>392112.31999999937</v>
      </c>
      <c r="AX99" s="261">
        <f>+Z99-'Data FY23-24 Final'!Z99</f>
        <v>394435.66585999867</v>
      </c>
    </row>
    <row r="100" spans="1:50" s="256" customFormat="1" ht="13" x14ac:dyDescent="0.25">
      <c r="A100" s="289" t="s">
        <v>298</v>
      </c>
      <c r="B100" s="289" t="s">
        <v>138</v>
      </c>
      <c r="C100" s="297" t="s">
        <v>299</v>
      </c>
      <c r="D100" s="383">
        <v>27525600</v>
      </c>
      <c r="E100" s="383">
        <v>0</v>
      </c>
      <c r="F100" s="383">
        <v>27525600</v>
      </c>
      <c r="G100" s="383">
        <v>0</v>
      </c>
      <c r="H100" s="347">
        <v>27</v>
      </c>
      <c r="I100" s="347">
        <v>12.021000000000001</v>
      </c>
      <c r="J100" s="353">
        <f t="shared" si="14"/>
        <v>14.978999999999999</v>
      </c>
      <c r="K100" s="287">
        <v>0</v>
      </c>
      <c r="L100" s="300">
        <v>0</v>
      </c>
      <c r="M100" s="287">
        <v>1.1260000000000001</v>
      </c>
      <c r="N100" s="353">
        <v>0</v>
      </c>
      <c r="O100" s="354">
        <v>6.8209999999999997</v>
      </c>
      <c r="P100" s="355">
        <f t="shared" si="15"/>
        <v>0</v>
      </c>
      <c r="Q100" s="360">
        <f t="shared" si="10"/>
        <v>22.926000000000002</v>
      </c>
      <c r="R100" s="299"/>
      <c r="S100" s="299"/>
      <c r="T100" s="299"/>
      <c r="U100" s="299"/>
      <c r="V100" s="299"/>
      <c r="W100" s="299">
        <f t="shared" si="11"/>
        <v>22.926000000000002</v>
      </c>
      <c r="X100" s="287">
        <v>37.186</v>
      </c>
      <c r="Y100" s="344">
        <v>994814.69</v>
      </c>
      <c r="Z100" s="344">
        <v>583990.29311799991</v>
      </c>
      <c r="AB100" s="261">
        <f>+D100-'Data FY23-24 Final'!D100</f>
        <v>2802652</v>
      </c>
      <c r="AC100" s="261">
        <f>+E100-'Data FY23-24 Final'!E100</f>
        <v>0</v>
      </c>
      <c r="AD100" s="261">
        <f>+F100-'Data FY23-24 Final'!F100</f>
        <v>2802652</v>
      </c>
      <c r="AE100" s="261">
        <f>+G100-'Data FY23-24 Final'!G100</f>
        <v>0</v>
      </c>
      <c r="AF100" s="288">
        <f>+H100-'Data FY23-24 Final'!H100</f>
        <v>0</v>
      </c>
      <c r="AG100" s="288">
        <f>+I100-'Data FY23-24 Final'!I100</f>
        <v>-1</v>
      </c>
      <c r="AH100" s="288">
        <f>+J100-'Data FY23-24 Final'!J100</f>
        <v>1</v>
      </c>
      <c r="AI100" s="288">
        <f>+K100-'Data FY23-24 Final'!K100</f>
        <v>0</v>
      </c>
      <c r="AJ100" s="288">
        <f>+L100-'Data FY23-24 Final'!L100</f>
        <v>0</v>
      </c>
      <c r="AK100" s="288">
        <f>+M100-'Data FY23-24 Final'!M100</f>
        <v>-1.9999999999999796E-2</v>
      </c>
      <c r="AL100" s="288">
        <f>+N100-'Data FY23-24 Final'!N100</f>
        <v>0</v>
      </c>
      <c r="AM100" s="288">
        <f>+O100-'Data FY23-24 Final'!O100</f>
        <v>-0.12199999999999989</v>
      </c>
      <c r="AN100" s="288">
        <f>+P100-'Data FY23-24 Final'!P100</f>
        <v>0</v>
      </c>
      <c r="AO100" s="288">
        <f>+Q100-'Data FY23-24 Final'!Q100</f>
        <v>0.85800000000000054</v>
      </c>
      <c r="AP100" s="288">
        <f>+R100-'Data FY23-24 Final'!R100</f>
        <v>-9.3030200000000001</v>
      </c>
      <c r="AQ100" s="288">
        <f>+S100-'Data FY23-24 Final'!S100</f>
        <v>0</v>
      </c>
      <c r="AR100" s="288">
        <f>+T100-'Data FY23-24 Final'!T100</f>
        <v>0</v>
      </c>
      <c r="AS100" s="288">
        <f>+U100-'Data FY23-24 Final'!U100</f>
        <v>0</v>
      </c>
      <c r="AT100" s="288">
        <f>+V100-'Data FY23-24 Final'!V100</f>
        <v>0</v>
      </c>
      <c r="AU100" s="288">
        <f>+W100-'Data FY23-24 Final'!W100</f>
        <v>-8.4450199999999995</v>
      </c>
      <c r="AV100" s="288">
        <f>+X100-'Data FY23-24 Final'!X100</f>
        <v>0</v>
      </c>
      <c r="AW100" s="261">
        <f>+Y100-'Data FY23-24 Final'!Y100</f>
        <v>13682.679999999935</v>
      </c>
      <c r="AX100" s="261">
        <f>+Z100-'Data FY23-24 Final'!Z100</f>
        <v>-6428.2167899999768</v>
      </c>
    </row>
    <row r="101" spans="1:50" s="256" customFormat="1" ht="13" x14ac:dyDescent="0.3">
      <c r="A101" s="289" t="s">
        <v>300</v>
      </c>
      <c r="B101" s="289" t="s">
        <v>301</v>
      </c>
      <c r="C101" s="297" t="s">
        <v>302</v>
      </c>
      <c r="D101" s="378">
        <v>68196749</v>
      </c>
      <c r="E101" s="378">
        <v>0</v>
      </c>
      <c r="F101" s="378">
        <v>68196749</v>
      </c>
      <c r="G101" s="379">
        <v>453.74</v>
      </c>
      <c r="H101" s="347">
        <v>17.379000000000001</v>
      </c>
      <c r="I101" s="347">
        <v>0</v>
      </c>
      <c r="J101" s="353">
        <f t="shared" si="14"/>
        <v>17.379000000000001</v>
      </c>
      <c r="K101" s="287">
        <v>0</v>
      </c>
      <c r="L101" s="300">
        <v>0</v>
      </c>
      <c r="M101" s="287">
        <v>0</v>
      </c>
      <c r="N101" s="353">
        <v>0</v>
      </c>
      <c r="O101" s="354">
        <v>0</v>
      </c>
      <c r="P101" s="355">
        <f t="shared" si="15"/>
        <v>6.6533963371186514E-3</v>
      </c>
      <c r="Q101" s="360">
        <f t="shared" si="10"/>
        <v>17.385653396337119</v>
      </c>
      <c r="R101" s="299"/>
      <c r="S101" s="299"/>
      <c r="T101" s="299"/>
      <c r="U101" s="299"/>
      <c r="V101" s="299"/>
      <c r="W101" s="299">
        <f t="shared" si="11"/>
        <v>17.385653396337119</v>
      </c>
      <c r="X101" s="287">
        <v>41.472000000000001</v>
      </c>
      <c r="Y101" s="344">
        <v>3316565.9</v>
      </c>
      <c r="Z101" s="344">
        <v>1855906.913038</v>
      </c>
      <c r="AB101" s="261">
        <f>+D101-'Data FY23-24 Final'!D101</f>
        <v>-7264830</v>
      </c>
      <c r="AC101" s="261">
        <f>+E101-'Data FY23-24 Final'!E101</f>
        <v>0</v>
      </c>
      <c r="AD101" s="261">
        <f>+F101-'Data FY23-24 Final'!F101</f>
        <v>-7264830</v>
      </c>
      <c r="AE101" s="261">
        <f>+G101-'Data FY23-24 Final'!G101</f>
        <v>-1995.2</v>
      </c>
      <c r="AF101" s="288">
        <f>+H101-'Data FY23-24 Final'!H101</f>
        <v>0</v>
      </c>
      <c r="AG101" s="288">
        <f>+I101-'Data FY23-24 Final'!I101</f>
        <v>0</v>
      </c>
      <c r="AH101" s="288">
        <f>+J101-'Data FY23-24 Final'!J101</f>
        <v>0</v>
      </c>
      <c r="AI101" s="288">
        <f>+K101-'Data FY23-24 Final'!K101</f>
        <v>0</v>
      </c>
      <c r="AJ101" s="288">
        <f>+L101-'Data FY23-24 Final'!L101</f>
        <v>0</v>
      </c>
      <c r="AK101" s="288">
        <f>+M101-'Data FY23-24 Final'!M101</f>
        <v>0</v>
      </c>
      <c r="AL101" s="288">
        <f>+N101-'Data FY23-24 Final'!N101</f>
        <v>0</v>
      </c>
      <c r="AM101" s="288">
        <f>+O101-'Data FY23-24 Final'!O101</f>
        <v>0</v>
      </c>
      <c r="AN101" s="288">
        <f>+P101-'Data FY23-24 Final'!P101</f>
        <v>6.6533963371186514E-3</v>
      </c>
      <c r="AO101" s="288">
        <f>+Q101-'Data FY23-24 Final'!Q101</f>
        <v>6.6533963371178118E-3</v>
      </c>
      <c r="AP101" s="288">
        <f>+R101-'Data FY23-24 Final'!R101</f>
        <v>-6.5860000000000003</v>
      </c>
      <c r="AQ101" s="288">
        <f>+S101-'Data FY23-24 Final'!S101</f>
        <v>0</v>
      </c>
      <c r="AR101" s="288">
        <f>+T101-'Data FY23-24 Final'!T101</f>
        <v>0</v>
      </c>
      <c r="AS101" s="288">
        <f>+U101-'Data FY23-24 Final'!U101</f>
        <v>0</v>
      </c>
      <c r="AT101" s="288">
        <f>+V101-'Data FY23-24 Final'!V101</f>
        <v>0</v>
      </c>
      <c r="AU101" s="288">
        <f>+W101-'Data FY23-24 Final'!W101</f>
        <v>-6.5793466036628807</v>
      </c>
      <c r="AV101" s="288">
        <f>+X101-'Data FY23-24 Final'!X101</f>
        <v>0</v>
      </c>
      <c r="AW101" s="261">
        <f>+Y101-'Data FY23-24 Final'!Y101</f>
        <v>-122505.81000000006</v>
      </c>
      <c r="AX101" s="261">
        <f>+Z101-'Data FY23-24 Final'!Z101</f>
        <v>-145301.17552100006</v>
      </c>
    </row>
    <row r="102" spans="1:50" s="256" customFormat="1" ht="13" x14ac:dyDescent="0.3">
      <c r="A102" s="289" t="s">
        <v>303</v>
      </c>
      <c r="B102" s="289" t="s">
        <v>301</v>
      </c>
      <c r="C102" s="297" t="s">
        <v>304</v>
      </c>
      <c r="D102" s="378">
        <v>77715100</v>
      </c>
      <c r="E102" s="378">
        <v>0</v>
      </c>
      <c r="F102" s="378">
        <v>77715100</v>
      </c>
      <c r="G102" s="379">
        <v>2280.1799999999998</v>
      </c>
      <c r="H102" s="347">
        <v>27</v>
      </c>
      <c r="I102" s="347">
        <v>1.1760000000000019</v>
      </c>
      <c r="J102" s="353">
        <f t="shared" si="14"/>
        <v>25.823999999999998</v>
      </c>
      <c r="K102" s="287">
        <v>0</v>
      </c>
      <c r="L102" s="300">
        <v>0</v>
      </c>
      <c r="M102" s="287">
        <v>0</v>
      </c>
      <c r="N102" s="353">
        <v>0</v>
      </c>
      <c r="O102" s="354">
        <v>0</v>
      </c>
      <c r="P102" s="355">
        <f t="shared" si="15"/>
        <v>2.9340244045237024E-2</v>
      </c>
      <c r="Q102" s="360">
        <f t="shared" si="10"/>
        <v>25.853340244045235</v>
      </c>
      <c r="R102" s="299"/>
      <c r="S102" s="299"/>
      <c r="T102" s="299"/>
      <c r="U102" s="299"/>
      <c r="V102" s="299"/>
      <c r="W102" s="299">
        <f t="shared" si="11"/>
        <v>25.853340244045235</v>
      </c>
      <c r="X102" s="287">
        <v>61.860999999999997</v>
      </c>
      <c r="Y102" s="344">
        <v>5530842.25</v>
      </c>
      <c r="Z102" s="344">
        <v>3174630.87304</v>
      </c>
      <c r="AB102" s="261">
        <f>+D102-'Data FY23-24 Final'!D102</f>
        <v>-5606576</v>
      </c>
      <c r="AC102" s="261">
        <f>+E102-'Data FY23-24 Final'!E102</f>
        <v>0</v>
      </c>
      <c r="AD102" s="261">
        <f>+F102-'Data FY23-24 Final'!F102</f>
        <v>-5606576</v>
      </c>
      <c r="AE102" s="261">
        <f>+G102-'Data FY23-24 Final'!G102</f>
        <v>-1956.0400000000004</v>
      </c>
      <c r="AF102" s="288">
        <f>+H102-'Data FY23-24 Final'!H102</f>
        <v>0</v>
      </c>
      <c r="AG102" s="288">
        <f>+I102-'Data FY23-24 Final'!I102</f>
        <v>-0.99999999999999822</v>
      </c>
      <c r="AH102" s="288">
        <f>+J102-'Data FY23-24 Final'!J102</f>
        <v>0.99999999999999645</v>
      </c>
      <c r="AI102" s="288">
        <f>+K102-'Data FY23-24 Final'!K102</f>
        <v>0</v>
      </c>
      <c r="AJ102" s="288">
        <f>+L102-'Data FY23-24 Final'!L102</f>
        <v>0</v>
      </c>
      <c r="AK102" s="288">
        <f>+M102-'Data FY23-24 Final'!M102</f>
        <v>0</v>
      </c>
      <c r="AL102" s="288">
        <f>+N102-'Data FY23-24 Final'!N102</f>
        <v>0</v>
      </c>
      <c r="AM102" s="288">
        <f>+O102-'Data FY23-24 Final'!O102</f>
        <v>0</v>
      </c>
      <c r="AN102" s="288">
        <f>+P102-'Data FY23-24 Final'!P102</f>
        <v>-2.1659755954762973E-2</v>
      </c>
      <c r="AO102" s="288">
        <f>+Q102-'Data FY23-24 Final'!Q102</f>
        <v>0.9783402440452349</v>
      </c>
      <c r="AP102" s="288">
        <f>+R102-'Data FY23-24 Final'!R102</f>
        <v>-6.4429999999999996</v>
      </c>
      <c r="AQ102" s="288">
        <f>+S102-'Data FY23-24 Final'!S102</f>
        <v>0</v>
      </c>
      <c r="AR102" s="288">
        <f>+T102-'Data FY23-24 Final'!T102</f>
        <v>0</v>
      </c>
      <c r="AS102" s="288">
        <f>+U102-'Data FY23-24 Final'!U102</f>
        <v>0</v>
      </c>
      <c r="AT102" s="288">
        <f>+V102-'Data FY23-24 Final'!V102</f>
        <v>0</v>
      </c>
      <c r="AU102" s="288">
        <f>+W102-'Data FY23-24 Final'!W102</f>
        <v>-5.4646597559547665</v>
      </c>
      <c r="AV102" s="288">
        <f>+X102-'Data FY23-24 Final'!X102</f>
        <v>0</v>
      </c>
      <c r="AW102" s="261">
        <f>+Y102-'Data FY23-24 Final'!Y102</f>
        <v>-8987.0300000002608</v>
      </c>
      <c r="AX102" s="261">
        <f>+Z102-'Data FY23-24 Final'!Z102</f>
        <v>-67097.931936000474</v>
      </c>
    </row>
    <row r="103" spans="1:50" s="256" customFormat="1" ht="13" x14ac:dyDescent="0.3">
      <c r="A103" s="289" t="s">
        <v>305</v>
      </c>
      <c r="B103" s="289" t="s">
        <v>301</v>
      </c>
      <c r="C103" s="297" t="s">
        <v>306</v>
      </c>
      <c r="D103" s="378">
        <v>6285993</v>
      </c>
      <c r="E103" s="378">
        <v>0</v>
      </c>
      <c r="F103" s="378">
        <v>6285993</v>
      </c>
      <c r="G103" s="379">
        <v>127.5</v>
      </c>
      <c r="H103" s="347">
        <v>27</v>
      </c>
      <c r="I103" s="347">
        <v>0</v>
      </c>
      <c r="J103" s="353">
        <f t="shared" si="14"/>
        <v>27</v>
      </c>
      <c r="K103" s="287">
        <v>0</v>
      </c>
      <c r="L103" s="300">
        <v>0</v>
      </c>
      <c r="M103" s="287">
        <v>0</v>
      </c>
      <c r="N103" s="353">
        <v>0</v>
      </c>
      <c r="O103" s="354">
        <v>0</v>
      </c>
      <c r="P103" s="355">
        <f t="shared" si="15"/>
        <v>2.0283191533939031E-2</v>
      </c>
      <c r="Q103" s="360">
        <f t="shared" si="10"/>
        <v>27.020283191533938</v>
      </c>
      <c r="R103" s="299"/>
      <c r="S103" s="299"/>
      <c r="T103" s="299"/>
      <c r="U103" s="299"/>
      <c r="V103" s="299"/>
      <c r="W103" s="299">
        <f t="shared" si="11"/>
        <v>27.020283191533938</v>
      </c>
      <c r="X103" s="287">
        <v>163.48599999999999</v>
      </c>
      <c r="Y103" s="344">
        <v>1086825.22</v>
      </c>
      <c r="Z103" s="344">
        <v>891957.91349999991</v>
      </c>
      <c r="AB103" s="261">
        <f>+D103-'Data FY23-24 Final'!D103</f>
        <v>84623</v>
      </c>
      <c r="AC103" s="261">
        <f>+E103-'Data FY23-24 Final'!E103</f>
        <v>0</v>
      </c>
      <c r="AD103" s="261">
        <f>+F103-'Data FY23-24 Final'!F103</f>
        <v>84623</v>
      </c>
      <c r="AE103" s="261">
        <f>+G103-'Data FY23-24 Final'!G103</f>
        <v>127.5</v>
      </c>
      <c r="AF103" s="288">
        <f>+H103-'Data FY23-24 Final'!H103</f>
        <v>0</v>
      </c>
      <c r="AG103" s="288">
        <f>+I103-'Data FY23-24 Final'!I103</f>
        <v>0</v>
      </c>
      <c r="AH103" s="288">
        <f>+J103-'Data FY23-24 Final'!J103</f>
        <v>0</v>
      </c>
      <c r="AI103" s="288">
        <f>+K103-'Data FY23-24 Final'!K103</f>
        <v>0</v>
      </c>
      <c r="AJ103" s="288">
        <f>+L103-'Data FY23-24 Final'!L103</f>
        <v>0</v>
      </c>
      <c r="AK103" s="288">
        <f>+M103-'Data FY23-24 Final'!M103</f>
        <v>0</v>
      </c>
      <c r="AL103" s="288">
        <f>+N103-'Data FY23-24 Final'!N103</f>
        <v>0</v>
      </c>
      <c r="AM103" s="288">
        <f>+O103-'Data FY23-24 Final'!O103</f>
        <v>0</v>
      </c>
      <c r="AN103" s="288">
        <f>+P103-'Data FY23-24 Final'!P103</f>
        <v>2.0283191533939031E-2</v>
      </c>
      <c r="AO103" s="288">
        <f>+Q103-'Data FY23-24 Final'!Q103</f>
        <v>2.0283191533938094E-2</v>
      </c>
      <c r="AP103" s="288">
        <f>+R103-'Data FY23-24 Final'!R103</f>
        <v>0</v>
      </c>
      <c r="AQ103" s="288">
        <f>+S103-'Data FY23-24 Final'!S103</f>
        <v>0</v>
      </c>
      <c r="AR103" s="288">
        <f>+T103-'Data FY23-24 Final'!T103</f>
        <v>0</v>
      </c>
      <c r="AS103" s="288">
        <f>+U103-'Data FY23-24 Final'!U103</f>
        <v>0</v>
      </c>
      <c r="AT103" s="288">
        <f>+V103-'Data FY23-24 Final'!V103</f>
        <v>0</v>
      </c>
      <c r="AU103" s="288">
        <f>+W103-'Data FY23-24 Final'!W103</f>
        <v>2.0283191533938094E-2</v>
      </c>
      <c r="AV103" s="288">
        <f>+X103-'Data FY23-24 Final'!X103</f>
        <v>0</v>
      </c>
      <c r="AW103" s="261">
        <f>+Y103-'Data FY23-24 Final'!Y103</f>
        <v>21269.899999999907</v>
      </c>
      <c r="AX103" s="261">
        <f>+Z103-'Data FY23-24 Final'!Z103</f>
        <v>11721.333499999833</v>
      </c>
    </row>
    <row r="104" spans="1:50" s="256" customFormat="1" ht="13" x14ac:dyDescent="0.3">
      <c r="A104" s="289" t="s">
        <v>307</v>
      </c>
      <c r="B104" s="289" t="s">
        <v>308</v>
      </c>
      <c r="C104" s="297" t="s">
        <v>309</v>
      </c>
      <c r="D104" s="378">
        <v>238807542</v>
      </c>
      <c r="E104" s="378">
        <v>7120873</v>
      </c>
      <c r="F104" s="378">
        <v>231686668</v>
      </c>
      <c r="G104" s="379">
        <v>0</v>
      </c>
      <c r="H104" s="347">
        <v>27</v>
      </c>
      <c r="I104" s="347">
        <v>0</v>
      </c>
      <c r="J104" s="353">
        <f t="shared" si="14"/>
        <v>27</v>
      </c>
      <c r="K104" s="287">
        <v>0</v>
      </c>
      <c r="L104" s="300">
        <v>0</v>
      </c>
      <c r="M104" s="287">
        <v>0</v>
      </c>
      <c r="N104" s="353">
        <v>0</v>
      </c>
      <c r="O104" s="354">
        <v>2.0409999999999999</v>
      </c>
      <c r="P104" s="355">
        <f t="shared" si="15"/>
        <v>0</v>
      </c>
      <c r="Q104" s="360">
        <f t="shared" si="10"/>
        <v>29.041</v>
      </c>
      <c r="R104" s="299"/>
      <c r="S104" s="299"/>
      <c r="T104" s="299"/>
      <c r="U104" s="299"/>
      <c r="V104" s="299"/>
      <c r="W104" s="299">
        <f t="shared" si="11"/>
        <v>29.041</v>
      </c>
      <c r="X104" s="287">
        <v>80.578000000000003</v>
      </c>
      <c r="Y104" s="344">
        <v>20417159.280000001</v>
      </c>
      <c r="Z104" s="344">
        <v>13126014.624000002</v>
      </c>
      <c r="AB104" s="261">
        <f>+D104-'Data FY23-24 Final'!D104</f>
        <v>3411064</v>
      </c>
      <c r="AC104" s="261">
        <f>+E104-'Data FY23-24 Final'!E104</f>
        <v>138905</v>
      </c>
      <c r="AD104" s="261">
        <f>+F104-'Data FY23-24 Final'!F104</f>
        <v>3272158</v>
      </c>
      <c r="AE104" s="261">
        <f>+G104-'Data FY23-24 Final'!G104</f>
        <v>-7123.96</v>
      </c>
      <c r="AF104" s="288">
        <f>+H104-'Data FY23-24 Final'!H104</f>
        <v>0</v>
      </c>
      <c r="AG104" s="288">
        <f>+I104-'Data FY23-24 Final'!I104</f>
        <v>0</v>
      </c>
      <c r="AH104" s="288">
        <f>+J104-'Data FY23-24 Final'!J104</f>
        <v>0</v>
      </c>
      <c r="AI104" s="288">
        <f>+K104-'Data FY23-24 Final'!K104</f>
        <v>0</v>
      </c>
      <c r="AJ104" s="288">
        <f>+L104-'Data FY23-24 Final'!L104</f>
        <v>0</v>
      </c>
      <c r="AK104" s="288">
        <f>+M104-'Data FY23-24 Final'!M104</f>
        <v>0</v>
      </c>
      <c r="AL104" s="288">
        <f>+N104-'Data FY23-24 Final'!N104</f>
        <v>0</v>
      </c>
      <c r="AM104" s="288">
        <f>+O104-'Data FY23-24 Final'!O104</f>
        <v>-0.14800000000000013</v>
      </c>
      <c r="AN104" s="288">
        <f>+P104-'Data FY23-24 Final'!P104</f>
        <v>-3.1E-2</v>
      </c>
      <c r="AO104" s="288">
        <f>+Q104-'Data FY23-24 Final'!Q104</f>
        <v>-0.17899999999999849</v>
      </c>
      <c r="AP104" s="288">
        <f>+R104-'Data FY23-24 Final'!R104</f>
        <v>-2.1070000000000002</v>
      </c>
      <c r="AQ104" s="288">
        <f>+S104-'Data FY23-24 Final'!S104</f>
        <v>0</v>
      </c>
      <c r="AR104" s="288">
        <f>+T104-'Data FY23-24 Final'!T104</f>
        <v>0</v>
      </c>
      <c r="AS104" s="288">
        <f>+U104-'Data FY23-24 Final'!U104</f>
        <v>0</v>
      </c>
      <c r="AT104" s="288">
        <f>+V104-'Data FY23-24 Final'!V104</f>
        <v>0</v>
      </c>
      <c r="AU104" s="288">
        <f>+W104-'Data FY23-24 Final'!W104</f>
        <v>-2.2860000000000014</v>
      </c>
      <c r="AV104" s="288">
        <f>+X104-'Data FY23-24 Final'!X104</f>
        <v>0</v>
      </c>
      <c r="AW104" s="261">
        <f>+Y104-'Data FY23-24 Final'!Y104</f>
        <v>431986.79000000283</v>
      </c>
      <c r="AX104" s="261">
        <f>+Z104-'Data FY23-24 Final'!Z104</f>
        <v>-98225.505999997258</v>
      </c>
    </row>
    <row r="105" spans="1:50" s="256" customFormat="1" ht="13" x14ac:dyDescent="0.3">
      <c r="A105" s="289" t="s">
        <v>310</v>
      </c>
      <c r="B105" s="289" t="s">
        <v>308</v>
      </c>
      <c r="C105" s="297" t="s">
        <v>311</v>
      </c>
      <c r="D105" s="378">
        <v>47859865</v>
      </c>
      <c r="E105" s="378">
        <v>0</v>
      </c>
      <c r="F105" s="378">
        <v>47859865</v>
      </c>
      <c r="G105" s="379">
        <v>0</v>
      </c>
      <c r="H105" s="347">
        <v>27</v>
      </c>
      <c r="I105" s="347">
        <v>0</v>
      </c>
      <c r="J105" s="353">
        <f t="shared" si="14"/>
        <v>27</v>
      </c>
      <c r="K105" s="287">
        <v>0</v>
      </c>
      <c r="L105" s="300">
        <v>0</v>
      </c>
      <c r="M105" s="287">
        <v>0.39100000000000001</v>
      </c>
      <c r="N105" s="353">
        <v>0</v>
      </c>
      <c r="O105" s="354">
        <v>0</v>
      </c>
      <c r="P105" s="355">
        <f t="shared" si="15"/>
        <v>0</v>
      </c>
      <c r="Q105" s="360">
        <f t="shared" si="10"/>
        <v>27.390999999999998</v>
      </c>
      <c r="R105" s="299"/>
      <c r="S105" s="299"/>
      <c r="T105" s="299"/>
      <c r="U105" s="299"/>
      <c r="V105" s="299"/>
      <c r="W105" s="299">
        <f t="shared" si="11"/>
        <v>27.390999999999998</v>
      </c>
      <c r="X105" s="287">
        <v>68.177999999999997</v>
      </c>
      <c r="Y105" s="344">
        <v>3384655.91</v>
      </c>
      <c r="Z105" s="344">
        <v>1960991.9926999998</v>
      </c>
      <c r="AB105" s="261">
        <f>+D105-'Data FY23-24 Final'!D105</f>
        <v>1445962</v>
      </c>
      <c r="AC105" s="261">
        <f>+E105-'Data FY23-24 Final'!E105</f>
        <v>0</v>
      </c>
      <c r="AD105" s="261">
        <f>+F105-'Data FY23-24 Final'!F105</f>
        <v>1445962</v>
      </c>
      <c r="AE105" s="261">
        <f>+G105-'Data FY23-24 Final'!G105</f>
        <v>-4734</v>
      </c>
      <c r="AF105" s="288">
        <f>+H105-'Data FY23-24 Final'!H105</f>
        <v>0</v>
      </c>
      <c r="AG105" s="288">
        <f>+I105-'Data FY23-24 Final'!I105</f>
        <v>0</v>
      </c>
      <c r="AH105" s="288">
        <f>+J105-'Data FY23-24 Final'!J105</f>
        <v>0</v>
      </c>
      <c r="AI105" s="288">
        <f>+K105-'Data FY23-24 Final'!K105</f>
        <v>0</v>
      </c>
      <c r="AJ105" s="288">
        <f>+L105-'Data FY23-24 Final'!L105</f>
        <v>0</v>
      </c>
      <c r="AK105" s="288">
        <f>+M105-'Data FY23-24 Final'!M105</f>
        <v>-1.0000000000000009E-2</v>
      </c>
      <c r="AL105" s="288">
        <f>+N105-'Data FY23-24 Final'!N105</f>
        <v>0</v>
      </c>
      <c r="AM105" s="288">
        <f>+O105-'Data FY23-24 Final'!O105</f>
        <v>-0.63800000000000001</v>
      </c>
      <c r="AN105" s="288">
        <f>+P105-'Data FY23-24 Final'!P105</f>
        <v>-0.10199999999999999</v>
      </c>
      <c r="AO105" s="288">
        <f>+Q105-'Data FY23-24 Final'!Q105</f>
        <v>-0.75</v>
      </c>
      <c r="AP105" s="288">
        <f>+R105-'Data FY23-24 Final'!R105</f>
        <v>0</v>
      </c>
      <c r="AQ105" s="288">
        <f>+S105-'Data FY23-24 Final'!S105</f>
        <v>0</v>
      </c>
      <c r="AR105" s="288">
        <f>+T105-'Data FY23-24 Final'!T105</f>
        <v>0</v>
      </c>
      <c r="AS105" s="288">
        <f>+U105-'Data FY23-24 Final'!U105</f>
        <v>0</v>
      </c>
      <c r="AT105" s="288">
        <f>+V105-'Data FY23-24 Final'!V105</f>
        <v>0</v>
      </c>
      <c r="AU105" s="288">
        <f>+W105-'Data FY23-24 Final'!W105</f>
        <v>-0.75</v>
      </c>
      <c r="AV105" s="288">
        <f>+X105-'Data FY23-24 Final'!X105</f>
        <v>0</v>
      </c>
      <c r="AW105" s="261">
        <f>+Y105-'Data FY23-24 Final'!Y105</f>
        <v>50840.570000000298</v>
      </c>
      <c r="AX105" s="261">
        <f>+Z105-'Data FY23-24 Final'!Z105</f>
        <v>-3237.4462999999523</v>
      </c>
    </row>
    <row r="106" spans="1:50" s="256" customFormat="1" x14ac:dyDescent="0.25">
      <c r="A106" s="289" t="s">
        <v>312</v>
      </c>
      <c r="B106" s="289" t="s">
        <v>308</v>
      </c>
      <c r="C106" s="297" t="s">
        <v>313</v>
      </c>
      <c r="D106" s="344">
        <v>42128166</v>
      </c>
      <c r="E106" s="344">
        <v>0</v>
      </c>
      <c r="F106" s="344">
        <f t="shared" si="12"/>
        <v>42128166</v>
      </c>
      <c r="G106" s="343">
        <v>2494.91</v>
      </c>
      <c r="H106" s="347">
        <v>27</v>
      </c>
      <c r="I106" s="347">
        <v>0</v>
      </c>
      <c r="J106" s="353">
        <f t="shared" si="14"/>
        <v>27</v>
      </c>
      <c r="K106" s="287">
        <v>0</v>
      </c>
      <c r="L106" s="300">
        <v>0</v>
      </c>
      <c r="M106" s="287">
        <v>0</v>
      </c>
      <c r="N106" s="353">
        <v>0</v>
      </c>
      <c r="O106" s="354">
        <v>0</v>
      </c>
      <c r="P106" s="355">
        <f t="shared" si="15"/>
        <v>5.92218991920987E-2</v>
      </c>
      <c r="Q106" s="360">
        <f t="shared" si="10"/>
        <v>27.059221899192099</v>
      </c>
      <c r="R106" s="299"/>
      <c r="S106" s="299"/>
      <c r="T106" s="299"/>
      <c r="U106" s="299"/>
      <c r="V106" s="299"/>
      <c r="W106" s="299">
        <f t="shared" si="11"/>
        <v>27.059221899192099</v>
      </c>
      <c r="X106" s="287">
        <v>101.714</v>
      </c>
      <c r="Y106" s="344">
        <v>4377984.3099999996</v>
      </c>
      <c r="Z106" s="344">
        <v>3147570.3655999997</v>
      </c>
      <c r="AB106" s="261">
        <f>+D106-'Data FY23-24 Final'!D106</f>
        <v>1019917</v>
      </c>
      <c r="AC106" s="261">
        <f>+E106-'Data FY23-24 Final'!E106</f>
        <v>0</v>
      </c>
      <c r="AD106" s="261">
        <f>+F106-'Data FY23-24 Final'!F106</f>
        <v>1019917</v>
      </c>
      <c r="AE106" s="261">
        <f>+G106-'Data FY23-24 Final'!G106</f>
        <v>315.90999999999985</v>
      </c>
      <c r="AF106" s="288">
        <f>+H106-'Data FY23-24 Final'!H106</f>
        <v>0</v>
      </c>
      <c r="AG106" s="288">
        <f>+I106-'Data FY23-24 Final'!I106</f>
        <v>0</v>
      </c>
      <c r="AH106" s="288">
        <f>+J106-'Data FY23-24 Final'!J106</f>
        <v>0</v>
      </c>
      <c r="AI106" s="288">
        <f>+K106-'Data FY23-24 Final'!K106</f>
        <v>0</v>
      </c>
      <c r="AJ106" s="288">
        <f>+L106-'Data FY23-24 Final'!L106</f>
        <v>0</v>
      </c>
      <c r="AK106" s="288">
        <f>+M106-'Data FY23-24 Final'!M106</f>
        <v>0</v>
      </c>
      <c r="AL106" s="288">
        <f>+N106-'Data FY23-24 Final'!N106</f>
        <v>0</v>
      </c>
      <c r="AM106" s="288">
        <f>+O106-'Data FY23-24 Final'!O106</f>
        <v>0</v>
      </c>
      <c r="AN106" s="288">
        <f>+P106-'Data FY23-24 Final'!P106</f>
        <v>6.221899192098701E-3</v>
      </c>
      <c r="AO106" s="288">
        <f>+Q106-'Data FY23-24 Final'!Q106</f>
        <v>6.22189919209859E-3</v>
      </c>
      <c r="AP106" s="288">
        <f>+R106-'Data FY23-24 Final'!R106</f>
        <v>-3.9580000000000002</v>
      </c>
      <c r="AQ106" s="288">
        <f>+S106-'Data FY23-24 Final'!S106</f>
        <v>0</v>
      </c>
      <c r="AR106" s="288">
        <f>+T106-'Data FY23-24 Final'!T106</f>
        <v>0</v>
      </c>
      <c r="AS106" s="288">
        <f>+U106-'Data FY23-24 Final'!U106</f>
        <v>0</v>
      </c>
      <c r="AT106" s="288">
        <f>+V106-'Data FY23-24 Final'!V106</f>
        <v>0</v>
      </c>
      <c r="AU106" s="288">
        <f>+W106-'Data FY23-24 Final'!W106</f>
        <v>-3.9517781008078998</v>
      </c>
      <c r="AV106" s="288">
        <f>+X106-'Data FY23-24 Final'!X106</f>
        <v>0</v>
      </c>
      <c r="AW106" s="261">
        <f>+Y106-'Data FY23-24 Final'!Y106</f>
        <v>-28734.510000000708</v>
      </c>
      <c r="AX106" s="261">
        <f>+Z106-'Data FY23-24 Final'!Z106</f>
        <v>-53650.811400000472</v>
      </c>
    </row>
    <row r="107" spans="1:50" s="256" customFormat="1" ht="13" x14ac:dyDescent="0.3">
      <c r="A107" s="289" t="s">
        <v>314</v>
      </c>
      <c r="B107" s="289" t="s">
        <v>308</v>
      </c>
      <c r="C107" s="297" t="s">
        <v>315</v>
      </c>
      <c r="D107" s="378">
        <v>55518399</v>
      </c>
      <c r="E107" s="378">
        <v>0</v>
      </c>
      <c r="F107" s="378">
        <v>55518399</v>
      </c>
      <c r="G107" s="379">
        <v>0</v>
      </c>
      <c r="H107" s="347">
        <v>25.81</v>
      </c>
      <c r="I107" s="347">
        <v>4.3919999999999995</v>
      </c>
      <c r="J107" s="353">
        <f t="shared" si="14"/>
        <v>21.417999999999999</v>
      </c>
      <c r="K107" s="287">
        <v>0</v>
      </c>
      <c r="L107" s="300">
        <v>0</v>
      </c>
      <c r="M107" s="287">
        <v>0.61</v>
      </c>
      <c r="N107" s="353">
        <v>0</v>
      </c>
      <c r="O107" s="354">
        <v>7.4320000000000004</v>
      </c>
      <c r="P107" s="355">
        <f t="shared" si="15"/>
        <v>0</v>
      </c>
      <c r="Q107" s="360">
        <f t="shared" si="10"/>
        <v>29.46</v>
      </c>
      <c r="R107" s="299"/>
      <c r="S107" s="299"/>
      <c r="T107" s="299"/>
      <c r="U107" s="299"/>
      <c r="V107" s="299"/>
      <c r="W107" s="299">
        <f t="shared" si="11"/>
        <v>29.46</v>
      </c>
      <c r="X107" s="287">
        <v>49.594000000000001</v>
      </c>
      <c r="Y107" s="344">
        <v>3094005.14</v>
      </c>
      <c r="Z107" s="344">
        <v>1746904.7145500001</v>
      </c>
      <c r="AB107" s="261">
        <f>+D107-'Data FY23-24 Final'!D107</f>
        <v>-2308107</v>
      </c>
      <c r="AC107" s="261">
        <f>+E107-'Data FY23-24 Final'!E107</f>
        <v>0</v>
      </c>
      <c r="AD107" s="261">
        <f>+F107-'Data FY23-24 Final'!F107</f>
        <v>-2308107</v>
      </c>
      <c r="AE107" s="261">
        <f>+G107-'Data FY23-24 Final'!G107</f>
        <v>-13141.16</v>
      </c>
      <c r="AF107" s="288">
        <f>+H107-'Data FY23-24 Final'!H107</f>
        <v>0</v>
      </c>
      <c r="AG107" s="288">
        <f>+I107-'Data FY23-24 Final'!I107</f>
        <v>-1.0000000000000009</v>
      </c>
      <c r="AH107" s="288">
        <f>+J107-'Data FY23-24 Final'!J107</f>
        <v>1</v>
      </c>
      <c r="AI107" s="288">
        <f>+K107-'Data FY23-24 Final'!K107</f>
        <v>0</v>
      </c>
      <c r="AJ107" s="288">
        <f>+L107-'Data FY23-24 Final'!L107</f>
        <v>0</v>
      </c>
      <c r="AK107" s="288">
        <f>+M107-'Data FY23-24 Final'!M107</f>
        <v>0.61</v>
      </c>
      <c r="AL107" s="288">
        <f>+N107-'Data FY23-24 Final'!N107</f>
        <v>0</v>
      </c>
      <c r="AM107" s="288">
        <f>+O107-'Data FY23-24 Final'!O107</f>
        <v>-0.2629999999999999</v>
      </c>
      <c r="AN107" s="288">
        <f>+P107-'Data FY23-24 Final'!P107</f>
        <v>-0.23</v>
      </c>
      <c r="AO107" s="288">
        <f>+Q107-'Data FY23-24 Final'!Q107</f>
        <v>1.1170000000000009</v>
      </c>
      <c r="AP107" s="288">
        <f>+R107-'Data FY23-24 Final'!R107</f>
        <v>-14.425000000000001</v>
      </c>
      <c r="AQ107" s="288">
        <f>+S107-'Data FY23-24 Final'!S107</f>
        <v>0</v>
      </c>
      <c r="AR107" s="288">
        <f>+T107-'Data FY23-24 Final'!T107</f>
        <v>0</v>
      </c>
      <c r="AS107" s="288">
        <f>+U107-'Data FY23-24 Final'!U107</f>
        <v>0</v>
      </c>
      <c r="AT107" s="288">
        <f>+V107-'Data FY23-24 Final'!V107</f>
        <v>0</v>
      </c>
      <c r="AU107" s="288">
        <f>+W107-'Data FY23-24 Final'!W107</f>
        <v>-13.308</v>
      </c>
      <c r="AV107" s="288">
        <f>+X107-'Data FY23-24 Final'!X107</f>
        <v>0</v>
      </c>
      <c r="AW107" s="261">
        <f>+Y107-'Data FY23-24 Final'!Y107</f>
        <v>-42411.029999999795</v>
      </c>
      <c r="AX107" s="261">
        <f>+Z107-'Data FY23-24 Final'!Z107</f>
        <v>-103163.27594199986</v>
      </c>
    </row>
    <row r="108" spans="1:50" s="256" customFormat="1" ht="13" x14ac:dyDescent="0.3">
      <c r="A108" s="289" t="s">
        <v>316</v>
      </c>
      <c r="B108" s="289" t="s">
        <v>317</v>
      </c>
      <c r="C108" s="297" t="s">
        <v>318</v>
      </c>
      <c r="D108" s="378">
        <v>278632400</v>
      </c>
      <c r="E108" s="378">
        <v>0</v>
      </c>
      <c r="F108" s="378">
        <v>278632400</v>
      </c>
      <c r="G108" s="379">
        <v>266.39</v>
      </c>
      <c r="H108" s="347">
        <v>3.43</v>
      </c>
      <c r="I108" s="347">
        <v>0</v>
      </c>
      <c r="J108" s="353">
        <f t="shared" si="14"/>
        <v>3.43</v>
      </c>
      <c r="K108" s="287">
        <v>0</v>
      </c>
      <c r="L108" s="300">
        <v>0</v>
      </c>
      <c r="M108" s="287">
        <v>1.2999999999999999E-2</v>
      </c>
      <c r="N108" s="353">
        <v>0</v>
      </c>
      <c r="O108" s="354">
        <v>0</v>
      </c>
      <c r="P108" s="355">
        <f t="shared" si="15"/>
        <v>9.5606253974771054E-4</v>
      </c>
      <c r="Q108" s="360">
        <f t="shared" si="10"/>
        <v>3.4439560625397476</v>
      </c>
      <c r="R108" s="299"/>
      <c r="S108" s="299"/>
      <c r="T108" s="299"/>
      <c r="U108" s="299"/>
      <c r="V108" s="299"/>
      <c r="W108" s="299">
        <f t="shared" si="11"/>
        <v>3.4439560625397476</v>
      </c>
      <c r="X108" s="287">
        <v>6.8719999999999999</v>
      </c>
      <c r="Y108" s="344">
        <v>2868424.66</v>
      </c>
      <c r="Z108" s="344">
        <v>1336848.3734000002</v>
      </c>
      <c r="AB108" s="261">
        <f>+D108-'Data FY23-24 Final'!D108</f>
        <v>-107824750</v>
      </c>
      <c r="AC108" s="261">
        <f>+E108-'Data FY23-24 Final'!E108</f>
        <v>0</v>
      </c>
      <c r="AD108" s="261">
        <f>+F108-'Data FY23-24 Final'!F108</f>
        <v>-107824750</v>
      </c>
      <c r="AE108" s="261">
        <f>+G108-'Data FY23-24 Final'!G108</f>
        <v>-2064.06</v>
      </c>
      <c r="AF108" s="288">
        <f>+H108-'Data FY23-24 Final'!H108</f>
        <v>0</v>
      </c>
      <c r="AG108" s="288">
        <f>+I108-'Data FY23-24 Final'!I108</f>
        <v>0</v>
      </c>
      <c r="AH108" s="288">
        <f>+J108-'Data FY23-24 Final'!J108</f>
        <v>0</v>
      </c>
      <c r="AI108" s="288">
        <f>+K108-'Data FY23-24 Final'!K108</f>
        <v>0</v>
      </c>
      <c r="AJ108" s="288">
        <f>+L108-'Data FY23-24 Final'!L108</f>
        <v>0</v>
      </c>
      <c r="AK108" s="288">
        <f>+M108-'Data FY23-24 Final'!M108</f>
        <v>-1.0000000000000009E-3</v>
      </c>
      <c r="AL108" s="288">
        <f>+N108-'Data FY23-24 Final'!N108</f>
        <v>0</v>
      </c>
      <c r="AM108" s="288">
        <f>+O108-'Data FY23-24 Final'!O108</f>
        <v>0</v>
      </c>
      <c r="AN108" s="288">
        <f>+P108-'Data FY23-24 Final'!P108</f>
        <v>-5.0439374602522895E-3</v>
      </c>
      <c r="AO108" s="288">
        <f>+Q108-'Data FY23-24 Final'!Q108</f>
        <v>-6.0439374602525575E-3</v>
      </c>
      <c r="AP108" s="288">
        <f>+R108-'Data FY23-24 Final'!R108</f>
        <v>-2.8149999999999999</v>
      </c>
      <c r="AQ108" s="288">
        <f>+S108-'Data FY23-24 Final'!S108</f>
        <v>0</v>
      </c>
      <c r="AR108" s="288">
        <f>+T108-'Data FY23-24 Final'!T108</f>
        <v>0</v>
      </c>
      <c r="AS108" s="288">
        <f>+U108-'Data FY23-24 Final'!U108</f>
        <v>0</v>
      </c>
      <c r="AT108" s="288">
        <f>+V108-'Data FY23-24 Final'!V108</f>
        <v>0</v>
      </c>
      <c r="AU108" s="288">
        <f>+W108-'Data FY23-24 Final'!W108</f>
        <v>-2.8210439374602521</v>
      </c>
      <c r="AV108" s="288">
        <f>+X108-'Data FY23-24 Final'!X108</f>
        <v>0</v>
      </c>
      <c r="AW108" s="261">
        <f>+Y108-'Data FY23-24 Final'!Y108</f>
        <v>-115983.0299999998</v>
      </c>
      <c r="AX108" s="261">
        <f>+Z108-'Data FY23-24 Final'!Z108</f>
        <v>-229688.80209999974</v>
      </c>
    </row>
    <row r="109" spans="1:50" s="256" customFormat="1" ht="13" x14ac:dyDescent="0.3">
      <c r="A109" s="289" t="s">
        <v>319</v>
      </c>
      <c r="B109" s="289" t="s">
        <v>317</v>
      </c>
      <c r="C109" s="297" t="s">
        <v>320</v>
      </c>
      <c r="D109" s="378">
        <v>172181800</v>
      </c>
      <c r="E109" s="378">
        <v>0</v>
      </c>
      <c r="F109" s="378">
        <v>172181800</v>
      </c>
      <c r="G109" s="379">
        <v>4551.21</v>
      </c>
      <c r="H109" s="347">
        <v>11.895</v>
      </c>
      <c r="I109" s="347">
        <v>0</v>
      </c>
      <c r="J109" s="353">
        <f t="shared" si="14"/>
        <v>11.895</v>
      </c>
      <c r="K109" s="287">
        <v>0</v>
      </c>
      <c r="L109" s="300">
        <v>0</v>
      </c>
      <c r="M109" s="287">
        <v>0</v>
      </c>
      <c r="N109" s="353">
        <v>0</v>
      </c>
      <c r="O109" s="354">
        <v>1.5880000000000001</v>
      </c>
      <c r="P109" s="355">
        <f t="shared" si="15"/>
        <v>2.6432584628572821E-2</v>
      </c>
      <c r="Q109" s="360">
        <f t="shared" si="10"/>
        <v>13.509432584628573</v>
      </c>
      <c r="R109" s="299"/>
      <c r="S109" s="299"/>
      <c r="T109" s="299"/>
      <c r="U109" s="299"/>
      <c r="V109" s="299"/>
      <c r="W109" s="299">
        <f t="shared" si="11"/>
        <v>13.509432584628573</v>
      </c>
      <c r="X109" s="287">
        <v>18.114000000000001</v>
      </c>
      <c r="Y109" s="344">
        <v>4366211.42</v>
      </c>
      <c r="Z109" s="344">
        <v>1370761.2962499999</v>
      </c>
      <c r="AB109" s="261">
        <f>+D109-'Data FY23-24 Final'!D109</f>
        <v>-43893590</v>
      </c>
      <c r="AC109" s="261">
        <f>+E109-'Data FY23-24 Final'!E109</f>
        <v>0</v>
      </c>
      <c r="AD109" s="261">
        <f>+F109-'Data FY23-24 Final'!F109</f>
        <v>-43893590</v>
      </c>
      <c r="AE109" s="261">
        <f>+G109-'Data FY23-24 Final'!G109</f>
        <v>3847.56</v>
      </c>
      <c r="AF109" s="288">
        <f>+H109-'Data FY23-24 Final'!H109</f>
        <v>0</v>
      </c>
      <c r="AG109" s="288">
        <f>+I109-'Data FY23-24 Final'!I109</f>
        <v>0</v>
      </c>
      <c r="AH109" s="288">
        <f>+J109-'Data FY23-24 Final'!J109</f>
        <v>0</v>
      </c>
      <c r="AI109" s="288">
        <f>+K109-'Data FY23-24 Final'!K109</f>
        <v>0</v>
      </c>
      <c r="AJ109" s="288">
        <f>+L109-'Data FY23-24 Final'!L109</f>
        <v>0</v>
      </c>
      <c r="AK109" s="288">
        <f>+M109-'Data FY23-24 Final'!M109</f>
        <v>0</v>
      </c>
      <c r="AL109" s="288">
        <f>+N109-'Data FY23-24 Final'!N109</f>
        <v>0</v>
      </c>
      <c r="AM109" s="288">
        <f>+O109-'Data FY23-24 Final'!O109</f>
        <v>-3.2000000000000028E-2</v>
      </c>
      <c r="AN109" s="288">
        <f>+P109-'Data FY23-24 Final'!P109</f>
        <v>2.3432584628572822E-2</v>
      </c>
      <c r="AO109" s="288">
        <f>+Q109-'Data FY23-24 Final'!Q109</f>
        <v>-8.567415371427245E-3</v>
      </c>
      <c r="AP109" s="288">
        <f>+R109-'Data FY23-24 Final'!R109</f>
        <v>-12.478999999999999</v>
      </c>
      <c r="AQ109" s="288">
        <f>+S109-'Data FY23-24 Final'!S109</f>
        <v>0</v>
      </c>
      <c r="AR109" s="288">
        <f>+T109-'Data FY23-24 Final'!T109</f>
        <v>0</v>
      </c>
      <c r="AS109" s="288">
        <f>+U109-'Data FY23-24 Final'!U109</f>
        <v>0</v>
      </c>
      <c r="AT109" s="288">
        <f>+V109-'Data FY23-24 Final'!V109</f>
        <v>0</v>
      </c>
      <c r="AU109" s="288">
        <f>+W109-'Data FY23-24 Final'!W109</f>
        <v>-12.487567415371426</v>
      </c>
      <c r="AV109" s="288">
        <f>+X109-'Data FY23-24 Final'!X109</f>
        <v>0</v>
      </c>
      <c r="AW109" s="261">
        <f>+Y109-'Data FY23-24 Final'!Y109</f>
        <v>14118.229999999516</v>
      </c>
      <c r="AX109" s="261">
        <f>+Z109-'Data FY23-24 Final'!Z109</f>
        <v>-139270.32970000058</v>
      </c>
    </row>
    <row r="110" spans="1:50" s="256" customFormat="1" ht="13" x14ac:dyDescent="0.3">
      <c r="A110" s="289" t="s">
        <v>321</v>
      </c>
      <c r="B110" s="289" t="s">
        <v>317</v>
      </c>
      <c r="C110" s="297" t="s">
        <v>322</v>
      </c>
      <c r="D110" s="378">
        <v>2554578660</v>
      </c>
      <c r="E110" s="378">
        <v>33195220</v>
      </c>
      <c r="F110" s="378">
        <v>2521383440</v>
      </c>
      <c r="G110" s="379">
        <v>221222.31</v>
      </c>
      <c r="H110" s="347">
        <v>27</v>
      </c>
      <c r="I110" s="347">
        <v>0</v>
      </c>
      <c r="J110" s="353">
        <f t="shared" si="14"/>
        <v>27</v>
      </c>
      <c r="K110" s="287">
        <v>0</v>
      </c>
      <c r="L110" s="300">
        <v>0</v>
      </c>
      <c r="M110" s="287">
        <v>0</v>
      </c>
      <c r="N110" s="353">
        <v>0</v>
      </c>
      <c r="O110" s="354">
        <v>5.923</v>
      </c>
      <c r="P110" s="355">
        <f t="shared" si="15"/>
        <v>8.773846392835831E-2</v>
      </c>
      <c r="Q110" s="360">
        <f t="shared" si="10"/>
        <v>33.010738463928362</v>
      </c>
      <c r="R110" s="299"/>
      <c r="S110" s="299"/>
      <c r="T110" s="299"/>
      <c r="U110" s="299"/>
      <c r="V110" s="299"/>
      <c r="W110" s="299">
        <f t="shared" si="11"/>
        <v>33.010738463928362</v>
      </c>
      <c r="X110" s="287">
        <v>80.358000000000004</v>
      </c>
      <c r="Y110" s="344">
        <v>220535305.49000001</v>
      </c>
      <c r="Z110" s="344">
        <v>141756783.5573</v>
      </c>
      <c r="AB110" s="261">
        <f>+D110-'Data FY23-24 Final'!D110</f>
        <v>38863710</v>
      </c>
      <c r="AC110" s="261">
        <f>+E110-'Data FY23-24 Final'!E110</f>
        <v>2119700</v>
      </c>
      <c r="AD110" s="261">
        <f>+F110-'Data FY23-24 Final'!F110</f>
        <v>36744010</v>
      </c>
      <c r="AE110" s="261">
        <f>+G110-'Data FY23-24 Final'!G110</f>
        <v>-12075.420000000013</v>
      </c>
      <c r="AF110" s="288">
        <f>+H110-'Data FY23-24 Final'!H110</f>
        <v>0</v>
      </c>
      <c r="AG110" s="288">
        <f>+I110-'Data FY23-24 Final'!I110</f>
        <v>0</v>
      </c>
      <c r="AH110" s="288">
        <f>+J110-'Data FY23-24 Final'!J110</f>
        <v>0</v>
      </c>
      <c r="AI110" s="288">
        <f>+K110-'Data FY23-24 Final'!K110</f>
        <v>0</v>
      </c>
      <c r="AJ110" s="288">
        <f>+L110-'Data FY23-24 Final'!L110</f>
        <v>0</v>
      </c>
      <c r="AK110" s="288">
        <f>+M110-'Data FY23-24 Final'!M110</f>
        <v>0</v>
      </c>
      <c r="AL110" s="288">
        <f>+N110-'Data FY23-24 Final'!N110</f>
        <v>0</v>
      </c>
      <c r="AM110" s="288">
        <f>+O110-'Data FY23-24 Final'!O110</f>
        <v>-0.70599999999999952</v>
      </c>
      <c r="AN110" s="288">
        <f>+P110-'Data FY23-24 Final'!P110</f>
        <v>-6.2615360716416907E-3</v>
      </c>
      <c r="AO110" s="288">
        <f>+Q110-'Data FY23-24 Final'!Q110</f>
        <v>-0.71226153607163667</v>
      </c>
      <c r="AP110" s="288">
        <f>+R110-'Data FY23-24 Final'!R110</f>
        <v>-11.353999999999999</v>
      </c>
      <c r="AQ110" s="288">
        <f>+S110-'Data FY23-24 Final'!S110</f>
        <v>0</v>
      </c>
      <c r="AR110" s="288">
        <f>+T110-'Data FY23-24 Final'!T110</f>
        <v>0</v>
      </c>
      <c r="AS110" s="288">
        <f>+U110-'Data FY23-24 Final'!U110</f>
        <v>0</v>
      </c>
      <c r="AT110" s="288">
        <f>+V110-'Data FY23-24 Final'!V110</f>
        <v>0</v>
      </c>
      <c r="AU110" s="288">
        <f>+W110-'Data FY23-24 Final'!W110</f>
        <v>-12.066261536071636</v>
      </c>
      <c r="AV110" s="288">
        <f>+X110-'Data FY23-24 Final'!X110</f>
        <v>0</v>
      </c>
      <c r="AW110" s="261">
        <f>+Y110-'Data FY23-24 Final'!Y110</f>
        <v>16071242.174199998</v>
      </c>
      <c r="AX110" s="261">
        <f>+Z110-'Data FY23-24 Final'!Z110</f>
        <v>11746777.221500009</v>
      </c>
    </row>
    <row r="111" spans="1:50" s="256" customFormat="1" ht="13" x14ac:dyDescent="0.3">
      <c r="A111" s="289" t="s">
        <v>323</v>
      </c>
      <c r="B111" s="289" t="s">
        <v>324</v>
      </c>
      <c r="C111" s="297" t="s">
        <v>325</v>
      </c>
      <c r="D111" s="378">
        <v>55759843</v>
      </c>
      <c r="E111" s="378">
        <v>0</v>
      </c>
      <c r="F111" s="378">
        <v>55759843</v>
      </c>
      <c r="G111" s="379">
        <v>0</v>
      </c>
      <c r="H111" s="347">
        <v>27</v>
      </c>
      <c r="I111" s="347">
        <v>2.546999999999997</v>
      </c>
      <c r="J111" s="353">
        <f t="shared" si="14"/>
        <v>24.453000000000003</v>
      </c>
      <c r="K111" s="287">
        <v>0</v>
      </c>
      <c r="L111" s="300">
        <v>0</v>
      </c>
      <c r="M111" s="287">
        <v>0</v>
      </c>
      <c r="N111" s="353">
        <v>0</v>
      </c>
      <c r="O111" s="354">
        <v>1.2030000000000001</v>
      </c>
      <c r="P111" s="355">
        <f t="shared" si="15"/>
        <v>0</v>
      </c>
      <c r="Q111" s="360">
        <f t="shared" si="10"/>
        <v>25.656000000000002</v>
      </c>
      <c r="R111" s="299"/>
      <c r="S111" s="299"/>
      <c r="T111" s="299"/>
      <c r="U111" s="299"/>
      <c r="V111" s="299"/>
      <c r="W111" s="299">
        <f t="shared" si="11"/>
        <v>25.656000000000002</v>
      </c>
      <c r="X111" s="287">
        <v>30.478999999999999</v>
      </c>
      <c r="Y111" s="344">
        <v>1886302.43</v>
      </c>
      <c r="Z111" s="344">
        <v>408784.62763799995</v>
      </c>
      <c r="AB111" s="261">
        <f>+D111-'Data FY23-24 Final'!D111</f>
        <v>1227954</v>
      </c>
      <c r="AC111" s="261">
        <f>+E111-'Data FY23-24 Final'!E111</f>
        <v>0</v>
      </c>
      <c r="AD111" s="261">
        <f>+F111-'Data FY23-24 Final'!F111</f>
        <v>1227954</v>
      </c>
      <c r="AE111" s="261">
        <f>+G111-'Data FY23-24 Final'!G111</f>
        <v>0</v>
      </c>
      <c r="AF111" s="288">
        <f>+H111-'Data FY23-24 Final'!H111</f>
        <v>0</v>
      </c>
      <c r="AG111" s="288">
        <f>+I111-'Data FY23-24 Final'!I111</f>
        <v>-1.0000000000000031</v>
      </c>
      <c r="AH111" s="288">
        <f>+J111-'Data FY23-24 Final'!J111</f>
        <v>1.0000000000000036</v>
      </c>
      <c r="AI111" s="288">
        <f>+K111-'Data FY23-24 Final'!K111</f>
        <v>0</v>
      </c>
      <c r="AJ111" s="288">
        <f>+L111-'Data FY23-24 Final'!L111</f>
        <v>0</v>
      </c>
      <c r="AK111" s="288">
        <f>+M111-'Data FY23-24 Final'!M111</f>
        <v>0</v>
      </c>
      <c r="AL111" s="288">
        <f>+N111-'Data FY23-24 Final'!N111</f>
        <v>0</v>
      </c>
      <c r="AM111" s="288">
        <f>+O111-'Data FY23-24 Final'!O111</f>
        <v>-8.0999999999999961E-2</v>
      </c>
      <c r="AN111" s="288">
        <f>+P111-'Data FY23-24 Final'!P111</f>
        <v>0</v>
      </c>
      <c r="AO111" s="288">
        <f>+Q111-'Data FY23-24 Final'!Q111</f>
        <v>0.91900000000000404</v>
      </c>
      <c r="AP111" s="288">
        <f>+R111-'Data FY23-24 Final'!R111</f>
        <v>-9.5359999999999996</v>
      </c>
      <c r="AQ111" s="288">
        <f>+S111-'Data FY23-24 Final'!S111</f>
        <v>0</v>
      </c>
      <c r="AR111" s="288">
        <f>+T111-'Data FY23-24 Final'!T111</f>
        <v>0</v>
      </c>
      <c r="AS111" s="288">
        <f>+U111-'Data FY23-24 Final'!U111</f>
        <v>0</v>
      </c>
      <c r="AT111" s="288">
        <f>+V111-'Data FY23-24 Final'!V111</f>
        <v>0</v>
      </c>
      <c r="AU111" s="288">
        <f>+W111-'Data FY23-24 Final'!W111</f>
        <v>-8.6170000000000009</v>
      </c>
      <c r="AV111" s="288">
        <f>+X111-'Data FY23-24 Final'!X111</f>
        <v>0</v>
      </c>
      <c r="AW111" s="261">
        <f>+Y111-'Data FY23-24 Final'!Y111</f>
        <v>-130680.91000000015</v>
      </c>
      <c r="AX111" s="261">
        <f>+Z111-'Data FY23-24 Final'!Z111</f>
        <v>-217871.93964500003</v>
      </c>
    </row>
    <row r="112" spans="1:50" s="256" customFormat="1" ht="13" x14ac:dyDescent="0.25">
      <c r="A112" s="289" t="s">
        <v>326</v>
      </c>
      <c r="B112" s="289" t="s">
        <v>327</v>
      </c>
      <c r="C112" s="297" t="s">
        <v>327</v>
      </c>
      <c r="D112" s="383">
        <v>399597228</v>
      </c>
      <c r="E112" s="383">
        <v>0</v>
      </c>
      <c r="F112" s="383">
        <v>399597228</v>
      </c>
      <c r="G112" s="383">
        <v>87228</v>
      </c>
      <c r="H112" s="347">
        <v>27</v>
      </c>
      <c r="I112" s="347">
        <v>2.4840000000000018</v>
      </c>
      <c r="J112" s="353">
        <f t="shared" si="14"/>
        <v>24.515999999999998</v>
      </c>
      <c r="K112" s="287">
        <v>0</v>
      </c>
      <c r="L112" s="300">
        <v>0</v>
      </c>
      <c r="M112" s="287">
        <v>0.65</v>
      </c>
      <c r="N112" s="353">
        <v>0</v>
      </c>
      <c r="O112" s="354">
        <v>4.4470000000000001</v>
      </c>
      <c r="P112" s="355">
        <f t="shared" si="15"/>
        <v>0.21828980255088257</v>
      </c>
      <c r="Q112" s="360">
        <f t="shared" si="10"/>
        <v>29.831289802550877</v>
      </c>
      <c r="R112" s="299"/>
      <c r="S112" s="299"/>
      <c r="T112" s="299"/>
      <c r="U112" s="299"/>
      <c r="V112" s="299"/>
      <c r="W112" s="299">
        <f t="shared" si="11"/>
        <v>29.831289802550877</v>
      </c>
      <c r="X112" s="287">
        <v>44.606999999999999</v>
      </c>
      <c r="Y112" s="344">
        <v>19960166.600000001</v>
      </c>
      <c r="Z112" s="344">
        <v>9011464.1337480024</v>
      </c>
      <c r="AB112" s="261">
        <f>+D112-'Data FY23-24 Final'!D112</f>
        <v>-12128277</v>
      </c>
      <c r="AC112" s="261">
        <f>+E112-'Data FY23-24 Final'!E112</f>
        <v>0</v>
      </c>
      <c r="AD112" s="261">
        <f>+F112-'Data FY23-24 Final'!F112</f>
        <v>-12128277</v>
      </c>
      <c r="AE112" s="261">
        <f>+G112-'Data FY23-24 Final'!G112</f>
        <v>20097.380000000005</v>
      </c>
      <c r="AF112" s="288">
        <f>+H112-'Data FY23-24 Final'!H112</f>
        <v>0</v>
      </c>
      <c r="AG112" s="288">
        <f>+I112-'Data FY23-24 Final'!I112</f>
        <v>-0.99999999999999822</v>
      </c>
      <c r="AH112" s="288">
        <f>+J112-'Data FY23-24 Final'!J112</f>
        <v>1</v>
      </c>
      <c r="AI112" s="288">
        <f>+K112-'Data FY23-24 Final'!K112</f>
        <v>0</v>
      </c>
      <c r="AJ112" s="288">
        <f>+L112-'Data FY23-24 Final'!L112</f>
        <v>0</v>
      </c>
      <c r="AK112" s="288">
        <f>+M112-'Data FY23-24 Final'!M112</f>
        <v>-2.5000000000000022E-2</v>
      </c>
      <c r="AL112" s="288">
        <f>+N112-'Data FY23-24 Final'!N112</f>
        <v>0</v>
      </c>
      <c r="AM112" s="288">
        <f>+O112-'Data FY23-24 Final'!O112</f>
        <v>-0.16800000000000015</v>
      </c>
      <c r="AN112" s="288">
        <f>+P112-'Data FY23-24 Final'!P112</f>
        <v>5.5289802550882561E-2</v>
      </c>
      <c r="AO112" s="288">
        <f>+Q112-'Data FY23-24 Final'!Q112</f>
        <v>0.86228980255087606</v>
      </c>
      <c r="AP112" s="288">
        <f>+R112-'Data FY23-24 Final'!R112</f>
        <v>-6.5270000000000001</v>
      </c>
      <c r="AQ112" s="288">
        <f>+S112-'Data FY23-24 Final'!S112</f>
        <v>0</v>
      </c>
      <c r="AR112" s="288">
        <f>+T112-'Data FY23-24 Final'!T112</f>
        <v>0</v>
      </c>
      <c r="AS112" s="288">
        <f>+U112-'Data FY23-24 Final'!U112</f>
        <v>0</v>
      </c>
      <c r="AT112" s="288">
        <f>+V112-'Data FY23-24 Final'!V112</f>
        <v>0</v>
      </c>
      <c r="AU112" s="288">
        <f>+W112-'Data FY23-24 Final'!W112</f>
        <v>-5.664710197449125</v>
      </c>
      <c r="AV112" s="288">
        <f>+X112-'Data FY23-24 Final'!X112</f>
        <v>0</v>
      </c>
      <c r="AW112" s="261">
        <f>+Y112-'Data FY23-24 Final'!Y112</f>
        <v>322689.73000000045</v>
      </c>
      <c r="AX112" s="261">
        <f>+Z112-'Data FY23-24 Final'!Z112</f>
        <v>1119.0293279998004</v>
      </c>
    </row>
    <row r="113" spans="1:50" s="256" customFormat="1" ht="13" x14ac:dyDescent="0.3">
      <c r="A113" s="289" t="s">
        <v>328</v>
      </c>
      <c r="B113" s="289" t="s">
        <v>329</v>
      </c>
      <c r="C113" s="297" t="s">
        <v>329</v>
      </c>
      <c r="D113" s="378">
        <v>527514110</v>
      </c>
      <c r="E113" s="378">
        <v>0</v>
      </c>
      <c r="F113" s="378">
        <v>527514110</v>
      </c>
      <c r="G113" s="379">
        <v>1617.21</v>
      </c>
      <c r="H113" s="347">
        <v>27</v>
      </c>
      <c r="I113" s="347">
        <v>4.1549999999999976</v>
      </c>
      <c r="J113" s="353">
        <f t="shared" si="14"/>
        <v>22.845000000000002</v>
      </c>
      <c r="K113" s="287">
        <v>0</v>
      </c>
      <c r="L113" s="300">
        <v>0</v>
      </c>
      <c r="M113" s="287">
        <v>0</v>
      </c>
      <c r="N113" s="353">
        <v>0</v>
      </c>
      <c r="O113" s="354">
        <v>0</v>
      </c>
      <c r="P113" s="355">
        <f t="shared" si="15"/>
        <v>3.0657189435179281E-3</v>
      </c>
      <c r="Q113" s="360">
        <f t="shared" si="10"/>
        <v>22.84806571894352</v>
      </c>
      <c r="R113" s="299"/>
      <c r="S113" s="299"/>
      <c r="T113" s="299"/>
      <c r="U113" s="299"/>
      <c r="V113" s="299"/>
      <c r="W113" s="299">
        <f t="shared" si="11"/>
        <v>22.84806571894352</v>
      </c>
      <c r="X113" s="287">
        <v>40.495000000000005</v>
      </c>
      <c r="Y113" s="344">
        <v>26467359.57</v>
      </c>
      <c r="Z113" s="344">
        <v>11589244.752</v>
      </c>
      <c r="AB113" s="261">
        <f>+D113-'Data FY23-24 Final'!D113</f>
        <v>-76705010</v>
      </c>
      <c r="AC113" s="261">
        <f>+E113-'Data FY23-24 Final'!E113</f>
        <v>0</v>
      </c>
      <c r="AD113" s="261">
        <f>+F113-'Data FY23-24 Final'!F113</f>
        <v>-76705010</v>
      </c>
      <c r="AE113" s="261">
        <f>+G113-'Data FY23-24 Final'!G113</f>
        <v>1617.21</v>
      </c>
      <c r="AF113" s="288">
        <f>+H113-'Data FY23-24 Final'!H113</f>
        <v>0</v>
      </c>
      <c r="AG113" s="288">
        <f>+I113-'Data FY23-24 Final'!I113</f>
        <v>-1.0000000000000027</v>
      </c>
      <c r="AH113" s="288">
        <f>+J113-'Data FY23-24 Final'!J113</f>
        <v>1.0000000000000036</v>
      </c>
      <c r="AI113" s="288">
        <f>+K113-'Data FY23-24 Final'!K113</f>
        <v>0</v>
      </c>
      <c r="AJ113" s="288">
        <f>+L113-'Data FY23-24 Final'!L113</f>
        <v>0</v>
      </c>
      <c r="AK113" s="288">
        <f>+M113-'Data FY23-24 Final'!M113</f>
        <v>0</v>
      </c>
      <c r="AL113" s="288">
        <f>+N113-'Data FY23-24 Final'!N113</f>
        <v>0</v>
      </c>
      <c r="AM113" s="288">
        <f>+O113-'Data FY23-24 Final'!O113</f>
        <v>0</v>
      </c>
      <c r="AN113" s="288">
        <f>+P113-'Data FY23-24 Final'!P113</f>
        <v>3.0657189435179281E-3</v>
      </c>
      <c r="AO113" s="288">
        <f>+Q113-'Data FY23-24 Final'!Q113</f>
        <v>1.003065718943521</v>
      </c>
      <c r="AP113" s="288">
        <f>+R113-'Data FY23-24 Final'!R113</f>
        <v>-2.359</v>
      </c>
      <c r="AQ113" s="288">
        <f>+S113-'Data FY23-24 Final'!S113</f>
        <v>0</v>
      </c>
      <c r="AR113" s="288">
        <f>+T113-'Data FY23-24 Final'!T113</f>
        <v>0</v>
      </c>
      <c r="AS113" s="288">
        <f>+U113-'Data FY23-24 Final'!U113</f>
        <v>0</v>
      </c>
      <c r="AT113" s="288">
        <f>+V113-'Data FY23-24 Final'!V113</f>
        <v>0</v>
      </c>
      <c r="AU113" s="288">
        <f>+W113-'Data FY23-24 Final'!W113</f>
        <v>-1.3559342810564807</v>
      </c>
      <c r="AV113" s="288">
        <f>+X113-'Data FY23-24 Final'!X113</f>
        <v>0</v>
      </c>
      <c r="AW113" s="261">
        <f>+Y113-'Data FY23-24 Final'!Y113</f>
        <v>955966.51999999955</v>
      </c>
      <c r="AX113" s="261">
        <f>+Z113-'Data FY23-24 Final'!Z113</f>
        <v>379304.59840000048</v>
      </c>
    </row>
    <row r="114" spans="1:50" s="256" customFormat="1" ht="13" x14ac:dyDescent="0.3">
      <c r="A114" s="289" t="s">
        <v>330</v>
      </c>
      <c r="B114" s="289" t="s">
        <v>329</v>
      </c>
      <c r="C114" s="297" t="s">
        <v>178</v>
      </c>
      <c r="D114" s="378">
        <v>63585660</v>
      </c>
      <c r="E114" s="378">
        <v>0</v>
      </c>
      <c r="F114" s="378">
        <v>63585660</v>
      </c>
      <c r="G114" s="379">
        <v>7363.44</v>
      </c>
      <c r="H114" s="347">
        <v>27</v>
      </c>
      <c r="I114" s="347">
        <v>2.1169999999999973</v>
      </c>
      <c r="J114" s="353">
        <f t="shared" si="14"/>
        <v>24.883000000000003</v>
      </c>
      <c r="K114" s="287">
        <v>0</v>
      </c>
      <c r="L114" s="300">
        <v>0</v>
      </c>
      <c r="M114" s="287">
        <v>0</v>
      </c>
      <c r="N114" s="353">
        <v>0</v>
      </c>
      <c r="O114" s="354">
        <v>5.774</v>
      </c>
      <c r="P114" s="355">
        <f t="shared" si="15"/>
        <v>0.11580346889534526</v>
      </c>
      <c r="Q114" s="360">
        <f t="shared" si="10"/>
        <v>30.772803468895347</v>
      </c>
      <c r="R114" s="299"/>
      <c r="S114" s="299"/>
      <c r="T114" s="299"/>
      <c r="U114" s="299"/>
      <c r="V114" s="299"/>
      <c r="W114" s="299">
        <f t="shared" si="11"/>
        <v>30.772803468895347</v>
      </c>
      <c r="X114" s="287">
        <v>106.806</v>
      </c>
      <c r="Y114" s="344">
        <v>7389477.3099999996</v>
      </c>
      <c r="Z114" s="344">
        <v>5601219.4920599991</v>
      </c>
      <c r="AB114" s="261">
        <f>+D114-'Data FY23-24 Final'!D114</f>
        <v>1568420</v>
      </c>
      <c r="AC114" s="261">
        <f>+E114-'Data FY23-24 Final'!E114</f>
        <v>0</v>
      </c>
      <c r="AD114" s="261">
        <f>+F114-'Data FY23-24 Final'!F114</f>
        <v>1568420</v>
      </c>
      <c r="AE114" s="261">
        <f>+G114-'Data FY23-24 Final'!G114</f>
        <v>7363.44</v>
      </c>
      <c r="AF114" s="288">
        <f>+H114-'Data FY23-24 Final'!H114</f>
        <v>0</v>
      </c>
      <c r="AG114" s="288">
        <f>+I114-'Data FY23-24 Final'!I114</f>
        <v>-1.0000000000000027</v>
      </c>
      <c r="AH114" s="288">
        <f>+J114-'Data FY23-24 Final'!J114</f>
        <v>1.0000000000000036</v>
      </c>
      <c r="AI114" s="288">
        <f>+K114-'Data FY23-24 Final'!K114</f>
        <v>0</v>
      </c>
      <c r="AJ114" s="288">
        <f>+L114-'Data FY23-24 Final'!L114</f>
        <v>0</v>
      </c>
      <c r="AK114" s="288">
        <f>+M114-'Data FY23-24 Final'!M114</f>
        <v>0</v>
      </c>
      <c r="AL114" s="288">
        <f>+N114-'Data FY23-24 Final'!N114</f>
        <v>0</v>
      </c>
      <c r="AM114" s="288">
        <f>+O114-'Data FY23-24 Final'!O114</f>
        <v>-0.51499999999999968</v>
      </c>
      <c r="AN114" s="288">
        <f>+P114-'Data FY23-24 Final'!P114</f>
        <v>0.11580346889534526</v>
      </c>
      <c r="AO114" s="288">
        <f>+Q114-'Data FY23-24 Final'!Q114</f>
        <v>0.60080346889534653</v>
      </c>
      <c r="AP114" s="288">
        <f>+R114-'Data FY23-24 Final'!R114</f>
        <v>-3.7890000000000001</v>
      </c>
      <c r="AQ114" s="288">
        <f>+S114-'Data FY23-24 Final'!S114</f>
        <v>0</v>
      </c>
      <c r="AR114" s="288">
        <f>+T114-'Data FY23-24 Final'!T114</f>
        <v>0</v>
      </c>
      <c r="AS114" s="288">
        <f>+U114-'Data FY23-24 Final'!U114</f>
        <v>0</v>
      </c>
      <c r="AT114" s="288">
        <f>+V114-'Data FY23-24 Final'!V114</f>
        <v>0</v>
      </c>
      <c r="AU114" s="288">
        <f>+W114-'Data FY23-24 Final'!W114</f>
        <v>-3.1881965311046514</v>
      </c>
      <c r="AV114" s="288">
        <f>+X114-'Data FY23-24 Final'!X114</f>
        <v>0</v>
      </c>
      <c r="AW114" s="261">
        <f>+Y114-'Data FY23-24 Final'!Y114</f>
        <v>53481.099999999627</v>
      </c>
      <c r="AX114" s="261">
        <f>+Z114-'Data FY23-24 Final'!Z114</f>
        <v>-93522.365020000376</v>
      </c>
    </row>
    <row r="115" spans="1:50" s="256" customFormat="1" ht="13" x14ac:dyDescent="0.3">
      <c r="A115" s="289" t="s">
        <v>331</v>
      </c>
      <c r="B115" s="289" t="s">
        <v>329</v>
      </c>
      <c r="C115" s="297" t="s">
        <v>332</v>
      </c>
      <c r="D115" s="378">
        <v>56105060</v>
      </c>
      <c r="E115" s="378">
        <v>0</v>
      </c>
      <c r="F115" s="378">
        <v>56105060</v>
      </c>
      <c r="G115" s="379">
        <v>2959.85</v>
      </c>
      <c r="H115" s="347">
        <v>27</v>
      </c>
      <c r="I115" s="347">
        <v>7.3419999999999987</v>
      </c>
      <c r="J115" s="353">
        <f t="shared" si="14"/>
        <v>19.658000000000001</v>
      </c>
      <c r="K115" s="287">
        <v>0</v>
      </c>
      <c r="L115" s="300">
        <v>0</v>
      </c>
      <c r="M115" s="287">
        <v>0</v>
      </c>
      <c r="N115" s="353">
        <v>0</v>
      </c>
      <c r="O115" s="354">
        <v>5.6210000000000004</v>
      </c>
      <c r="P115" s="355">
        <f t="shared" si="15"/>
        <v>5.2755491215943799E-2</v>
      </c>
      <c r="Q115" s="360">
        <f t="shared" si="10"/>
        <v>25.331755491215947</v>
      </c>
      <c r="R115" s="299"/>
      <c r="S115" s="299"/>
      <c r="T115" s="299"/>
      <c r="U115" s="299"/>
      <c r="V115" s="299"/>
      <c r="W115" s="299">
        <f t="shared" si="11"/>
        <v>25.331755491215947</v>
      </c>
      <c r="X115" s="287">
        <v>93.137</v>
      </c>
      <c r="Y115" s="344">
        <v>5610247.3899999997</v>
      </c>
      <c r="Z115" s="344">
        <v>4422721.8400599994</v>
      </c>
      <c r="AB115" s="261">
        <f>+D115-'Data FY23-24 Final'!D115</f>
        <v>1310310</v>
      </c>
      <c r="AC115" s="261">
        <f>+E115-'Data FY23-24 Final'!E115</f>
        <v>0</v>
      </c>
      <c r="AD115" s="261">
        <f>+F115-'Data FY23-24 Final'!F115</f>
        <v>1310310</v>
      </c>
      <c r="AE115" s="261">
        <f>+G115-'Data FY23-24 Final'!G115</f>
        <v>2959.85</v>
      </c>
      <c r="AF115" s="288">
        <f>+H115-'Data FY23-24 Final'!H115</f>
        <v>0</v>
      </c>
      <c r="AG115" s="288">
        <f>+I115-'Data FY23-24 Final'!I115</f>
        <v>-1.0000000000000018</v>
      </c>
      <c r="AH115" s="288">
        <f>+J115-'Data FY23-24 Final'!J115</f>
        <v>1</v>
      </c>
      <c r="AI115" s="288">
        <f>+K115-'Data FY23-24 Final'!K115</f>
        <v>0</v>
      </c>
      <c r="AJ115" s="288">
        <f>+L115-'Data FY23-24 Final'!L115</f>
        <v>0</v>
      </c>
      <c r="AK115" s="288">
        <f>+M115-'Data FY23-24 Final'!M115</f>
        <v>0</v>
      </c>
      <c r="AL115" s="288">
        <f>+N115-'Data FY23-24 Final'!N115</f>
        <v>0</v>
      </c>
      <c r="AM115" s="288">
        <f>+O115-'Data FY23-24 Final'!O115</f>
        <v>4.5660000000000007</v>
      </c>
      <c r="AN115" s="288">
        <f>+P115-'Data FY23-24 Final'!P115</f>
        <v>5.2755491215943799E-2</v>
      </c>
      <c r="AO115" s="288">
        <f>+Q115-'Data FY23-24 Final'!Q115</f>
        <v>5.6187554912159463</v>
      </c>
      <c r="AP115" s="288">
        <f>+R115-'Data FY23-24 Final'!R115</f>
        <v>-6.8440000000000003</v>
      </c>
      <c r="AQ115" s="288">
        <f>+S115-'Data FY23-24 Final'!S115</f>
        <v>0</v>
      </c>
      <c r="AR115" s="288">
        <f>+T115-'Data FY23-24 Final'!T115</f>
        <v>0</v>
      </c>
      <c r="AS115" s="288">
        <f>+U115-'Data FY23-24 Final'!U115</f>
        <v>0</v>
      </c>
      <c r="AT115" s="288">
        <f>+V115-'Data FY23-24 Final'!V115</f>
        <v>0</v>
      </c>
      <c r="AU115" s="288">
        <f>+W115-'Data FY23-24 Final'!W115</f>
        <v>-1.2252445087840513</v>
      </c>
      <c r="AV115" s="288">
        <f>+X115-'Data FY23-24 Final'!X115</f>
        <v>0</v>
      </c>
      <c r="AW115" s="261">
        <f>+Y115-'Data FY23-24 Final'!Y115</f>
        <v>-121956.66999999993</v>
      </c>
      <c r="AX115" s="261">
        <f>+Z115-'Data FY23-24 Final'!Z115</f>
        <v>-204037.13444000017</v>
      </c>
    </row>
    <row r="116" spans="1:50" s="256" customFormat="1" ht="13" x14ac:dyDescent="0.3">
      <c r="A116" s="289" t="s">
        <v>333</v>
      </c>
      <c r="B116" s="289" t="s">
        <v>334</v>
      </c>
      <c r="C116" s="297" t="s">
        <v>334</v>
      </c>
      <c r="D116" s="378">
        <v>852408540</v>
      </c>
      <c r="E116" s="378">
        <v>15152372</v>
      </c>
      <c r="F116" s="378">
        <v>837256168</v>
      </c>
      <c r="G116" s="379">
        <v>65683.97</v>
      </c>
      <c r="H116" s="347">
        <v>27</v>
      </c>
      <c r="I116" s="347">
        <v>1.0330000000000013</v>
      </c>
      <c r="J116" s="353">
        <f t="shared" si="14"/>
        <v>25.966999999999999</v>
      </c>
      <c r="K116" s="287">
        <v>0</v>
      </c>
      <c r="L116" s="300">
        <v>0</v>
      </c>
      <c r="M116" s="287">
        <v>0</v>
      </c>
      <c r="N116" s="353">
        <v>0</v>
      </c>
      <c r="O116" s="354">
        <v>0</v>
      </c>
      <c r="P116" s="355">
        <f t="shared" si="15"/>
        <v>7.8451461464778355E-2</v>
      </c>
      <c r="Q116" s="360">
        <f t="shared" si="10"/>
        <v>26.045451461464776</v>
      </c>
      <c r="R116" s="299"/>
      <c r="S116" s="299"/>
      <c r="T116" s="299"/>
      <c r="U116" s="299"/>
      <c r="V116" s="299"/>
      <c r="W116" s="299">
        <f t="shared" si="11"/>
        <v>26.045451461464776</v>
      </c>
      <c r="X116" s="287">
        <v>68.953000000000003</v>
      </c>
      <c r="Y116" s="344">
        <v>61400646.770000003</v>
      </c>
      <c r="Z116" s="344">
        <v>37763522.951636001</v>
      </c>
      <c r="AB116" s="261">
        <f>+D116-'Data FY23-24 Final'!D116</f>
        <v>30241420</v>
      </c>
      <c r="AC116" s="261">
        <f>+E116-'Data FY23-24 Final'!E116</f>
        <v>3920892</v>
      </c>
      <c r="AD116" s="261">
        <f>+F116-'Data FY23-24 Final'!F116</f>
        <v>26320528</v>
      </c>
      <c r="AE116" s="261">
        <f>+G116-'Data FY23-24 Final'!G116</f>
        <v>47910.62</v>
      </c>
      <c r="AF116" s="288">
        <f>+H116-'Data FY23-24 Final'!H116</f>
        <v>0</v>
      </c>
      <c r="AG116" s="288">
        <f>+I116-'Data FY23-24 Final'!I116</f>
        <v>-0.99999999999999867</v>
      </c>
      <c r="AH116" s="288">
        <f>+J116-'Data FY23-24 Final'!J116</f>
        <v>1</v>
      </c>
      <c r="AI116" s="288">
        <f>+K116-'Data FY23-24 Final'!K116</f>
        <v>0</v>
      </c>
      <c r="AJ116" s="288">
        <f>+L116-'Data FY23-24 Final'!L116</f>
        <v>0</v>
      </c>
      <c r="AK116" s="288">
        <f>+M116-'Data FY23-24 Final'!M116</f>
        <v>0</v>
      </c>
      <c r="AL116" s="288">
        <f>+N116-'Data FY23-24 Final'!N116</f>
        <v>0</v>
      </c>
      <c r="AM116" s="288">
        <f>+O116-'Data FY23-24 Final'!O116</f>
        <v>0</v>
      </c>
      <c r="AN116" s="288">
        <f>+P116-'Data FY23-24 Final'!P116</f>
        <v>5.6451461464778356E-2</v>
      </c>
      <c r="AO116" s="288">
        <f>+Q116-'Data FY23-24 Final'!Q116</f>
        <v>1.0564514614647749</v>
      </c>
      <c r="AP116" s="288">
        <f>+R116-'Data FY23-24 Final'!R116</f>
        <v>-2.4159999999999999</v>
      </c>
      <c r="AQ116" s="288">
        <f>+S116-'Data FY23-24 Final'!S116</f>
        <v>0</v>
      </c>
      <c r="AR116" s="288">
        <f>+T116-'Data FY23-24 Final'!T116</f>
        <v>0</v>
      </c>
      <c r="AS116" s="288">
        <f>+U116-'Data FY23-24 Final'!U116</f>
        <v>0</v>
      </c>
      <c r="AT116" s="288">
        <f>+V116-'Data FY23-24 Final'!V116</f>
        <v>0</v>
      </c>
      <c r="AU116" s="288">
        <f>+W116-'Data FY23-24 Final'!W116</f>
        <v>-1.3595485385352255</v>
      </c>
      <c r="AV116" s="288">
        <f>+X116-'Data FY23-24 Final'!X116</f>
        <v>0</v>
      </c>
      <c r="AW116" s="261">
        <f>+Y116-'Data FY23-24 Final'!Y116</f>
        <v>489057.8900000006</v>
      </c>
      <c r="AX116" s="261">
        <f>+Z116-'Data FY23-24 Final'!Z116</f>
        <v>-620300.40448400378</v>
      </c>
    </row>
    <row r="117" spans="1:50" s="256" customFormat="1" ht="13" x14ac:dyDescent="0.3">
      <c r="A117" s="289" t="s">
        <v>335</v>
      </c>
      <c r="B117" s="289" t="s">
        <v>334</v>
      </c>
      <c r="C117" s="297" t="s">
        <v>336</v>
      </c>
      <c r="D117" s="378">
        <v>24945150</v>
      </c>
      <c r="E117" s="378">
        <v>0</v>
      </c>
      <c r="F117" s="378">
        <v>24945150</v>
      </c>
      <c r="G117" s="379">
        <v>2408.89</v>
      </c>
      <c r="H117" s="347">
        <v>27</v>
      </c>
      <c r="I117" s="347">
        <v>3.1009999999999991</v>
      </c>
      <c r="J117" s="353">
        <f t="shared" si="14"/>
        <v>23.899000000000001</v>
      </c>
      <c r="K117" s="287">
        <v>0</v>
      </c>
      <c r="L117" s="300">
        <v>0</v>
      </c>
      <c r="M117" s="287">
        <v>0</v>
      </c>
      <c r="N117" s="353">
        <v>0</v>
      </c>
      <c r="O117" s="354">
        <v>9.2619999999999987</v>
      </c>
      <c r="P117" s="355">
        <f t="shared" si="15"/>
        <v>9.6567469027045341E-2</v>
      </c>
      <c r="Q117" s="360">
        <f t="shared" si="10"/>
        <v>33.257567469027045</v>
      </c>
      <c r="R117" s="299"/>
      <c r="S117" s="299"/>
      <c r="T117" s="299"/>
      <c r="U117" s="299"/>
      <c r="V117" s="299"/>
      <c r="W117" s="299">
        <f t="shared" si="11"/>
        <v>33.257567469027045</v>
      </c>
      <c r="X117" s="287">
        <v>153.51899999999998</v>
      </c>
      <c r="Y117" s="344">
        <v>4196156.5199999996</v>
      </c>
      <c r="Z117" s="344">
        <v>3497649.5819889996</v>
      </c>
      <c r="AB117" s="261">
        <f>+D117-'Data FY23-24 Final'!D117</f>
        <v>373610</v>
      </c>
      <c r="AC117" s="261">
        <f>+E117-'Data FY23-24 Final'!E117</f>
        <v>0</v>
      </c>
      <c r="AD117" s="261">
        <f>+F117-'Data FY23-24 Final'!F117</f>
        <v>373610</v>
      </c>
      <c r="AE117" s="261">
        <f>+G117-'Data FY23-24 Final'!G117</f>
        <v>234.88999999999987</v>
      </c>
      <c r="AF117" s="288">
        <f>+H117-'Data FY23-24 Final'!H117</f>
        <v>0</v>
      </c>
      <c r="AG117" s="288">
        <f>+I117-'Data FY23-24 Final'!I117</f>
        <v>-1.0000000000000009</v>
      </c>
      <c r="AH117" s="288">
        <f>+J117-'Data FY23-24 Final'!J117</f>
        <v>1</v>
      </c>
      <c r="AI117" s="288">
        <f>+K117-'Data FY23-24 Final'!K117</f>
        <v>0</v>
      </c>
      <c r="AJ117" s="288">
        <f>+L117-'Data FY23-24 Final'!L117</f>
        <v>0</v>
      </c>
      <c r="AK117" s="288">
        <f>+M117-'Data FY23-24 Final'!M117</f>
        <v>0</v>
      </c>
      <c r="AL117" s="288">
        <f>+N117-'Data FY23-24 Final'!N117</f>
        <v>0</v>
      </c>
      <c r="AM117" s="288">
        <f>+O117-'Data FY23-24 Final'!O117</f>
        <v>-0.83100000000000129</v>
      </c>
      <c r="AN117" s="288">
        <f>+P117-'Data FY23-24 Final'!P117</f>
        <v>8.5674690270453463E-3</v>
      </c>
      <c r="AO117" s="288">
        <f>+Q117-'Data FY23-24 Final'!Q117</f>
        <v>0.17756746902704634</v>
      </c>
      <c r="AP117" s="288">
        <f>+R117-'Data FY23-24 Final'!R117</f>
        <v>-3.6629999999999998</v>
      </c>
      <c r="AQ117" s="288">
        <f>+S117-'Data FY23-24 Final'!S117</f>
        <v>0</v>
      </c>
      <c r="AR117" s="288">
        <f>+T117-'Data FY23-24 Final'!T117</f>
        <v>0</v>
      </c>
      <c r="AS117" s="288">
        <f>+U117-'Data FY23-24 Final'!U117</f>
        <v>0</v>
      </c>
      <c r="AT117" s="288">
        <f>+V117-'Data FY23-24 Final'!V117</f>
        <v>0</v>
      </c>
      <c r="AU117" s="288">
        <f>+W117-'Data FY23-24 Final'!W117</f>
        <v>-3.4854325309729575</v>
      </c>
      <c r="AV117" s="288">
        <f>+X117-'Data FY23-24 Final'!X117</f>
        <v>0</v>
      </c>
      <c r="AW117" s="261">
        <f>+Y117-'Data FY23-24 Final'!Y117</f>
        <v>232943.49999999953</v>
      </c>
      <c r="AX117" s="261">
        <f>+Z117-'Data FY23-24 Final'!Z117</f>
        <v>170425.31644899957</v>
      </c>
    </row>
    <row r="118" spans="1:50" s="256" customFormat="1" x14ac:dyDescent="0.25">
      <c r="A118" s="289" t="s">
        <v>337</v>
      </c>
      <c r="B118" s="289" t="s">
        <v>338</v>
      </c>
      <c r="C118" s="297" t="s">
        <v>339</v>
      </c>
      <c r="D118" s="344">
        <v>268486258</v>
      </c>
      <c r="E118" s="344">
        <v>0</v>
      </c>
      <c r="F118" s="344">
        <f t="shared" si="12"/>
        <v>268486258</v>
      </c>
      <c r="G118" s="343">
        <v>14085.04</v>
      </c>
      <c r="H118" s="347">
        <v>27</v>
      </c>
      <c r="I118" s="347">
        <v>0</v>
      </c>
      <c r="J118" s="353">
        <f t="shared" si="14"/>
        <v>27</v>
      </c>
      <c r="K118" s="287">
        <v>0</v>
      </c>
      <c r="L118" s="300">
        <v>0</v>
      </c>
      <c r="M118" s="287">
        <v>0</v>
      </c>
      <c r="N118" s="353">
        <v>0</v>
      </c>
      <c r="O118" s="354">
        <v>1.49</v>
      </c>
      <c r="P118" s="355">
        <f t="shared" si="15"/>
        <v>5.246093451829479E-2</v>
      </c>
      <c r="Q118" s="360">
        <f t="shared" si="10"/>
        <v>28.542460934518292</v>
      </c>
      <c r="R118" s="299"/>
      <c r="S118" s="299"/>
      <c r="T118" s="299"/>
      <c r="U118" s="299"/>
      <c r="V118" s="299"/>
      <c r="W118" s="299">
        <f t="shared" si="11"/>
        <v>28.542460934518292</v>
      </c>
      <c r="X118" s="287">
        <v>52.987000000000002</v>
      </c>
      <c r="Y118" s="344">
        <v>14838689.050000001</v>
      </c>
      <c r="Z118" s="344">
        <v>6977024.3885000004</v>
      </c>
      <c r="AB118" s="261">
        <f>+D118-'Data FY23-24 Final'!D118</f>
        <v>7423887</v>
      </c>
      <c r="AC118" s="261">
        <f>+E118-'Data FY23-24 Final'!E118</f>
        <v>0</v>
      </c>
      <c r="AD118" s="261">
        <f>+F118-'Data FY23-24 Final'!F118</f>
        <v>7423887</v>
      </c>
      <c r="AE118" s="261">
        <f>+G118-'Data FY23-24 Final'!G118</f>
        <v>14085.04</v>
      </c>
      <c r="AF118" s="288">
        <f>+H118-'Data FY23-24 Final'!H118</f>
        <v>0</v>
      </c>
      <c r="AG118" s="288">
        <f>+I118-'Data FY23-24 Final'!I118</f>
        <v>0</v>
      </c>
      <c r="AH118" s="288">
        <f>+J118-'Data FY23-24 Final'!J118</f>
        <v>0</v>
      </c>
      <c r="AI118" s="288">
        <f>+K118-'Data FY23-24 Final'!K118</f>
        <v>0</v>
      </c>
      <c r="AJ118" s="288">
        <f>+L118-'Data FY23-24 Final'!L118</f>
        <v>0</v>
      </c>
      <c r="AK118" s="288">
        <f>+M118-'Data FY23-24 Final'!M118</f>
        <v>0</v>
      </c>
      <c r="AL118" s="288">
        <f>+N118-'Data FY23-24 Final'!N118</f>
        <v>0</v>
      </c>
      <c r="AM118" s="288">
        <f>+O118-'Data FY23-24 Final'!O118</f>
        <v>-7.7029999999999994</v>
      </c>
      <c r="AN118" s="288">
        <f>+P118-'Data FY23-24 Final'!P118</f>
        <v>5.246093451829479E-2</v>
      </c>
      <c r="AO118" s="288">
        <f>+Q118-'Data FY23-24 Final'!Q118</f>
        <v>-7.6505390654817056</v>
      </c>
      <c r="AP118" s="288">
        <f>+R118-'Data FY23-24 Final'!R118</f>
        <v>-12.747</v>
      </c>
      <c r="AQ118" s="288">
        <f>+S118-'Data FY23-24 Final'!S118</f>
        <v>0</v>
      </c>
      <c r="AR118" s="288">
        <f>+T118-'Data FY23-24 Final'!T118</f>
        <v>0</v>
      </c>
      <c r="AS118" s="288">
        <f>+U118-'Data FY23-24 Final'!U118</f>
        <v>0</v>
      </c>
      <c r="AT118" s="288">
        <f>+V118-'Data FY23-24 Final'!V118</f>
        <v>0</v>
      </c>
      <c r="AU118" s="288">
        <f>+W118-'Data FY23-24 Final'!W118</f>
        <v>-20.397539065481705</v>
      </c>
      <c r="AV118" s="288">
        <f>+X118-'Data FY23-24 Final'!X118</f>
        <v>0</v>
      </c>
      <c r="AW118" s="261">
        <f>+Y118-'Data FY23-24 Final'!Y118</f>
        <v>258925.66999999993</v>
      </c>
      <c r="AX118" s="261">
        <f>+Z118-'Data FY23-24 Final'!Z118</f>
        <v>38286.115499999374</v>
      </c>
    </row>
    <row r="119" spans="1:50" s="256" customFormat="1" x14ac:dyDescent="0.25">
      <c r="A119" s="289" t="s">
        <v>340</v>
      </c>
      <c r="B119" s="289" t="s">
        <v>338</v>
      </c>
      <c r="C119" s="297" t="s">
        <v>341</v>
      </c>
      <c r="D119" s="344">
        <v>362715100</v>
      </c>
      <c r="E119" s="344">
        <v>0</v>
      </c>
      <c r="F119" s="344">
        <f t="shared" si="12"/>
        <v>362715100</v>
      </c>
      <c r="G119" s="343">
        <v>77370.19</v>
      </c>
      <c r="H119" s="347">
        <v>27</v>
      </c>
      <c r="I119" s="347">
        <v>0</v>
      </c>
      <c r="J119" s="353">
        <f t="shared" si="14"/>
        <v>27</v>
      </c>
      <c r="K119" s="287">
        <v>0</v>
      </c>
      <c r="L119" s="300">
        <v>0</v>
      </c>
      <c r="M119" s="287">
        <v>0</v>
      </c>
      <c r="N119" s="353">
        <v>0</v>
      </c>
      <c r="O119" s="354">
        <v>1.516</v>
      </c>
      <c r="P119" s="355">
        <f t="shared" si="15"/>
        <v>0.21330843408504363</v>
      </c>
      <c r="Q119" s="360">
        <f t="shared" si="10"/>
        <v>28.729308434085041</v>
      </c>
      <c r="R119" s="299"/>
      <c r="S119" s="299"/>
      <c r="T119" s="299"/>
      <c r="U119" s="299"/>
      <c r="V119" s="299"/>
      <c r="W119" s="299">
        <f t="shared" si="11"/>
        <v>28.729308434085041</v>
      </c>
      <c r="X119" s="287">
        <v>94.37700000000001</v>
      </c>
      <c r="Y119" s="344">
        <v>34948061.130000003</v>
      </c>
      <c r="Z119" s="344">
        <v>24438785.701000005</v>
      </c>
      <c r="AB119" s="261">
        <f>+D119-'Data FY23-24 Final'!D119</f>
        <v>15075910</v>
      </c>
      <c r="AC119" s="261">
        <f>+E119-'Data FY23-24 Final'!E119</f>
        <v>0</v>
      </c>
      <c r="AD119" s="261">
        <f>+F119-'Data FY23-24 Final'!F119</f>
        <v>15075910</v>
      </c>
      <c r="AE119" s="261">
        <f>+G119-'Data FY23-24 Final'!G119</f>
        <v>0.19000000000232831</v>
      </c>
      <c r="AF119" s="288">
        <f>+H119-'Data FY23-24 Final'!H119</f>
        <v>0</v>
      </c>
      <c r="AG119" s="288">
        <f>+I119-'Data FY23-24 Final'!I119</f>
        <v>0</v>
      </c>
      <c r="AH119" s="288">
        <f>+J119-'Data FY23-24 Final'!J119</f>
        <v>0</v>
      </c>
      <c r="AI119" s="288">
        <f>+K119-'Data FY23-24 Final'!K119</f>
        <v>0</v>
      </c>
      <c r="AJ119" s="288">
        <f>+L119-'Data FY23-24 Final'!L119</f>
        <v>0</v>
      </c>
      <c r="AK119" s="288">
        <f>+M119-'Data FY23-24 Final'!M119</f>
        <v>0</v>
      </c>
      <c r="AL119" s="288">
        <f>+N119-'Data FY23-24 Final'!N119</f>
        <v>0</v>
      </c>
      <c r="AM119" s="288">
        <f>+O119-'Data FY23-24 Final'!O119</f>
        <v>-6.4000000000000057E-2</v>
      </c>
      <c r="AN119" s="288">
        <f>+P119-'Data FY23-24 Final'!P119</f>
        <v>-9.6915659149563738E-3</v>
      </c>
      <c r="AO119" s="288">
        <f>+Q119-'Data FY23-24 Final'!Q119</f>
        <v>-7.3691565914959511E-2</v>
      </c>
      <c r="AP119" s="288">
        <f>+R119-'Data FY23-24 Final'!R119</f>
        <v>-8.0890000000000004</v>
      </c>
      <c r="AQ119" s="288">
        <f>+S119-'Data FY23-24 Final'!S119</f>
        <v>0</v>
      </c>
      <c r="AR119" s="288">
        <f>+T119-'Data FY23-24 Final'!T119</f>
        <v>0</v>
      </c>
      <c r="AS119" s="288">
        <f>+U119-'Data FY23-24 Final'!U119</f>
        <v>0</v>
      </c>
      <c r="AT119" s="288">
        <f>+V119-'Data FY23-24 Final'!V119</f>
        <v>0</v>
      </c>
      <c r="AU119" s="288">
        <f>+W119-'Data FY23-24 Final'!W119</f>
        <v>-8.1626915659149617</v>
      </c>
      <c r="AV119" s="288">
        <f>+X119-'Data FY23-24 Final'!X119</f>
        <v>0</v>
      </c>
      <c r="AW119" s="261">
        <f>+Y119-'Data FY23-24 Final'!Y119</f>
        <v>314999.45000000298</v>
      </c>
      <c r="AX119" s="261">
        <f>+Z119-'Data FY23-24 Final'!Z119</f>
        <v>-90458.488999992609</v>
      </c>
    </row>
    <row r="120" spans="1:50" s="256" customFormat="1" x14ac:dyDescent="0.25">
      <c r="A120" s="289" t="s">
        <v>342</v>
      </c>
      <c r="B120" s="289" t="s">
        <v>338</v>
      </c>
      <c r="C120" s="297" t="s">
        <v>343</v>
      </c>
      <c r="D120" s="344">
        <v>33143540</v>
      </c>
      <c r="E120" s="344">
        <v>0</v>
      </c>
      <c r="F120" s="344">
        <f t="shared" si="12"/>
        <v>33143540</v>
      </c>
      <c r="G120" s="343">
        <v>2754.34</v>
      </c>
      <c r="H120" s="347">
        <v>27</v>
      </c>
      <c r="I120" s="347">
        <v>0</v>
      </c>
      <c r="J120" s="353">
        <f t="shared" si="14"/>
        <v>27</v>
      </c>
      <c r="K120" s="287">
        <v>0</v>
      </c>
      <c r="L120" s="300">
        <v>0</v>
      </c>
      <c r="M120" s="287">
        <v>0.28999999999999998</v>
      </c>
      <c r="N120" s="353">
        <v>0</v>
      </c>
      <c r="O120" s="354">
        <v>0</v>
      </c>
      <c r="P120" s="355">
        <f t="shared" si="15"/>
        <v>8.3103373990828983E-2</v>
      </c>
      <c r="Q120" s="360">
        <f t="shared" si="10"/>
        <v>27.37310337399083</v>
      </c>
      <c r="R120" s="299"/>
      <c r="S120" s="299"/>
      <c r="T120" s="299"/>
      <c r="U120" s="299"/>
      <c r="V120" s="299"/>
      <c r="W120" s="299">
        <f t="shared" si="11"/>
        <v>27.37310337399083</v>
      </c>
      <c r="X120" s="287">
        <v>107.947</v>
      </c>
      <c r="Y120" s="344">
        <v>3652046.91</v>
      </c>
      <c r="Z120" s="344">
        <v>2682880.0049999999</v>
      </c>
      <c r="AB120" s="261">
        <f>+D120-'Data FY23-24 Final'!D120</f>
        <v>1450830</v>
      </c>
      <c r="AC120" s="261">
        <f>+E120-'Data FY23-24 Final'!E120</f>
        <v>0</v>
      </c>
      <c r="AD120" s="261">
        <f>+F120-'Data FY23-24 Final'!F120</f>
        <v>1450830</v>
      </c>
      <c r="AE120" s="261">
        <f>+G120-'Data FY23-24 Final'!G120</f>
        <v>0</v>
      </c>
      <c r="AF120" s="288">
        <f>+H120-'Data FY23-24 Final'!H120</f>
        <v>0</v>
      </c>
      <c r="AG120" s="288">
        <f>+I120-'Data FY23-24 Final'!I120</f>
        <v>0</v>
      </c>
      <c r="AH120" s="288">
        <f>+J120-'Data FY23-24 Final'!J120</f>
        <v>0</v>
      </c>
      <c r="AI120" s="288">
        <f>+K120-'Data FY23-24 Final'!K120</f>
        <v>0</v>
      </c>
      <c r="AJ120" s="288">
        <f>+L120-'Data FY23-24 Final'!L120</f>
        <v>0</v>
      </c>
      <c r="AK120" s="288">
        <f>+M120-'Data FY23-24 Final'!M120</f>
        <v>-1.3000000000000012E-2</v>
      </c>
      <c r="AL120" s="288">
        <f>+N120-'Data FY23-24 Final'!N120</f>
        <v>0</v>
      </c>
      <c r="AM120" s="288">
        <f>+O120-'Data FY23-24 Final'!O120</f>
        <v>0</v>
      </c>
      <c r="AN120" s="288">
        <f>+P120-'Data FY23-24 Final'!P120</f>
        <v>-3.8966260091710114E-3</v>
      </c>
      <c r="AO120" s="288">
        <f>+Q120-'Data FY23-24 Final'!Q120</f>
        <v>-1.6896626009170745E-2</v>
      </c>
      <c r="AP120" s="288">
        <f>+R120-'Data FY23-24 Final'!R120</f>
        <v>-13.5</v>
      </c>
      <c r="AQ120" s="288">
        <f>+S120-'Data FY23-24 Final'!S120</f>
        <v>0</v>
      </c>
      <c r="AR120" s="288">
        <f>+T120-'Data FY23-24 Final'!T120</f>
        <v>0</v>
      </c>
      <c r="AS120" s="288">
        <f>+U120-'Data FY23-24 Final'!U120</f>
        <v>0</v>
      </c>
      <c r="AT120" s="288">
        <f>+V120-'Data FY23-24 Final'!V120</f>
        <v>0</v>
      </c>
      <c r="AU120" s="288">
        <f>+W120-'Data FY23-24 Final'!W120</f>
        <v>-13.516896626009171</v>
      </c>
      <c r="AV120" s="288">
        <f>+X120-'Data FY23-24 Final'!X120</f>
        <v>0</v>
      </c>
      <c r="AW120" s="261">
        <f>+Y120-'Data FY23-24 Final'!Y120</f>
        <v>142987.30000000028</v>
      </c>
      <c r="AX120" s="261">
        <f>+Z120-'Data FY23-24 Final'!Z120</f>
        <v>102501.88499999978</v>
      </c>
    </row>
    <row r="121" spans="1:50" s="256" customFormat="1" x14ac:dyDescent="0.25">
      <c r="A121" s="289" t="s">
        <v>344</v>
      </c>
      <c r="B121" s="289" t="s">
        <v>338</v>
      </c>
      <c r="C121" s="297" t="s">
        <v>345</v>
      </c>
      <c r="D121" s="344">
        <v>521035400</v>
      </c>
      <c r="E121" s="344">
        <v>0</v>
      </c>
      <c r="F121" s="344">
        <f t="shared" si="12"/>
        <v>521035400</v>
      </c>
      <c r="G121" s="343">
        <v>5769.75</v>
      </c>
      <c r="H121" s="347">
        <v>24.545000000000002</v>
      </c>
      <c r="I121" s="347">
        <v>0</v>
      </c>
      <c r="J121" s="361">
        <f>+H121-I121-K121-L121</f>
        <v>17.305000000000003</v>
      </c>
      <c r="K121" s="362">
        <v>0.61499999999999999</v>
      </c>
      <c r="L121" s="363">
        <v>6.625</v>
      </c>
      <c r="M121" s="287">
        <v>0</v>
      </c>
      <c r="N121" s="353">
        <v>0</v>
      </c>
      <c r="O121" s="354">
        <v>0</v>
      </c>
      <c r="P121" s="355">
        <f t="shared" si="15"/>
        <v>1.1073623788326091E-2</v>
      </c>
      <c r="Q121" s="360">
        <f t="shared" si="10"/>
        <v>24.556073623788329</v>
      </c>
      <c r="R121" s="299"/>
      <c r="S121" s="299"/>
      <c r="T121" s="299"/>
      <c r="U121" s="299"/>
      <c r="V121" s="299"/>
      <c r="W121" s="299">
        <f t="shared" si="11"/>
        <v>24.556073623788329</v>
      </c>
      <c r="X121" s="287">
        <v>17.305</v>
      </c>
      <c r="Y121" s="344">
        <v>9405775.4199999999</v>
      </c>
      <c r="Z121" s="344">
        <v>318.36748736014124</v>
      </c>
      <c r="AB121" s="261">
        <f>+D121-'Data FY23-24 Final'!D121</f>
        <v>4073440</v>
      </c>
      <c r="AC121" s="261">
        <f>+E121-'Data FY23-24 Final'!E121</f>
        <v>0</v>
      </c>
      <c r="AD121" s="261">
        <f>+F121-'Data FY23-24 Final'!F121</f>
        <v>4073440</v>
      </c>
      <c r="AE121" s="261">
        <f>+G121-'Data FY23-24 Final'!G121</f>
        <v>0</v>
      </c>
      <c r="AF121" s="288">
        <f>+H121-'Data FY23-24 Final'!H121</f>
        <v>0</v>
      </c>
      <c r="AG121" s="288">
        <f>+I121-'Data FY23-24 Final'!I121</f>
        <v>0</v>
      </c>
      <c r="AH121" s="288">
        <f>+J121-'Data FY23-24 Final'!J121</f>
        <v>0.16000000000000369</v>
      </c>
      <c r="AI121" s="288">
        <f>+K121-'Data FY23-24 Final'!K121</f>
        <v>-7.7999999999999958E-2</v>
      </c>
      <c r="AJ121" s="288">
        <f>+L121-'Data FY23-24 Final'!L121</f>
        <v>-8.1999999999999851E-2</v>
      </c>
      <c r="AK121" s="288">
        <f>+M121-'Data FY23-24 Final'!M121</f>
        <v>0</v>
      </c>
      <c r="AL121" s="288">
        <f>+N121-'Data FY23-24 Final'!N121</f>
        <v>0</v>
      </c>
      <c r="AM121" s="288">
        <f>+O121-'Data FY23-24 Final'!O121</f>
        <v>0</v>
      </c>
      <c r="AN121" s="288">
        <f>+P121-'Data FY23-24 Final'!P121</f>
        <v>7.3623788326091996E-5</v>
      </c>
      <c r="AO121" s="288">
        <f>+Q121-'Data FY23-24 Final'!Q121</f>
        <v>7.3623788328092132E-5</v>
      </c>
      <c r="AP121" s="288">
        <f>+R121-'Data FY23-24 Final'!R121</f>
        <v>-12.5</v>
      </c>
      <c r="AQ121" s="288">
        <f>+S121-'Data FY23-24 Final'!S121</f>
        <v>0</v>
      </c>
      <c r="AR121" s="288">
        <f>+T121-'Data FY23-24 Final'!T121</f>
        <v>0</v>
      </c>
      <c r="AS121" s="288">
        <f>+U121-'Data FY23-24 Final'!U121</f>
        <v>0</v>
      </c>
      <c r="AT121" s="288">
        <f>+V121-'Data FY23-24 Final'!V121</f>
        <v>0</v>
      </c>
      <c r="AU121" s="288">
        <f>+W121-'Data FY23-24 Final'!W121</f>
        <v>-12.499926376211668</v>
      </c>
      <c r="AV121" s="288">
        <f>+X121-'Data FY23-24 Final'!X121</f>
        <v>0</v>
      </c>
      <c r="AW121" s="261">
        <f>+Y121-'Data FY23-24 Final'!Y121</f>
        <v>156415.81000000052</v>
      </c>
      <c r="AX121" s="261">
        <f>+Z121-'Data FY23-24 Final'!Z121</f>
        <v>318.36748735955916</v>
      </c>
    </row>
    <row r="122" spans="1:50" s="256" customFormat="1" ht="13" x14ac:dyDescent="0.25">
      <c r="A122" s="289" t="s">
        <v>346</v>
      </c>
      <c r="B122" s="289" t="s">
        <v>347</v>
      </c>
      <c r="C122" s="297" t="s">
        <v>348</v>
      </c>
      <c r="D122" s="383">
        <v>87875102</v>
      </c>
      <c r="E122" s="383">
        <v>4731316</v>
      </c>
      <c r="F122" s="383">
        <v>83143786</v>
      </c>
      <c r="G122" s="383">
        <v>388.75</v>
      </c>
      <c r="H122" s="347">
        <v>27</v>
      </c>
      <c r="I122" s="347">
        <v>0</v>
      </c>
      <c r="J122" s="353">
        <f t="shared" ref="J122:J130" si="16">+H122-I122</f>
        <v>27</v>
      </c>
      <c r="K122" s="287">
        <v>0</v>
      </c>
      <c r="L122" s="300">
        <v>0</v>
      </c>
      <c r="M122" s="287">
        <v>0</v>
      </c>
      <c r="N122" s="353">
        <v>0</v>
      </c>
      <c r="O122" s="354">
        <v>0</v>
      </c>
      <c r="P122" s="355">
        <f t="shared" si="15"/>
        <v>4.675635049864099E-3</v>
      </c>
      <c r="Q122" s="360">
        <f t="shared" si="10"/>
        <v>27.004675635049864</v>
      </c>
      <c r="R122" s="299"/>
      <c r="S122" s="299"/>
      <c r="T122" s="299"/>
      <c r="U122" s="299"/>
      <c r="V122" s="299"/>
      <c r="W122" s="299">
        <f t="shared" si="11"/>
        <v>27.004675635049864</v>
      </c>
      <c r="X122" s="287">
        <v>173.20099999999999</v>
      </c>
      <c r="Y122" s="344">
        <v>15517499.060000001</v>
      </c>
      <c r="Z122" s="344">
        <v>12804611.037599999</v>
      </c>
      <c r="AB122" s="261">
        <f>+D122-'Data FY23-24 Final'!D122</f>
        <v>4441597</v>
      </c>
      <c r="AC122" s="261">
        <f>+E122-'Data FY23-24 Final'!E122</f>
        <v>2298089</v>
      </c>
      <c r="AD122" s="261">
        <f>+F122-'Data FY23-24 Final'!F122</f>
        <v>2143508</v>
      </c>
      <c r="AE122" s="261">
        <f>+G122-'Data FY23-24 Final'!G122</f>
        <v>-29039.45</v>
      </c>
      <c r="AF122" s="288">
        <f>+H122-'Data FY23-24 Final'!H122</f>
        <v>0</v>
      </c>
      <c r="AG122" s="288">
        <f>+I122-'Data FY23-24 Final'!I122</f>
        <v>0</v>
      </c>
      <c r="AH122" s="288">
        <f>+J122-'Data FY23-24 Final'!J122</f>
        <v>0</v>
      </c>
      <c r="AI122" s="288">
        <f>+K122-'Data FY23-24 Final'!K122</f>
        <v>0</v>
      </c>
      <c r="AJ122" s="288">
        <f>+L122-'Data FY23-24 Final'!L122</f>
        <v>0</v>
      </c>
      <c r="AK122" s="288">
        <f>+M122-'Data FY23-24 Final'!M122</f>
        <v>0</v>
      </c>
      <c r="AL122" s="288">
        <f>+N122-'Data FY23-24 Final'!N122</f>
        <v>0</v>
      </c>
      <c r="AM122" s="288">
        <f>+O122-'Data FY23-24 Final'!O122</f>
        <v>0</v>
      </c>
      <c r="AN122" s="288">
        <f>+P122-'Data FY23-24 Final'!P122</f>
        <v>-0.35832436495013587</v>
      </c>
      <c r="AO122" s="288">
        <f>+Q122-'Data FY23-24 Final'!Q122</f>
        <v>-0.35832436495013553</v>
      </c>
      <c r="AP122" s="288">
        <f>+R122-'Data FY23-24 Final'!R122</f>
        <v>-5.4560000000000004</v>
      </c>
      <c r="AQ122" s="288">
        <f>+S122-'Data FY23-24 Final'!S122</f>
        <v>0</v>
      </c>
      <c r="AR122" s="288">
        <f>+T122-'Data FY23-24 Final'!T122</f>
        <v>0</v>
      </c>
      <c r="AS122" s="288">
        <f>+U122-'Data FY23-24 Final'!U122</f>
        <v>0</v>
      </c>
      <c r="AT122" s="288">
        <f>+V122-'Data FY23-24 Final'!V122</f>
        <v>0</v>
      </c>
      <c r="AU122" s="288">
        <f>+W122-'Data FY23-24 Final'!W122</f>
        <v>-5.8143243649501386</v>
      </c>
      <c r="AV122" s="288">
        <f>+X122-'Data FY23-24 Final'!X122</f>
        <v>0</v>
      </c>
      <c r="AW122" s="261">
        <f>+Y122-'Data FY23-24 Final'!Y122</f>
        <v>286631.73000000045</v>
      </c>
      <c r="AX122" s="261">
        <f>+Z122-'Data FY23-24 Final'!Z122</f>
        <v>209177.5335999988</v>
      </c>
    </row>
    <row r="123" spans="1:50" s="256" customFormat="1" ht="13" x14ac:dyDescent="0.25">
      <c r="A123" s="289" t="s">
        <v>349</v>
      </c>
      <c r="B123" s="289" t="s">
        <v>347</v>
      </c>
      <c r="C123" s="297" t="s">
        <v>350</v>
      </c>
      <c r="D123" s="383">
        <v>37620661</v>
      </c>
      <c r="E123" s="383">
        <v>0</v>
      </c>
      <c r="F123" s="383">
        <v>37620661</v>
      </c>
      <c r="G123" s="383">
        <v>172.56</v>
      </c>
      <c r="H123" s="347">
        <v>27</v>
      </c>
      <c r="I123" s="347">
        <v>0</v>
      </c>
      <c r="J123" s="353">
        <f t="shared" si="16"/>
        <v>27</v>
      </c>
      <c r="K123" s="287">
        <v>0</v>
      </c>
      <c r="L123" s="300">
        <v>0</v>
      </c>
      <c r="M123" s="287">
        <v>0</v>
      </c>
      <c r="N123" s="353">
        <v>0</v>
      </c>
      <c r="O123" s="354">
        <v>0</v>
      </c>
      <c r="P123" s="355">
        <f t="shared" si="15"/>
        <v>4.5868412572548896E-3</v>
      </c>
      <c r="Q123" s="360">
        <f t="shared" si="10"/>
        <v>27.004586841257254</v>
      </c>
      <c r="R123" s="299"/>
      <c r="S123" s="299"/>
      <c r="T123" s="299"/>
      <c r="U123" s="299"/>
      <c r="V123" s="299"/>
      <c r="W123" s="299">
        <f t="shared" si="11"/>
        <v>27.004586841257254</v>
      </c>
      <c r="X123" s="287">
        <v>193.84199999999998</v>
      </c>
      <c r="Y123" s="344">
        <v>8202594.7800000003</v>
      </c>
      <c r="Z123" s="344">
        <v>6862365.6442999998</v>
      </c>
      <c r="AB123" s="261">
        <f>+D123-'Data FY23-24 Final'!D123</f>
        <v>735022</v>
      </c>
      <c r="AC123" s="261">
        <f>+E123-'Data FY23-24 Final'!E123</f>
        <v>0</v>
      </c>
      <c r="AD123" s="261">
        <f>+F123-'Data FY23-24 Final'!F123</f>
        <v>735022</v>
      </c>
      <c r="AE123" s="261">
        <f>+G123-'Data FY23-24 Final'!G123</f>
        <v>-933.63000000000011</v>
      </c>
      <c r="AF123" s="288">
        <f>+H123-'Data FY23-24 Final'!H123</f>
        <v>0</v>
      </c>
      <c r="AG123" s="288">
        <f>+I123-'Data FY23-24 Final'!I123</f>
        <v>0</v>
      </c>
      <c r="AH123" s="288">
        <f>+J123-'Data FY23-24 Final'!J123</f>
        <v>0</v>
      </c>
      <c r="AI123" s="288">
        <f>+K123-'Data FY23-24 Final'!K123</f>
        <v>0</v>
      </c>
      <c r="AJ123" s="288">
        <f>+L123-'Data FY23-24 Final'!L123</f>
        <v>0</v>
      </c>
      <c r="AK123" s="288">
        <f>+M123-'Data FY23-24 Final'!M123</f>
        <v>0</v>
      </c>
      <c r="AL123" s="288">
        <f>+N123-'Data FY23-24 Final'!N123</f>
        <v>0</v>
      </c>
      <c r="AM123" s="288">
        <f>+O123-'Data FY23-24 Final'!O123</f>
        <v>0</v>
      </c>
      <c r="AN123" s="288">
        <f>+P123-'Data FY23-24 Final'!P123</f>
        <v>-2.541315874274511E-2</v>
      </c>
      <c r="AO123" s="288">
        <f>+Q123-'Data FY23-24 Final'!Q123</f>
        <v>-2.5413158742747299E-2</v>
      </c>
      <c r="AP123" s="288">
        <f>+R123-'Data FY23-24 Final'!R123</f>
        <v>-8.1470000000000002</v>
      </c>
      <c r="AQ123" s="288">
        <f>+S123-'Data FY23-24 Final'!S123</f>
        <v>0</v>
      </c>
      <c r="AR123" s="288">
        <f>+T123-'Data FY23-24 Final'!T123</f>
        <v>0</v>
      </c>
      <c r="AS123" s="288">
        <f>+U123-'Data FY23-24 Final'!U123</f>
        <v>0</v>
      </c>
      <c r="AT123" s="288">
        <f>+V123-'Data FY23-24 Final'!V123</f>
        <v>0</v>
      </c>
      <c r="AU123" s="288">
        <f>+W123-'Data FY23-24 Final'!W123</f>
        <v>-8.1724131587427458</v>
      </c>
      <c r="AV123" s="288">
        <f>+X123-'Data FY23-24 Final'!X123</f>
        <v>0</v>
      </c>
      <c r="AW123" s="261">
        <f>+Y123-'Data FY23-24 Final'!Y123</f>
        <v>227858.02000000048</v>
      </c>
      <c r="AX123" s="261">
        <f>+Z123-'Data FY23-24 Final'!Z123</f>
        <v>70636.057300000452</v>
      </c>
    </row>
    <row r="124" spans="1:50" s="256" customFormat="1" ht="13" x14ac:dyDescent="0.3">
      <c r="A124" s="376" t="s">
        <v>351</v>
      </c>
      <c r="B124" s="289" t="s">
        <v>347</v>
      </c>
      <c r="C124" s="297" t="s">
        <v>352</v>
      </c>
      <c r="D124" s="378">
        <v>11461246</v>
      </c>
      <c r="E124" s="378">
        <v>0</v>
      </c>
      <c r="F124" s="378">
        <v>11461246</v>
      </c>
      <c r="G124" s="379">
        <v>9.0399999999999991</v>
      </c>
      <c r="H124" s="347">
        <v>25.728999999999999</v>
      </c>
      <c r="I124" s="347">
        <v>0</v>
      </c>
      <c r="J124" s="353">
        <f t="shared" si="16"/>
        <v>25.728999999999999</v>
      </c>
      <c r="K124" s="287">
        <v>0</v>
      </c>
      <c r="L124" s="300">
        <v>0</v>
      </c>
      <c r="M124" s="287">
        <v>0</v>
      </c>
      <c r="N124" s="353">
        <v>0</v>
      </c>
      <c r="O124" s="354">
        <v>0</v>
      </c>
      <c r="P124" s="355">
        <f t="shared" si="15"/>
        <v>7.8874495844518126E-4</v>
      </c>
      <c r="Q124" s="360">
        <f t="shared" si="10"/>
        <v>25.729788744958444</v>
      </c>
      <c r="R124" s="299"/>
      <c r="S124" s="299"/>
      <c r="T124" s="299"/>
      <c r="U124" s="299"/>
      <c r="V124" s="299"/>
      <c r="W124" s="299">
        <f t="shared" si="11"/>
        <v>25.729788744958444</v>
      </c>
      <c r="X124" s="287">
        <v>276.50099999999998</v>
      </c>
      <c r="Y124" s="344">
        <v>3280236.02</v>
      </c>
      <c r="Z124" s="344">
        <v>2940713.8951830002</v>
      </c>
      <c r="AB124" s="261">
        <f>+D124-'Data FY23-24 Final'!D124</f>
        <v>350355</v>
      </c>
      <c r="AC124" s="261">
        <f>+E124-'Data FY23-24 Final'!E124</f>
        <v>0</v>
      </c>
      <c r="AD124" s="261">
        <f>+F124-'Data FY23-24 Final'!F124</f>
        <v>350355</v>
      </c>
      <c r="AE124" s="261">
        <f>+G124-'Data FY23-24 Final'!G124</f>
        <v>4.0399999999999991</v>
      </c>
      <c r="AF124" s="288">
        <f>+H124-'Data FY23-24 Final'!H124</f>
        <v>-1.2710000000000008</v>
      </c>
      <c r="AG124" s="288">
        <f>+I124-'Data FY23-24 Final'!I124</f>
        <v>-2.2709999999999999</v>
      </c>
      <c r="AH124" s="288">
        <f>+J124-'Data FY23-24 Final'!J124</f>
        <v>1</v>
      </c>
      <c r="AI124" s="288">
        <f>+K124-'Data FY23-24 Final'!K124</f>
        <v>0</v>
      </c>
      <c r="AJ124" s="288">
        <f>+L124-'Data FY23-24 Final'!L124</f>
        <v>0</v>
      </c>
      <c r="AK124" s="288">
        <f>+M124-'Data FY23-24 Final'!M124</f>
        <v>0</v>
      </c>
      <c r="AL124" s="288">
        <f>+N124-'Data FY23-24 Final'!N124</f>
        <v>0</v>
      </c>
      <c r="AM124" s="288">
        <f>+O124-'Data FY23-24 Final'!O124</f>
        <v>0</v>
      </c>
      <c r="AN124" s="288">
        <f>+P124-'Data FY23-24 Final'!P124</f>
        <v>7.8874495844518126E-4</v>
      </c>
      <c r="AO124" s="288">
        <f>+Q124-'Data FY23-24 Final'!Q124</f>
        <v>1.0007887449584452</v>
      </c>
      <c r="AP124" s="288">
        <f>+R124-'Data FY23-24 Final'!R124</f>
        <v>0</v>
      </c>
      <c r="AQ124" s="288">
        <f>+S124-'Data FY23-24 Final'!S124</f>
        <v>0</v>
      </c>
      <c r="AR124" s="288">
        <f>+T124-'Data FY23-24 Final'!T124</f>
        <v>0</v>
      </c>
      <c r="AS124" s="288">
        <f>+U124-'Data FY23-24 Final'!U124</f>
        <v>0</v>
      </c>
      <c r="AT124" s="288">
        <f>+V124-'Data FY23-24 Final'!V124</f>
        <v>0</v>
      </c>
      <c r="AU124" s="288">
        <f>+W124-'Data FY23-24 Final'!W124</f>
        <v>1.0007887449584452</v>
      </c>
      <c r="AV124" s="288">
        <f>+X124-'Data FY23-24 Final'!X124</f>
        <v>0</v>
      </c>
      <c r="AW124" s="261">
        <f>+Y124-'Data FY23-24 Final'!Y124</f>
        <v>-77290.270000000019</v>
      </c>
      <c r="AX124" s="261">
        <f>+Z124-'Data FY23-24 Final'!Z124</f>
        <v>-92013.451277999673</v>
      </c>
    </row>
    <row r="125" spans="1:50" s="256" customFormat="1" x14ac:dyDescent="0.25">
      <c r="A125" s="376" t="s">
        <v>353</v>
      </c>
      <c r="B125" s="289" t="s">
        <v>347</v>
      </c>
      <c r="C125" s="297" t="s">
        <v>354</v>
      </c>
      <c r="D125" s="344">
        <v>29934463</v>
      </c>
      <c r="E125" s="344">
        <v>0</v>
      </c>
      <c r="F125" s="344">
        <f t="shared" si="12"/>
        <v>29934463</v>
      </c>
      <c r="G125" s="343">
        <v>249.84</v>
      </c>
      <c r="H125" s="347">
        <v>27</v>
      </c>
      <c r="I125" s="347">
        <v>0</v>
      </c>
      <c r="J125" s="353">
        <f t="shared" si="16"/>
        <v>27</v>
      </c>
      <c r="K125" s="287">
        <v>0</v>
      </c>
      <c r="L125" s="300">
        <v>0</v>
      </c>
      <c r="M125" s="287">
        <v>0</v>
      </c>
      <c r="N125" s="353">
        <v>0</v>
      </c>
      <c r="O125" s="354">
        <v>0</v>
      </c>
      <c r="P125" s="355">
        <f t="shared" si="15"/>
        <v>8.3462329021903609E-3</v>
      </c>
      <c r="Q125" s="360">
        <f t="shared" si="10"/>
        <v>27.008346232902191</v>
      </c>
      <c r="R125" s="299"/>
      <c r="S125" s="299"/>
      <c r="T125" s="299"/>
      <c r="U125" s="299"/>
      <c r="V125" s="299"/>
      <c r="W125" s="299">
        <f t="shared" si="11"/>
        <v>27.008346232902191</v>
      </c>
      <c r="X125" s="287">
        <v>154.88999999999999</v>
      </c>
      <c r="Y125" s="344">
        <v>4742034.13</v>
      </c>
      <c r="Z125" s="344">
        <v>3828327.3750999998</v>
      </c>
      <c r="AB125" s="261">
        <f>+D125-'Data FY23-24 Final'!D125</f>
        <v>1831205</v>
      </c>
      <c r="AC125" s="261">
        <f>+E125-'Data FY23-24 Final'!E125</f>
        <v>0</v>
      </c>
      <c r="AD125" s="261">
        <f>+F125-'Data FY23-24 Final'!F125</f>
        <v>1831205</v>
      </c>
      <c r="AE125" s="261">
        <f>+G125-'Data FY23-24 Final'!G125</f>
        <v>0</v>
      </c>
      <c r="AF125" s="288">
        <f>+H125-'Data FY23-24 Final'!H125</f>
        <v>0</v>
      </c>
      <c r="AG125" s="288">
        <f>+I125-'Data FY23-24 Final'!I125</f>
        <v>0</v>
      </c>
      <c r="AH125" s="288">
        <f>+J125-'Data FY23-24 Final'!J125</f>
        <v>0</v>
      </c>
      <c r="AI125" s="288">
        <f>+K125-'Data FY23-24 Final'!K125</f>
        <v>0</v>
      </c>
      <c r="AJ125" s="288">
        <f>+L125-'Data FY23-24 Final'!L125</f>
        <v>0</v>
      </c>
      <c r="AK125" s="288">
        <f>+M125-'Data FY23-24 Final'!M125</f>
        <v>0</v>
      </c>
      <c r="AL125" s="288">
        <f>+N125-'Data FY23-24 Final'!N125</f>
        <v>0</v>
      </c>
      <c r="AM125" s="288">
        <f>+O125-'Data FY23-24 Final'!O125</f>
        <v>0</v>
      </c>
      <c r="AN125" s="288">
        <f>+P125-'Data FY23-24 Final'!P125</f>
        <v>-6.537670978096384E-4</v>
      </c>
      <c r="AO125" s="288">
        <f>+Q125-'Data FY23-24 Final'!Q125</f>
        <v>-6.5376709780906594E-4</v>
      </c>
      <c r="AP125" s="288">
        <f>+R125-'Data FY23-24 Final'!R125</f>
        <v>-13.324999999999999</v>
      </c>
      <c r="AQ125" s="288">
        <f>+S125-'Data FY23-24 Final'!S125</f>
        <v>0</v>
      </c>
      <c r="AR125" s="288">
        <f>+T125-'Data FY23-24 Final'!T125</f>
        <v>0</v>
      </c>
      <c r="AS125" s="288">
        <f>+U125-'Data FY23-24 Final'!U125</f>
        <v>0</v>
      </c>
      <c r="AT125" s="288">
        <f>+V125-'Data FY23-24 Final'!V125</f>
        <v>0</v>
      </c>
      <c r="AU125" s="288">
        <f>+W125-'Data FY23-24 Final'!W125</f>
        <v>-13.325653767097812</v>
      </c>
      <c r="AV125" s="288">
        <f>+X125-'Data FY23-24 Final'!X125</f>
        <v>0</v>
      </c>
      <c r="AW125" s="261">
        <f>+Y125-'Data FY23-24 Final'!Y125</f>
        <v>476.45999999996275</v>
      </c>
      <c r="AX125" s="261">
        <f>+Z125-'Data FY23-24 Final'!Z125</f>
        <v>-33549.568900000304</v>
      </c>
    </row>
    <row r="126" spans="1:50" s="256" customFormat="1" ht="13" x14ac:dyDescent="0.25">
      <c r="A126" s="289" t="s">
        <v>355</v>
      </c>
      <c r="B126" s="289" t="s">
        <v>347</v>
      </c>
      <c r="C126" s="297" t="s">
        <v>356</v>
      </c>
      <c r="D126" s="383">
        <v>9070221</v>
      </c>
      <c r="E126" s="383">
        <v>0</v>
      </c>
      <c r="F126" s="383">
        <v>9070221</v>
      </c>
      <c r="G126" s="383">
        <v>305.73</v>
      </c>
      <c r="H126" s="347">
        <v>27</v>
      </c>
      <c r="I126" s="347">
        <v>0</v>
      </c>
      <c r="J126" s="353">
        <f t="shared" si="16"/>
        <v>27</v>
      </c>
      <c r="K126" s="287">
        <v>0</v>
      </c>
      <c r="L126" s="300">
        <v>0</v>
      </c>
      <c r="M126" s="287">
        <v>0</v>
      </c>
      <c r="N126" s="353">
        <v>0</v>
      </c>
      <c r="O126" s="354">
        <v>0</v>
      </c>
      <c r="P126" s="355">
        <f t="shared" si="15"/>
        <v>3.3707006698072743E-2</v>
      </c>
      <c r="Q126" s="360">
        <f t="shared" si="10"/>
        <v>27.033707006698073</v>
      </c>
      <c r="R126" s="299"/>
      <c r="S126" s="299"/>
      <c r="T126" s="299"/>
      <c r="U126" s="299"/>
      <c r="V126" s="299"/>
      <c r="W126" s="299">
        <f t="shared" si="11"/>
        <v>27.033707006698073</v>
      </c>
      <c r="X126" s="287">
        <v>390.44499999999999</v>
      </c>
      <c r="Y126" s="344">
        <v>3607923.39</v>
      </c>
      <c r="Z126" s="344">
        <v>3313804.2281000004</v>
      </c>
      <c r="AB126" s="261">
        <f>+D126-'Data FY23-24 Final'!D126</f>
        <v>498303</v>
      </c>
      <c r="AC126" s="261">
        <f>+E126-'Data FY23-24 Final'!E126</f>
        <v>0</v>
      </c>
      <c r="AD126" s="261">
        <f>+F126-'Data FY23-24 Final'!F126</f>
        <v>498303</v>
      </c>
      <c r="AE126" s="261">
        <f>+G126-'Data FY23-24 Final'!G126</f>
        <v>-728.27</v>
      </c>
      <c r="AF126" s="288">
        <f>+H126-'Data FY23-24 Final'!H126</f>
        <v>0</v>
      </c>
      <c r="AG126" s="288">
        <f>+I126-'Data FY23-24 Final'!I126</f>
        <v>0</v>
      </c>
      <c r="AH126" s="288">
        <f>+J126-'Data FY23-24 Final'!J126</f>
        <v>0</v>
      </c>
      <c r="AI126" s="288">
        <f>+K126-'Data FY23-24 Final'!K126</f>
        <v>0</v>
      </c>
      <c r="AJ126" s="288">
        <f>+L126-'Data FY23-24 Final'!L126</f>
        <v>0</v>
      </c>
      <c r="AK126" s="288">
        <f>+M126-'Data FY23-24 Final'!M126</f>
        <v>0</v>
      </c>
      <c r="AL126" s="288">
        <f>+N126-'Data FY23-24 Final'!N126</f>
        <v>0</v>
      </c>
      <c r="AM126" s="288">
        <f>+O126-'Data FY23-24 Final'!O126</f>
        <v>0</v>
      </c>
      <c r="AN126" s="288">
        <f>+P126-'Data FY23-24 Final'!P126</f>
        <v>3.3707006698072743E-2</v>
      </c>
      <c r="AO126" s="288">
        <f>+Q126-'Data FY23-24 Final'!Q126</f>
        <v>3.3707006698072917E-2</v>
      </c>
      <c r="AP126" s="288">
        <f>+R126-'Data FY23-24 Final'!R126</f>
        <v>0</v>
      </c>
      <c r="AQ126" s="288">
        <f>+S126-'Data FY23-24 Final'!S126</f>
        <v>0</v>
      </c>
      <c r="AR126" s="288">
        <f>+T126-'Data FY23-24 Final'!T126</f>
        <v>0</v>
      </c>
      <c r="AS126" s="288">
        <f>+U126-'Data FY23-24 Final'!U126</f>
        <v>0</v>
      </c>
      <c r="AT126" s="288">
        <f>+V126-'Data FY23-24 Final'!V126</f>
        <v>0</v>
      </c>
      <c r="AU126" s="288">
        <f>+W126-'Data FY23-24 Final'!W126</f>
        <v>3.3707006698072917E-2</v>
      </c>
      <c r="AV126" s="288">
        <f>+X126-'Data FY23-24 Final'!X126</f>
        <v>0</v>
      </c>
      <c r="AW126" s="261">
        <f>+Y126-'Data FY23-24 Final'!Y126</f>
        <v>81001.760000000242</v>
      </c>
      <c r="AX126" s="261">
        <f>+Z126-'Data FY23-24 Final'!Z126</f>
        <v>64550.824100000318</v>
      </c>
    </row>
    <row r="127" spans="1:50" s="256" customFormat="1" ht="13" x14ac:dyDescent="0.25">
      <c r="A127" s="289" t="s">
        <v>357</v>
      </c>
      <c r="B127" s="289" t="s">
        <v>347</v>
      </c>
      <c r="C127" s="297" t="s">
        <v>358</v>
      </c>
      <c r="D127" s="383">
        <v>20663329</v>
      </c>
      <c r="E127" s="383">
        <v>1371466</v>
      </c>
      <c r="F127" s="383">
        <v>19291863</v>
      </c>
      <c r="G127" s="383">
        <v>3.16</v>
      </c>
      <c r="H127" s="347">
        <v>27</v>
      </c>
      <c r="I127" s="347">
        <v>1.0030000000000001</v>
      </c>
      <c r="J127" s="353">
        <f t="shared" si="16"/>
        <v>25.997</v>
      </c>
      <c r="K127" s="287">
        <v>0</v>
      </c>
      <c r="L127" s="300">
        <v>0</v>
      </c>
      <c r="M127" s="287">
        <v>0</v>
      </c>
      <c r="N127" s="353">
        <v>0</v>
      </c>
      <c r="O127" s="354">
        <v>0.74</v>
      </c>
      <c r="P127" s="355">
        <f t="shared" si="15"/>
        <v>1.6379962889016993E-4</v>
      </c>
      <c r="Q127" s="360">
        <f t="shared" si="10"/>
        <v>26.737163799628888</v>
      </c>
      <c r="R127" s="299"/>
      <c r="S127" s="299"/>
      <c r="T127" s="299"/>
      <c r="U127" s="299"/>
      <c r="V127" s="299"/>
      <c r="W127" s="299">
        <f t="shared" si="11"/>
        <v>26.737163799628888</v>
      </c>
      <c r="X127" s="287">
        <v>201.77100000000002</v>
      </c>
      <c r="Y127" s="344">
        <v>4426256.4000000004</v>
      </c>
      <c r="Z127" s="344">
        <v>3790413.9295470007</v>
      </c>
      <c r="AB127" s="261">
        <f>+D127-'Data FY23-24 Final'!D127</f>
        <v>-430580</v>
      </c>
      <c r="AC127" s="261">
        <f>+E127-'Data FY23-24 Final'!E127</f>
        <v>583199</v>
      </c>
      <c r="AD127" s="261">
        <f>+F127-'Data FY23-24 Final'!F127</f>
        <v>-1013779</v>
      </c>
      <c r="AE127" s="261">
        <f>+G127-'Data FY23-24 Final'!G127</f>
        <v>3.16</v>
      </c>
      <c r="AF127" s="288">
        <f>+H127-'Data FY23-24 Final'!H127</f>
        <v>0</v>
      </c>
      <c r="AG127" s="288">
        <f>+I127-'Data FY23-24 Final'!I127</f>
        <v>-1</v>
      </c>
      <c r="AH127" s="288">
        <f>+J127-'Data FY23-24 Final'!J127</f>
        <v>1</v>
      </c>
      <c r="AI127" s="288">
        <f>+K127-'Data FY23-24 Final'!K127</f>
        <v>0</v>
      </c>
      <c r="AJ127" s="288">
        <f>+L127-'Data FY23-24 Final'!L127</f>
        <v>0</v>
      </c>
      <c r="AK127" s="288">
        <f>+M127-'Data FY23-24 Final'!M127</f>
        <v>0</v>
      </c>
      <c r="AL127" s="288">
        <f>+N127-'Data FY23-24 Final'!N127</f>
        <v>0</v>
      </c>
      <c r="AM127" s="288">
        <f>+O127-'Data FY23-24 Final'!O127</f>
        <v>-4.1000000000000036E-2</v>
      </c>
      <c r="AN127" s="288">
        <f>+P127-'Data FY23-24 Final'!P127</f>
        <v>1.6379962889016993E-4</v>
      </c>
      <c r="AO127" s="288">
        <f>+Q127-'Data FY23-24 Final'!Q127</f>
        <v>0.95916379962888954</v>
      </c>
      <c r="AP127" s="288">
        <f>+R127-'Data FY23-24 Final'!R127</f>
        <v>-9.2240000000000002</v>
      </c>
      <c r="AQ127" s="288">
        <f>+S127-'Data FY23-24 Final'!S127</f>
        <v>0</v>
      </c>
      <c r="AR127" s="288">
        <f>+T127-'Data FY23-24 Final'!T127</f>
        <v>0</v>
      </c>
      <c r="AS127" s="288">
        <f>+U127-'Data FY23-24 Final'!U127</f>
        <v>0</v>
      </c>
      <c r="AT127" s="288">
        <f>+V127-'Data FY23-24 Final'!V127</f>
        <v>0</v>
      </c>
      <c r="AU127" s="288">
        <f>+W127-'Data FY23-24 Final'!W127</f>
        <v>-8.2648362003711142</v>
      </c>
      <c r="AV127" s="288">
        <f>+X127-'Data FY23-24 Final'!X127</f>
        <v>0</v>
      </c>
      <c r="AW127" s="261">
        <f>+Y127-'Data FY23-24 Final'!Y127</f>
        <v>82442.44000000041</v>
      </c>
      <c r="AX127" s="261">
        <f>+Z127-'Data FY23-24 Final'!Z127</f>
        <v>53925.382621000521</v>
      </c>
    </row>
    <row r="128" spans="1:50" s="256" customFormat="1" ht="13" x14ac:dyDescent="0.3">
      <c r="A128" s="289" t="s">
        <v>359</v>
      </c>
      <c r="B128" s="289" t="s">
        <v>360</v>
      </c>
      <c r="C128" s="297" t="s">
        <v>360</v>
      </c>
      <c r="D128" s="378">
        <v>101708820</v>
      </c>
      <c r="E128" s="378">
        <v>0</v>
      </c>
      <c r="F128" s="378">
        <v>101708820</v>
      </c>
      <c r="G128" s="379">
        <v>19426.2</v>
      </c>
      <c r="H128" s="347">
        <v>27</v>
      </c>
      <c r="I128" s="347">
        <v>4.0689999999999991</v>
      </c>
      <c r="J128" s="353">
        <f t="shared" si="16"/>
        <v>22.931000000000001</v>
      </c>
      <c r="K128" s="287">
        <v>0</v>
      </c>
      <c r="L128" s="300">
        <v>0</v>
      </c>
      <c r="M128" s="287">
        <v>0</v>
      </c>
      <c r="N128" s="353">
        <v>0</v>
      </c>
      <c r="O128" s="354">
        <v>1.472</v>
      </c>
      <c r="P128" s="355">
        <f t="shared" si="15"/>
        <v>0.19099818481818981</v>
      </c>
      <c r="Q128" s="360">
        <f t="shared" si="10"/>
        <v>24.593998184818194</v>
      </c>
      <c r="R128" s="299"/>
      <c r="S128" s="299"/>
      <c r="T128" s="299"/>
      <c r="U128" s="299"/>
      <c r="V128" s="299"/>
      <c r="W128" s="299">
        <f t="shared" si="11"/>
        <v>24.593998184818194</v>
      </c>
      <c r="X128" s="287">
        <v>30.803000000000001</v>
      </c>
      <c r="Y128" s="344">
        <v>3382090.5</v>
      </c>
      <c r="Z128" s="344">
        <v>934067.34745000023</v>
      </c>
      <c r="AB128" s="261">
        <f>+D128-'Data FY23-24 Final'!D128</f>
        <v>457460</v>
      </c>
      <c r="AC128" s="261">
        <f>+E128-'Data FY23-24 Final'!E128</f>
        <v>0</v>
      </c>
      <c r="AD128" s="261">
        <f>+F128-'Data FY23-24 Final'!F128</f>
        <v>457460</v>
      </c>
      <c r="AE128" s="261">
        <f>+G128-'Data FY23-24 Final'!G128</f>
        <v>2876.4200000000019</v>
      </c>
      <c r="AF128" s="288">
        <f>+H128-'Data FY23-24 Final'!H128</f>
        <v>0</v>
      </c>
      <c r="AG128" s="288">
        <f>+I128-'Data FY23-24 Final'!I128</f>
        <v>-1.0000000000000009</v>
      </c>
      <c r="AH128" s="288">
        <f>+J128-'Data FY23-24 Final'!J128</f>
        <v>1</v>
      </c>
      <c r="AI128" s="288">
        <f>+K128-'Data FY23-24 Final'!K128</f>
        <v>0</v>
      </c>
      <c r="AJ128" s="288">
        <f>+L128-'Data FY23-24 Final'!L128</f>
        <v>0</v>
      </c>
      <c r="AK128" s="288">
        <f>+M128-'Data FY23-24 Final'!M128</f>
        <v>0</v>
      </c>
      <c r="AL128" s="288">
        <f>+N128-'Data FY23-24 Final'!N128</f>
        <v>0</v>
      </c>
      <c r="AM128" s="288">
        <f>+O128-'Data FY23-24 Final'!O128</f>
        <v>-3.4019999999999997</v>
      </c>
      <c r="AN128" s="288">
        <f>+P128-'Data FY23-24 Final'!P128</f>
        <v>2.7998184818189803E-2</v>
      </c>
      <c r="AO128" s="288">
        <f>+Q128-'Data FY23-24 Final'!Q128</f>
        <v>-2.3740018151818063</v>
      </c>
      <c r="AP128" s="288">
        <f>+R128-'Data FY23-24 Final'!R128</f>
        <v>-1.9339999999999999</v>
      </c>
      <c r="AQ128" s="288">
        <f>+S128-'Data FY23-24 Final'!S128</f>
        <v>0</v>
      </c>
      <c r="AR128" s="288">
        <f>+T128-'Data FY23-24 Final'!T128</f>
        <v>0</v>
      </c>
      <c r="AS128" s="288">
        <f>+U128-'Data FY23-24 Final'!U128</f>
        <v>0</v>
      </c>
      <c r="AT128" s="288">
        <f>+V128-'Data FY23-24 Final'!V128</f>
        <v>0</v>
      </c>
      <c r="AU128" s="288">
        <f>+W128-'Data FY23-24 Final'!W128</f>
        <v>-4.3080018151818074</v>
      </c>
      <c r="AV128" s="288">
        <f>+X128-'Data FY23-24 Final'!X128</f>
        <v>0</v>
      </c>
      <c r="AW128" s="261">
        <f>+Y128-'Data FY23-24 Final'!Y128</f>
        <v>5606.9399999999441</v>
      </c>
      <c r="AX128" s="261">
        <f>+Z128-'Data FY23-24 Final'!Z128</f>
        <v>-65849.996390000102</v>
      </c>
    </row>
    <row r="129" spans="1:50" s="256" customFormat="1" ht="13" x14ac:dyDescent="0.3">
      <c r="A129" s="289" t="s">
        <v>361</v>
      </c>
      <c r="B129" s="289" t="s">
        <v>360</v>
      </c>
      <c r="C129" s="297" t="s">
        <v>362</v>
      </c>
      <c r="D129" s="378">
        <v>197390890</v>
      </c>
      <c r="E129" s="378">
        <v>0</v>
      </c>
      <c r="F129" s="378">
        <v>197390890</v>
      </c>
      <c r="G129" s="379">
        <v>15366.4</v>
      </c>
      <c r="H129" s="347">
        <v>21.643000000000001</v>
      </c>
      <c r="I129" s="347">
        <v>4.7149999999999999</v>
      </c>
      <c r="J129" s="353">
        <f t="shared" si="16"/>
        <v>16.928000000000001</v>
      </c>
      <c r="K129" s="287">
        <v>0</v>
      </c>
      <c r="L129" s="300">
        <v>0</v>
      </c>
      <c r="M129" s="287">
        <v>0</v>
      </c>
      <c r="N129" s="353">
        <v>0</v>
      </c>
      <c r="O129" s="354">
        <v>2.5939999999999999</v>
      </c>
      <c r="P129" s="355">
        <f t="shared" si="15"/>
        <v>7.7847564292354121E-2</v>
      </c>
      <c r="Q129" s="360">
        <f t="shared" si="10"/>
        <v>19.599847564292357</v>
      </c>
      <c r="R129" s="299"/>
      <c r="S129" s="299"/>
      <c r="T129" s="299"/>
      <c r="U129" s="299"/>
      <c r="V129" s="299"/>
      <c r="W129" s="299">
        <f t="shared" si="11"/>
        <v>19.599847564292357</v>
      </c>
      <c r="X129" s="287">
        <v>22.949000000000002</v>
      </c>
      <c r="Y129" s="344">
        <v>4758515.76</v>
      </c>
      <c r="Z129" s="344">
        <v>1397835.0335399995</v>
      </c>
      <c r="AB129" s="261">
        <f>+D129-'Data FY23-24 Final'!D129</f>
        <v>4847850</v>
      </c>
      <c r="AC129" s="261">
        <f>+E129-'Data FY23-24 Final'!E129</f>
        <v>0</v>
      </c>
      <c r="AD129" s="261">
        <f>+F129-'Data FY23-24 Final'!F129</f>
        <v>4847850</v>
      </c>
      <c r="AE129" s="261">
        <f>+G129-'Data FY23-24 Final'!G129</f>
        <v>9397.4</v>
      </c>
      <c r="AF129" s="288">
        <f>+H129-'Data FY23-24 Final'!H129</f>
        <v>0</v>
      </c>
      <c r="AG129" s="288">
        <f>+I129-'Data FY23-24 Final'!I129</f>
        <v>-1</v>
      </c>
      <c r="AH129" s="288">
        <f>+J129-'Data FY23-24 Final'!J129</f>
        <v>1</v>
      </c>
      <c r="AI129" s="288">
        <f>+K129-'Data FY23-24 Final'!K129</f>
        <v>0</v>
      </c>
      <c r="AJ129" s="288">
        <f>+L129-'Data FY23-24 Final'!L129</f>
        <v>0</v>
      </c>
      <c r="AK129" s="288">
        <f>+M129-'Data FY23-24 Final'!M129</f>
        <v>0</v>
      </c>
      <c r="AL129" s="288">
        <f>+N129-'Data FY23-24 Final'!N129</f>
        <v>0</v>
      </c>
      <c r="AM129" s="288">
        <f>+O129-'Data FY23-24 Final'!O129</f>
        <v>-4.4659999999999993</v>
      </c>
      <c r="AN129" s="288">
        <f>+P129-'Data FY23-24 Final'!P129</f>
        <v>4.6837564292354125E-2</v>
      </c>
      <c r="AO129" s="288">
        <f>+Q129-'Data FY23-24 Final'!Q129</f>
        <v>-3.4191624357076442</v>
      </c>
      <c r="AP129" s="288">
        <f>+R129-'Data FY23-24 Final'!R129</f>
        <v>-6.2320000000000002</v>
      </c>
      <c r="AQ129" s="288">
        <f>+S129-'Data FY23-24 Final'!S129</f>
        <v>0</v>
      </c>
      <c r="AR129" s="288">
        <f>+T129-'Data FY23-24 Final'!T129</f>
        <v>0</v>
      </c>
      <c r="AS129" s="288">
        <f>+U129-'Data FY23-24 Final'!U129</f>
        <v>0</v>
      </c>
      <c r="AT129" s="288">
        <f>+V129-'Data FY23-24 Final'!V129</f>
        <v>0</v>
      </c>
      <c r="AU129" s="288">
        <f>+W129-'Data FY23-24 Final'!W129</f>
        <v>-9.6511624357076435</v>
      </c>
      <c r="AV129" s="288">
        <f>+X129-'Data FY23-24 Final'!X129</f>
        <v>0</v>
      </c>
      <c r="AW129" s="261">
        <f>+Y129-'Data FY23-24 Final'!Y129</f>
        <v>65597.179999999702</v>
      </c>
      <c r="AX129" s="261">
        <f>+Z129-'Data FY23-24 Final'!Z129</f>
        <v>-28569.745340000372</v>
      </c>
    </row>
    <row r="130" spans="1:50" s="256" customFormat="1" x14ac:dyDescent="0.25">
      <c r="A130" s="289" t="s">
        <v>363</v>
      </c>
      <c r="B130" s="289" t="s">
        <v>364</v>
      </c>
      <c r="C130" s="297" t="s">
        <v>365</v>
      </c>
      <c r="D130" s="344">
        <v>246829813</v>
      </c>
      <c r="E130" s="344">
        <v>0</v>
      </c>
      <c r="F130" s="344">
        <f t="shared" si="12"/>
        <v>246829813</v>
      </c>
      <c r="G130" s="343">
        <v>3653.84</v>
      </c>
      <c r="H130" s="347">
        <v>27</v>
      </c>
      <c r="I130" s="347">
        <v>5.338000000000001</v>
      </c>
      <c r="J130" s="353">
        <f t="shared" si="16"/>
        <v>21.661999999999999</v>
      </c>
      <c r="K130" s="287">
        <v>0</v>
      </c>
      <c r="L130" s="300">
        <v>0</v>
      </c>
      <c r="M130" s="287">
        <v>0</v>
      </c>
      <c r="N130" s="353">
        <v>0</v>
      </c>
      <c r="O130" s="354">
        <v>2.2290000000000001</v>
      </c>
      <c r="P130" s="355">
        <f t="shared" si="15"/>
        <v>1.4803074051674626E-2</v>
      </c>
      <c r="Q130" s="360">
        <f t="shared" si="10"/>
        <v>23.905803074051672</v>
      </c>
      <c r="R130" s="299"/>
      <c r="S130" s="299"/>
      <c r="T130" s="299"/>
      <c r="U130" s="299"/>
      <c r="V130" s="299"/>
      <c r="W130" s="299">
        <f t="shared" si="11"/>
        <v>23.905803074051672</v>
      </c>
      <c r="X130" s="287">
        <v>34.058</v>
      </c>
      <c r="Y130" s="344">
        <v>8744421.1099999994</v>
      </c>
      <c r="Z130" s="344">
        <v>3306493.5741939992</v>
      </c>
      <c r="AB130" s="261">
        <f>+D130-'Data FY23-24 Final'!D130</f>
        <v>15167700</v>
      </c>
      <c r="AC130" s="261">
        <f>+E130-'Data FY23-24 Final'!E130</f>
        <v>0</v>
      </c>
      <c r="AD130" s="261">
        <f>+F130-'Data FY23-24 Final'!F130</f>
        <v>15167700</v>
      </c>
      <c r="AE130" s="261">
        <f>+G130-'Data FY23-24 Final'!G130</f>
        <v>0</v>
      </c>
      <c r="AF130" s="288">
        <f>+H130-'Data FY23-24 Final'!H130</f>
        <v>0</v>
      </c>
      <c r="AG130" s="288">
        <f>+I130-'Data FY23-24 Final'!I130</f>
        <v>-0.99999999999999911</v>
      </c>
      <c r="AH130" s="288">
        <f>+J130-'Data FY23-24 Final'!J130</f>
        <v>1</v>
      </c>
      <c r="AI130" s="288">
        <f>+K130-'Data FY23-24 Final'!K130</f>
        <v>0</v>
      </c>
      <c r="AJ130" s="288">
        <f>+L130-'Data FY23-24 Final'!L130</f>
        <v>0</v>
      </c>
      <c r="AK130" s="288">
        <f>+M130-'Data FY23-24 Final'!M130</f>
        <v>0</v>
      </c>
      <c r="AL130" s="288">
        <f>+N130-'Data FY23-24 Final'!N130</f>
        <v>0</v>
      </c>
      <c r="AM130" s="288">
        <f>+O130-'Data FY23-24 Final'!O130</f>
        <v>-0.95799999999999974</v>
      </c>
      <c r="AN130" s="288">
        <f>+P130-'Data FY23-24 Final'!P130</f>
        <v>-1.1969259483253746E-3</v>
      </c>
      <c r="AO130" s="288">
        <f>+Q130-'Data FY23-24 Final'!Q130</f>
        <v>4.0803074051673605E-2</v>
      </c>
      <c r="AP130" s="288">
        <f>+R130-'Data FY23-24 Final'!R130</f>
        <v>-4.51</v>
      </c>
      <c r="AQ130" s="288">
        <f>+S130-'Data FY23-24 Final'!S130</f>
        <v>0</v>
      </c>
      <c r="AR130" s="288">
        <f>+T130-'Data FY23-24 Final'!T130</f>
        <v>0</v>
      </c>
      <c r="AS130" s="288">
        <f>+U130-'Data FY23-24 Final'!U130</f>
        <v>0</v>
      </c>
      <c r="AT130" s="288">
        <f>+V130-'Data FY23-24 Final'!V130</f>
        <v>0</v>
      </c>
      <c r="AU130" s="288">
        <f>+W130-'Data FY23-24 Final'!W130</f>
        <v>-4.469196925948328</v>
      </c>
      <c r="AV130" s="288">
        <f>+X130-'Data FY23-24 Final'!X130</f>
        <v>0</v>
      </c>
      <c r="AW130" s="261">
        <f>+Y130-'Data FY23-24 Final'!Y130</f>
        <v>97211.5</v>
      </c>
      <c r="AX130" s="261">
        <f>+Z130-'Data FY23-24 Final'!Z130</f>
        <v>-139053.46700000018</v>
      </c>
    </row>
    <row r="131" spans="1:50" s="256" customFormat="1" x14ac:dyDescent="0.25">
      <c r="A131" s="289" t="s">
        <v>366</v>
      </c>
      <c r="B131" s="289" t="s">
        <v>364</v>
      </c>
      <c r="C131" s="297" t="s">
        <v>364</v>
      </c>
      <c r="D131" s="344">
        <v>642836439</v>
      </c>
      <c r="E131" s="344">
        <v>0</v>
      </c>
      <c r="F131" s="344">
        <f t="shared" si="12"/>
        <v>642836439</v>
      </c>
      <c r="G131" s="343">
        <v>24485.64</v>
      </c>
      <c r="H131" s="347">
        <v>12.173</v>
      </c>
      <c r="I131" s="347">
        <v>0</v>
      </c>
      <c r="J131" s="361">
        <f>+H131-I131-K131-L131</f>
        <v>9.5250000000000021</v>
      </c>
      <c r="K131" s="362">
        <v>0.78</v>
      </c>
      <c r="L131" s="363">
        <v>1.8679999999999994</v>
      </c>
      <c r="M131" s="287">
        <v>0.85699999999999998</v>
      </c>
      <c r="N131" s="353">
        <v>0</v>
      </c>
      <c r="O131" s="354">
        <v>0.32200000000000001</v>
      </c>
      <c r="P131" s="355">
        <f t="shared" ref="P131:P162" si="17">+G131/F131*1000</f>
        <v>3.8090000059875256E-2</v>
      </c>
      <c r="Q131" s="360">
        <f t="shared" si="10"/>
        <v>13.390090000059876</v>
      </c>
      <c r="R131" s="299"/>
      <c r="S131" s="299"/>
      <c r="T131" s="299"/>
      <c r="U131" s="299"/>
      <c r="V131" s="299"/>
      <c r="W131" s="299">
        <f t="shared" si="11"/>
        <v>13.390090000059876</v>
      </c>
      <c r="X131" s="287">
        <v>9.5250000000000004</v>
      </c>
      <c r="Y131" s="344">
        <v>6745283.8499999996</v>
      </c>
      <c r="Z131" s="344">
        <v>0</v>
      </c>
      <c r="AB131" s="261">
        <f>+D131-'Data FY23-24 Final'!D131</f>
        <v>26423350</v>
      </c>
      <c r="AC131" s="261">
        <f>+E131-'Data FY23-24 Final'!E131</f>
        <v>0</v>
      </c>
      <c r="AD131" s="261">
        <f>+F131-'Data FY23-24 Final'!F131</f>
        <v>26423350</v>
      </c>
      <c r="AE131" s="261">
        <f>+G131-'Data FY23-24 Final'!G131</f>
        <v>0</v>
      </c>
      <c r="AF131" s="288">
        <f>+H131-'Data FY23-24 Final'!H131</f>
        <v>0</v>
      </c>
      <c r="AG131" s="288">
        <f>+I131-'Data FY23-24 Final'!I131</f>
        <v>0</v>
      </c>
      <c r="AH131" s="288">
        <f>+J131-'Data FY23-24 Final'!J131</f>
        <v>-2.6479999999999979</v>
      </c>
      <c r="AI131" s="288">
        <f>+K131-'Data FY23-24 Final'!K131</f>
        <v>0.78</v>
      </c>
      <c r="AJ131" s="288">
        <f>+L131-'Data FY23-24 Final'!L131</f>
        <v>1.8679999999999994</v>
      </c>
      <c r="AK131" s="288">
        <f>+M131-'Data FY23-24 Final'!M131</f>
        <v>-3.7000000000000033E-2</v>
      </c>
      <c r="AL131" s="288">
        <f>+N131-'Data FY23-24 Final'!N131</f>
        <v>0</v>
      </c>
      <c r="AM131" s="288">
        <f>+O131-'Data FY23-24 Final'!O131</f>
        <v>-2.7639999999999998</v>
      </c>
      <c r="AN131" s="288">
        <f>+P131-'Data FY23-24 Final'!P131</f>
        <v>-1.9099999401247444E-3</v>
      </c>
      <c r="AO131" s="288">
        <f>+Q131-'Data FY23-24 Final'!Q131</f>
        <v>-2.802909999940125</v>
      </c>
      <c r="AP131" s="288">
        <f>+R131-'Data FY23-24 Final'!R131</f>
        <v>-1.014</v>
      </c>
      <c r="AQ131" s="288">
        <f>+S131-'Data FY23-24 Final'!S131</f>
        <v>0</v>
      </c>
      <c r="AR131" s="288">
        <f>+T131-'Data FY23-24 Final'!T131</f>
        <v>0</v>
      </c>
      <c r="AS131" s="288">
        <f>+U131-'Data FY23-24 Final'!U131</f>
        <v>0</v>
      </c>
      <c r="AT131" s="288">
        <f>+V131-'Data FY23-24 Final'!V131</f>
        <v>0</v>
      </c>
      <c r="AU131" s="288">
        <f>+W131-'Data FY23-24 Final'!W131</f>
        <v>-3.8169099999401244</v>
      </c>
      <c r="AV131" s="288">
        <f>+X131-'Data FY23-24 Final'!X131</f>
        <v>0</v>
      </c>
      <c r="AW131" s="261">
        <f>+Y131-'Data FY23-24 Final'!Y131</f>
        <v>23554.179999999702</v>
      </c>
      <c r="AX131" s="261">
        <f>+Z131-'Data FY23-24 Final'!Z131</f>
        <v>-1.1641532182693481E-10</v>
      </c>
    </row>
    <row r="132" spans="1:50" s="256" customFormat="1" x14ac:dyDescent="0.25">
      <c r="A132" s="289" t="s">
        <v>367</v>
      </c>
      <c r="B132" s="289" t="s">
        <v>368</v>
      </c>
      <c r="C132" s="297" t="s">
        <v>369</v>
      </c>
      <c r="D132" s="344">
        <v>85481070</v>
      </c>
      <c r="E132" s="344">
        <v>0</v>
      </c>
      <c r="F132" s="344">
        <f t="shared" ref="F132:F180" si="18">+D132-E132</f>
        <v>85481070</v>
      </c>
      <c r="G132" s="343">
        <v>6158.75</v>
      </c>
      <c r="H132" s="347">
        <v>27</v>
      </c>
      <c r="I132" s="347">
        <v>0</v>
      </c>
      <c r="J132" s="353">
        <f>+H132-I132</f>
        <v>27</v>
      </c>
      <c r="K132" s="287">
        <v>0</v>
      </c>
      <c r="L132" s="300">
        <v>0</v>
      </c>
      <c r="M132" s="287">
        <v>0</v>
      </c>
      <c r="N132" s="353">
        <v>0</v>
      </c>
      <c r="O132" s="354">
        <v>5.2389999999999999</v>
      </c>
      <c r="P132" s="355">
        <f t="shared" si="17"/>
        <v>7.2048115448250696E-2</v>
      </c>
      <c r="Q132" s="360">
        <f t="shared" ref="Q132:Q180" si="19">SUM(J132:P132)</f>
        <v>32.311048115448251</v>
      </c>
      <c r="R132" s="299"/>
      <c r="S132" s="299"/>
      <c r="T132" s="299"/>
      <c r="U132" s="299"/>
      <c r="V132" s="299"/>
      <c r="W132" s="299">
        <f t="shared" ref="W132:W180" si="20">Q132+(SUM(R132:V132))</f>
        <v>32.311048115448251</v>
      </c>
      <c r="X132" s="287">
        <v>75.902999999999992</v>
      </c>
      <c r="Y132" s="344">
        <v>6733888.1500000004</v>
      </c>
      <c r="Z132" s="344">
        <v>4180239.4807999996</v>
      </c>
      <c r="AB132" s="261">
        <f>+D132-'Data FY23-24 Final'!D132</f>
        <v>3291040</v>
      </c>
      <c r="AC132" s="261">
        <f>+E132-'Data FY23-24 Final'!E132</f>
        <v>0</v>
      </c>
      <c r="AD132" s="261">
        <f>+F132-'Data FY23-24 Final'!F132</f>
        <v>3291040</v>
      </c>
      <c r="AE132" s="261">
        <f>+G132-'Data FY23-24 Final'!G132</f>
        <v>0</v>
      </c>
      <c r="AF132" s="288">
        <f>+H132-'Data FY23-24 Final'!H132</f>
        <v>0</v>
      </c>
      <c r="AG132" s="288">
        <f>+I132-'Data FY23-24 Final'!I132</f>
        <v>0</v>
      </c>
      <c r="AH132" s="288">
        <f>+J132-'Data FY23-24 Final'!J132</f>
        <v>0</v>
      </c>
      <c r="AI132" s="288">
        <f>+K132-'Data FY23-24 Final'!K132</f>
        <v>0</v>
      </c>
      <c r="AJ132" s="288">
        <f>+L132-'Data FY23-24 Final'!L132</f>
        <v>0</v>
      </c>
      <c r="AK132" s="288">
        <f>+M132-'Data FY23-24 Final'!M132</f>
        <v>0</v>
      </c>
      <c r="AL132" s="288">
        <f>+N132-'Data FY23-24 Final'!N132</f>
        <v>0</v>
      </c>
      <c r="AM132" s="288">
        <f>+O132-'Data FY23-24 Final'!O132</f>
        <v>-1.7610000000000001</v>
      </c>
      <c r="AN132" s="288">
        <f>+P132-'Data FY23-24 Final'!P132</f>
        <v>-2.9518845517493009E-3</v>
      </c>
      <c r="AO132" s="288">
        <f>+Q132-'Data FY23-24 Final'!Q132</f>
        <v>-1.7639518845517514</v>
      </c>
      <c r="AP132" s="288">
        <f>+R132-'Data FY23-24 Final'!R132</f>
        <v>-3.31</v>
      </c>
      <c r="AQ132" s="288">
        <f>+S132-'Data FY23-24 Final'!S132</f>
        <v>0</v>
      </c>
      <c r="AR132" s="288">
        <f>+T132-'Data FY23-24 Final'!T132</f>
        <v>0</v>
      </c>
      <c r="AS132" s="288">
        <f>+U132-'Data FY23-24 Final'!U132</f>
        <v>0</v>
      </c>
      <c r="AT132" s="288">
        <f>+V132-'Data FY23-24 Final'!V132</f>
        <v>0</v>
      </c>
      <c r="AU132" s="288">
        <f>+W132-'Data FY23-24 Final'!W132</f>
        <v>-5.0739518845517466</v>
      </c>
      <c r="AV132" s="288">
        <f>+X132-'Data FY23-24 Final'!X132</f>
        <v>0</v>
      </c>
      <c r="AW132" s="261">
        <f>+Y132-'Data FY23-24 Final'!Y132</f>
        <v>91746.320000000298</v>
      </c>
      <c r="AX132" s="261">
        <f>+Z132-'Data FY23-24 Final'!Z132</f>
        <v>7001.1307999999262</v>
      </c>
    </row>
    <row r="133" spans="1:50" s="256" customFormat="1" x14ac:dyDescent="0.25">
      <c r="A133" s="289" t="s">
        <v>370</v>
      </c>
      <c r="B133" s="289" t="s">
        <v>368</v>
      </c>
      <c r="C133" s="297" t="s">
        <v>371</v>
      </c>
      <c r="D133" s="344">
        <v>36960786</v>
      </c>
      <c r="E133" s="344">
        <v>0</v>
      </c>
      <c r="F133" s="344">
        <f t="shared" si="18"/>
        <v>36960786</v>
      </c>
      <c r="G133" s="343">
        <v>5002.91</v>
      </c>
      <c r="H133" s="347">
        <v>27</v>
      </c>
      <c r="I133" s="347">
        <v>0</v>
      </c>
      <c r="J133" s="353">
        <f>+H133-I133</f>
        <v>27</v>
      </c>
      <c r="K133" s="287">
        <v>0</v>
      </c>
      <c r="L133" s="300">
        <v>0</v>
      </c>
      <c r="M133" s="287">
        <v>0</v>
      </c>
      <c r="N133" s="353">
        <v>0</v>
      </c>
      <c r="O133" s="354">
        <v>0</v>
      </c>
      <c r="P133" s="355">
        <f t="shared" si="17"/>
        <v>0.13535724050890044</v>
      </c>
      <c r="Q133" s="360">
        <f t="shared" si="19"/>
        <v>27.135357240508899</v>
      </c>
      <c r="R133" s="299"/>
      <c r="S133" s="299"/>
      <c r="T133" s="299"/>
      <c r="U133" s="299"/>
      <c r="V133" s="299"/>
      <c r="W133" s="299">
        <f t="shared" si="20"/>
        <v>27.135357240508899</v>
      </c>
      <c r="X133" s="287">
        <v>106.164</v>
      </c>
      <c r="Y133" s="344">
        <v>4054256.39</v>
      </c>
      <c r="Z133" s="344">
        <v>2925976.4547999999</v>
      </c>
      <c r="AB133" s="261">
        <f>+D133-'Data FY23-24 Final'!D133</f>
        <v>1832990</v>
      </c>
      <c r="AC133" s="261">
        <f>+E133-'Data FY23-24 Final'!E133</f>
        <v>0</v>
      </c>
      <c r="AD133" s="261">
        <f>+F133-'Data FY23-24 Final'!F133</f>
        <v>1832990</v>
      </c>
      <c r="AE133" s="261">
        <f>+G133-'Data FY23-24 Final'!G133</f>
        <v>1524.9099999999999</v>
      </c>
      <c r="AF133" s="288">
        <f>+H133-'Data FY23-24 Final'!H133</f>
        <v>0</v>
      </c>
      <c r="AG133" s="288">
        <f>+I133-'Data FY23-24 Final'!I133</f>
        <v>0</v>
      </c>
      <c r="AH133" s="288">
        <f>+J133-'Data FY23-24 Final'!J133</f>
        <v>0</v>
      </c>
      <c r="AI133" s="288">
        <f>+K133-'Data FY23-24 Final'!K133</f>
        <v>0</v>
      </c>
      <c r="AJ133" s="288">
        <f>+L133-'Data FY23-24 Final'!L133</f>
        <v>0</v>
      </c>
      <c r="AK133" s="288">
        <f>+M133-'Data FY23-24 Final'!M133</f>
        <v>0</v>
      </c>
      <c r="AL133" s="288">
        <f>+N133-'Data FY23-24 Final'!N133</f>
        <v>0</v>
      </c>
      <c r="AM133" s="288">
        <f>+O133-'Data FY23-24 Final'!O133</f>
        <v>-5</v>
      </c>
      <c r="AN133" s="288">
        <f>+P133-'Data FY23-24 Final'!P133</f>
        <v>3.6357240508900435E-2</v>
      </c>
      <c r="AO133" s="288">
        <f>+Q133-'Data FY23-24 Final'!Q133</f>
        <v>-4.9636427594910977</v>
      </c>
      <c r="AP133" s="288">
        <f>+R133-'Data FY23-24 Final'!R133</f>
        <v>-7.2039999999999997</v>
      </c>
      <c r="AQ133" s="288">
        <f>+S133-'Data FY23-24 Final'!S133</f>
        <v>0</v>
      </c>
      <c r="AR133" s="288">
        <f>+T133-'Data FY23-24 Final'!T133</f>
        <v>0</v>
      </c>
      <c r="AS133" s="288">
        <f>+U133-'Data FY23-24 Final'!U133</f>
        <v>0</v>
      </c>
      <c r="AT133" s="288">
        <f>+V133-'Data FY23-24 Final'!V133</f>
        <v>0</v>
      </c>
      <c r="AU133" s="288">
        <f>+W133-'Data FY23-24 Final'!W133</f>
        <v>-12.167642759491098</v>
      </c>
      <c r="AV133" s="288">
        <f>+X133-'Data FY23-24 Final'!X133</f>
        <v>0</v>
      </c>
      <c r="AW133" s="261">
        <f>+Y133-'Data FY23-24 Final'!Y133</f>
        <v>74102.25</v>
      </c>
      <c r="AX133" s="261">
        <f>+Z133-'Data FY23-24 Final'!Z133</f>
        <v>28.576799999922514</v>
      </c>
    </row>
    <row r="134" spans="1:50" s="256" customFormat="1" ht="13" x14ac:dyDescent="0.3">
      <c r="A134" s="289" t="s">
        <v>372</v>
      </c>
      <c r="B134" s="289" t="s">
        <v>373</v>
      </c>
      <c r="C134" s="297" t="s">
        <v>374</v>
      </c>
      <c r="D134" s="378">
        <v>5358830490</v>
      </c>
      <c r="E134" s="378">
        <v>0</v>
      </c>
      <c r="F134" s="378">
        <v>5358830490</v>
      </c>
      <c r="G134" s="379">
        <v>136396.23000000001</v>
      </c>
      <c r="H134" s="347">
        <v>4.4119999999999999</v>
      </c>
      <c r="I134" s="347">
        <v>0</v>
      </c>
      <c r="J134" s="361">
        <f>+H134-I134-K134-L134</f>
        <v>3.7240000000000002</v>
      </c>
      <c r="K134" s="362">
        <v>0.13699999999999998</v>
      </c>
      <c r="L134" s="363">
        <v>0.55100000000000027</v>
      </c>
      <c r="M134" s="287">
        <v>0.124</v>
      </c>
      <c r="N134" s="353">
        <v>0</v>
      </c>
      <c r="O134" s="354">
        <v>0.68199999999999994</v>
      </c>
      <c r="P134" s="355">
        <f t="shared" si="17"/>
        <v>2.5452611396185442E-2</v>
      </c>
      <c r="Q134" s="360">
        <f t="shared" si="19"/>
        <v>5.2434526113961857</v>
      </c>
      <c r="R134" s="299"/>
      <c r="S134" s="299"/>
      <c r="T134" s="299"/>
      <c r="U134" s="299"/>
      <c r="V134" s="299"/>
      <c r="W134" s="299">
        <f t="shared" si="20"/>
        <v>5.2434526113961857</v>
      </c>
      <c r="X134" s="287">
        <v>3.7239999999999998</v>
      </c>
      <c r="Y134" s="344">
        <v>21956312.75</v>
      </c>
      <c r="Z134" s="344">
        <v>1619.9920807151357</v>
      </c>
      <c r="AB134" s="261">
        <f>+D134-'Data FY23-24 Final'!D134</f>
        <v>5402860</v>
      </c>
      <c r="AC134" s="261">
        <f>+E134-'Data FY23-24 Final'!E134</f>
        <v>0</v>
      </c>
      <c r="AD134" s="261">
        <f>+F134-'Data FY23-24 Final'!F134</f>
        <v>5402860</v>
      </c>
      <c r="AE134" s="261">
        <f>+G134-'Data FY23-24 Final'!G134</f>
        <v>113300.77000000002</v>
      </c>
      <c r="AF134" s="288">
        <f>+H134-'Data FY23-24 Final'!H134</f>
        <v>0</v>
      </c>
      <c r="AG134" s="288">
        <f>+I134-'Data FY23-24 Final'!I134</f>
        <v>0</v>
      </c>
      <c r="AH134" s="288">
        <f>+J134-'Data FY23-24 Final'!J134</f>
        <v>-0.28299999999999947</v>
      </c>
      <c r="AI134" s="288">
        <f>+K134-'Data FY23-24 Final'!K134</f>
        <v>-3.6000000000000004E-2</v>
      </c>
      <c r="AJ134" s="288">
        <f>+L134-'Data FY23-24 Final'!L134</f>
        <v>0.31900000000000028</v>
      </c>
      <c r="AK134" s="288">
        <f>+M134-'Data FY23-24 Final'!M134</f>
        <v>-9.000000000000008E-3</v>
      </c>
      <c r="AL134" s="288">
        <f>+N134-'Data FY23-24 Final'!N134</f>
        <v>0</v>
      </c>
      <c r="AM134" s="288">
        <f>+O134-'Data FY23-24 Final'!O134</f>
        <v>-0.56700000000000017</v>
      </c>
      <c r="AN134" s="288">
        <f>+P134-'Data FY23-24 Final'!P134</f>
        <v>2.1452611396185442E-2</v>
      </c>
      <c r="AO134" s="288">
        <f>+Q134-'Data FY23-24 Final'!Q134</f>
        <v>-0.55454738860381436</v>
      </c>
      <c r="AP134" s="288">
        <f>+R134-'Data FY23-24 Final'!R134</f>
        <v>-1.494</v>
      </c>
      <c r="AQ134" s="288">
        <f>+S134-'Data FY23-24 Final'!S134</f>
        <v>0</v>
      </c>
      <c r="AR134" s="288">
        <f>+T134-'Data FY23-24 Final'!T134</f>
        <v>0</v>
      </c>
      <c r="AS134" s="288">
        <f>+U134-'Data FY23-24 Final'!U134</f>
        <v>0</v>
      </c>
      <c r="AT134" s="288">
        <f>+V134-'Data FY23-24 Final'!V134</f>
        <v>0</v>
      </c>
      <c r="AU134" s="288">
        <f>+W134-'Data FY23-24 Final'!W134</f>
        <v>-2.0485473886038141</v>
      </c>
      <c r="AV134" s="288">
        <f>+X134-'Data FY23-24 Final'!X134</f>
        <v>0</v>
      </c>
      <c r="AW134" s="261">
        <f>+Y134-'Data FY23-24 Final'!Y134</f>
        <v>-66547.410000000149</v>
      </c>
      <c r="AX134" s="261">
        <f>+Z134-'Data FY23-24 Final'!Z134</f>
        <v>1619.9920807151357</v>
      </c>
    </row>
    <row r="135" spans="1:50" s="256" customFormat="1" x14ac:dyDescent="0.25">
      <c r="A135" s="289" t="s">
        <v>375</v>
      </c>
      <c r="B135" s="289" t="s">
        <v>376</v>
      </c>
      <c r="C135" s="297" t="s">
        <v>377</v>
      </c>
      <c r="D135" s="344">
        <v>17688577</v>
      </c>
      <c r="E135" s="344">
        <v>0</v>
      </c>
      <c r="F135" s="344">
        <f t="shared" si="18"/>
        <v>17688577</v>
      </c>
      <c r="G135" s="343">
        <v>3868</v>
      </c>
      <c r="H135" s="347">
        <v>27</v>
      </c>
      <c r="I135" s="347">
        <v>0</v>
      </c>
      <c r="J135" s="353">
        <f t="shared" ref="J135:J156" si="21">+H135-I135</f>
        <v>27</v>
      </c>
      <c r="K135" s="287">
        <v>0</v>
      </c>
      <c r="L135" s="300">
        <v>0</v>
      </c>
      <c r="M135" s="287">
        <v>0</v>
      </c>
      <c r="N135" s="353">
        <v>0</v>
      </c>
      <c r="O135" s="354">
        <v>0</v>
      </c>
      <c r="P135" s="355">
        <f t="shared" si="17"/>
        <v>0.21867219731694643</v>
      </c>
      <c r="Q135" s="360">
        <f t="shared" si="19"/>
        <v>27.218672197316945</v>
      </c>
      <c r="R135" s="299"/>
      <c r="S135" s="299"/>
      <c r="T135" s="299"/>
      <c r="U135" s="299"/>
      <c r="V135" s="299"/>
      <c r="W135" s="299">
        <f t="shared" si="20"/>
        <v>27.218672197316945</v>
      </c>
      <c r="X135" s="287">
        <v>190.959</v>
      </c>
      <c r="Y135" s="344">
        <v>3445903.88</v>
      </c>
      <c r="Z135" s="344">
        <v>2900197.0414</v>
      </c>
      <c r="AB135" s="261">
        <f>+D135-'Data FY23-24 Final'!D135</f>
        <v>364265</v>
      </c>
      <c r="AC135" s="261">
        <f>+E135-'Data FY23-24 Final'!E135</f>
        <v>0</v>
      </c>
      <c r="AD135" s="261">
        <f>+F135-'Data FY23-24 Final'!F135</f>
        <v>364265</v>
      </c>
      <c r="AE135" s="261">
        <f>+G135-'Data FY23-24 Final'!G135</f>
        <v>0</v>
      </c>
      <c r="AF135" s="288">
        <f>+H135-'Data FY23-24 Final'!H135</f>
        <v>0</v>
      </c>
      <c r="AG135" s="288">
        <f>+I135-'Data FY23-24 Final'!I135</f>
        <v>0</v>
      </c>
      <c r="AH135" s="288">
        <f>+J135-'Data FY23-24 Final'!J135</f>
        <v>0</v>
      </c>
      <c r="AI135" s="288">
        <f>+K135-'Data FY23-24 Final'!K135</f>
        <v>0</v>
      </c>
      <c r="AJ135" s="288">
        <f>+L135-'Data FY23-24 Final'!L135</f>
        <v>0</v>
      </c>
      <c r="AK135" s="288">
        <f>+M135-'Data FY23-24 Final'!M135</f>
        <v>0</v>
      </c>
      <c r="AL135" s="288">
        <f>+N135-'Data FY23-24 Final'!N135</f>
        <v>0</v>
      </c>
      <c r="AM135" s="288">
        <f>+O135-'Data FY23-24 Final'!O135</f>
        <v>0</v>
      </c>
      <c r="AN135" s="288">
        <f>+P135-'Data FY23-24 Final'!P135</f>
        <v>-3.2780268305357407E-4</v>
      </c>
      <c r="AO135" s="288">
        <f>+Q135-'Data FY23-24 Final'!Q135</f>
        <v>-3.278026830564329E-4</v>
      </c>
      <c r="AP135" s="288">
        <f>+R135-'Data FY23-24 Final'!R135</f>
        <v>0</v>
      </c>
      <c r="AQ135" s="288">
        <f>+S135-'Data FY23-24 Final'!S135</f>
        <v>0</v>
      </c>
      <c r="AR135" s="288">
        <f>+T135-'Data FY23-24 Final'!T135</f>
        <v>0</v>
      </c>
      <c r="AS135" s="288">
        <f>+U135-'Data FY23-24 Final'!U135</f>
        <v>0</v>
      </c>
      <c r="AT135" s="288">
        <f>+V135-'Data FY23-24 Final'!V135</f>
        <v>0</v>
      </c>
      <c r="AU135" s="288">
        <f>+W135-'Data FY23-24 Final'!W135</f>
        <v>-3.278026830564329E-4</v>
      </c>
      <c r="AV135" s="288">
        <f>+X135-'Data FY23-24 Final'!X135</f>
        <v>0</v>
      </c>
      <c r="AW135" s="261">
        <f>+Y135-'Data FY23-24 Final'!Y135</f>
        <v>143024.47999999998</v>
      </c>
      <c r="AX135" s="261">
        <f>+Z135-'Data FY23-24 Final'!Z135</f>
        <v>130460.49540000036</v>
      </c>
    </row>
    <row r="136" spans="1:50" s="256" customFormat="1" x14ac:dyDescent="0.25">
      <c r="A136" s="289" t="s">
        <v>378</v>
      </c>
      <c r="B136" s="289" t="s">
        <v>376</v>
      </c>
      <c r="C136" s="297" t="s">
        <v>379</v>
      </c>
      <c r="D136" s="344">
        <v>101471821</v>
      </c>
      <c r="E136" s="344">
        <v>3780403</v>
      </c>
      <c r="F136" s="344">
        <f t="shared" si="18"/>
        <v>97691418</v>
      </c>
      <c r="G136" s="343">
        <v>11870</v>
      </c>
      <c r="H136" s="347">
        <v>27</v>
      </c>
      <c r="I136" s="347">
        <v>3.4049999999999976</v>
      </c>
      <c r="J136" s="353">
        <f t="shared" si="21"/>
        <v>23.595000000000002</v>
      </c>
      <c r="K136" s="287">
        <v>0</v>
      </c>
      <c r="L136" s="300">
        <v>0</v>
      </c>
      <c r="M136" s="287">
        <v>0</v>
      </c>
      <c r="N136" s="353">
        <v>0</v>
      </c>
      <c r="O136" s="354">
        <v>0</v>
      </c>
      <c r="P136" s="355">
        <f t="shared" si="17"/>
        <v>0.12150504356482981</v>
      </c>
      <c r="Q136" s="360">
        <f t="shared" si="19"/>
        <v>23.716505043564833</v>
      </c>
      <c r="R136" s="299"/>
      <c r="S136" s="299"/>
      <c r="T136" s="299"/>
      <c r="U136" s="299"/>
      <c r="V136" s="299"/>
      <c r="W136" s="299">
        <f t="shared" si="20"/>
        <v>23.716505043564833</v>
      </c>
      <c r="X136" s="287">
        <v>160.01399999999998</v>
      </c>
      <c r="Y136" s="344">
        <v>15923414.42</v>
      </c>
      <c r="Z136" s="344">
        <v>13424617.256490001</v>
      </c>
      <c r="AB136" s="261">
        <f>+D136-'Data FY23-24 Final'!D136</f>
        <v>7150562</v>
      </c>
      <c r="AC136" s="261">
        <f>+E136-'Data FY23-24 Final'!E136</f>
        <v>177509</v>
      </c>
      <c r="AD136" s="261">
        <f>+F136-'Data FY23-24 Final'!F136</f>
        <v>6973053</v>
      </c>
      <c r="AE136" s="261">
        <f>+G136-'Data FY23-24 Final'!G136</f>
        <v>0</v>
      </c>
      <c r="AF136" s="288">
        <f>+H136-'Data FY23-24 Final'!H136</f>
        <v>0</v>
      </c>
      <c r="AG136" s="288">
        <f>+I136-'Data FY23-24 Final'!I136</f>
        <v>-1.0000000000000027</v>
      </c>
      <c r="AH136" s="288">
        <f>+J136-'Data FY23-24 Final'!J136</f>
        <v>1.0000000000000036</v>
      </c>
      <c r="AI136" s="288">
        <f>+K136-'Data FY23-24 Final'!K136</f>
        <v>0</v>
      </c>
      <c r="AJ136" s="288">
        <f>+L136-'Data FY23-24 Final'!L136</f>
        <v>0</v>
      </c>
      <c r="AK136" s="288">
        <f>+M136-'Data FY23-24 Final'!M136</f>
        <v>0</v>
      </c>
      <c r="AL136" s="288">
        <f>+N136-'Data FY23-24 Final'!N136</f>
        <v>0</v>
      </c>
      <c r="AM136" s="288">
        <f>+O136-'Data FY23-24 Final'!O136</f>
        <v>0</v>
      </c>
      <c r="AN136" s="288">
        <f>+P136-'Data FY23-24 Final'!P136</f>
        <v>-9.4949564351701904E-3</v>
      </c>
      <c r="AO136" s="288">
        <f>+Q136-'Data FY23-24 Final'!Q136</f>
        <v>0.99050504356483415</v>
      </c>
      <c r="AP136" s="288">
        <f>+R136-'Data FY23-24 Final'!R136</f>
        <v>-3.5830000000000002</v>
      </c>
      <c r="AQ136" s="288">
        <f>+S136-'Data FY23-24 Final'!S136</f>
        <v>0</v>
      </c>
      <c r="AR136" s="288">
        <f>+T136-'Data FY23-24 Final'!T136</f>
        <v>0</v>
      </c>
      <c r="AS136" s="288">
        <f>+U136-'Data FY23-24 Final'!U136</f>
        <v>0</v>
      </c>
      <c r="AT136" s="288">
        <f>+V136-'Data FY23-24 Final'!V136</f>
        <v>0</v>
      </c>
      <c r="AU136" s="288">
        <f>+W136-'Data FY23-24 Final'!W136</f>
        <v>-2.5924949564351678</v>
      </c>
      <c r="AV136" s="288">
        <f>+X136-'Data FY23-24 Final'!X136</f>
        <v>0</v>
      </c>
      <c r="AW136" s="261">
        <f>+Y136-'Data FY23-24 Final'!Y136</f>
        <v>294921.63000000082</v>
      </c>
      <c r="AX136" s="261">
        <f>+Z136-'Data FY23-24 Final'!Z136</f>
        <v>154732.25366500206</v>
      </c>
    </row>
    <row r="137" spans="1:50" s="256" customFormat="1" x14ac:dyDescent="0.25">
      <c r="A137" s="289" t="s">
        <v>380</v>
      </c>
      <c r="B137" s="289" t="s">
        <v>376</v>
      </c>
      <c r="C137" s="297" t="s">
        <v>381</v>
      </c>
      <c r="D137" s="344">
        <v>29705691</v>
      </c>
      <c r="E137" s="344">
        <v>0</v>
      </c>
      <c r="F137" s="344">
        <f t="shared" si="18"/>
        <v>29705691</v>
      </c>
      <c r="G137" s="343">
        <v>5511</v>
      </c>
      <c r="H137" s="347">
        <v>27</v>
      </c>
      <c r="I137" s="347">
        <v>0</v>
      </c>
      <c r="J137" s="353">
        <f t="shared" si="21"/>
        <v>27</v>
      </c>
      <c r="K137" s="287">
        <v>0</v>
      </c>
      <c r="L137" s="300">
        <v>0</v>
      </c>
      <c r="M137" s="287">
        <v>0</v>
      </c>
      <c r="N137" s="353">
        <v>0</v>
      </c>
      <c r="O137" s="354">
        <v>0</v>
      </c>
      <c r="P137" s="355">
        <f t="shared" si="17"/>
        <v>0.18552000692392578</v>
      </c>
      <c r="Q137" s="360">
        <f t="shared" si="19"/>
        <v>27.185520006923927</v>
      </c>
      <c r="R137" s="299"/>
      <c r="S137" s="299"/>
      <c r="T137" s="299"/>
      <c r="U137" s="299"/>
      <c r="V137" s="299"/>
      <c r="W137" s="299">
        <f t="shared" si="20"/>
        <v>27.185520006923927</v>
      </c>
      <c r="X137" s="287">
        <v>122.26299999999999</v>
      </c>
      <c r="Y137" s="344">
        <v>3785964.24</v>
      </c>
      <c r="Z137" s="344">
        <v>2829858.5712000001</v>
      </c>
      <c r="AB137" s="261">
        <f>+D137-'Data FY23-24 Final'!D137</f>
        <v>844913</v>
      </c>
      <c r="AC137" s="261">
        <f>+E137-'Data FY23-24 Final'!E137</f>
        <v>0</v>
      </c>
      <c r="AD137" s="261">
        <f>+F137-'Data FY23-24 Final'!F137</f>
        <v>844913</v>
      </c>
      <c r="AE137" s="261">
        <f>+G137-'Data FY23-24 Final'!G137</f>
        <v>0</v>
      </c>
      <c r="AF137" s="288">
        <f>+H137-'Data FY23-24 Final'!H137</f>
        <v>0</v>
      </c>
      <c r="AG137" s="288">
        <f>+I137-'Data FY23-24 Final'!I137</f>
        <v>0</v>
      </c>
      <c r="AH137" s="288">
        <f>+J137-'Data FY23-24 Final'!J137</f>
        <v>0</v>
      </c>
      <c r="AI137" s="288">
        <f>+K137-'Data FY23-24 Final'!K137</f>
        <v>0</v>
      </c>
      <c r="AJ137" s="288">
        <f>+L137-'Data FY23-24 Final'!L137</f>
        <v>0</v>
      </c>
      <c r="AK137" s="288">
        <f>+M137-'Data FY23-24 Final'!M137</f>
        <v>0</v>
      </c>
      <c r="AL137" s="288">
        <f>+N137-'Data FY23-24 Final'!N137</f>
        <v>0</v>
      </c>
      <c r="AM137" s="288">
        <f>+O137-'Data FY23-24 Final'!O137</f>
        <v>0</v>
      </c>
      <c r="AN137" s="288">
        <f>+P137-'Data FY23-24 Final'!P137</f>
        <v>-5.4799930760742188E-3</v>
      </c>
      <c r="AO137" s="288">
        <f>+Q137-'Data FY23-24 Final'!Q137</f>
        <v>-5.4799930760722759E-3</v>
      </c>
      <c r="AP137" s="288">
        <f>+R137-'Data FY23-24 Final'!R137</f>
        <v>-8.7620000000000005</v>
      </c>
      <c r="AQ137" s="288">
        <f>+S137-'Data FY23-24 Final'!S137</f>
        <v>0</v>
      </c>
      <c r="AR137" s="288">
        <f>+T137-'Data FY23-24 Final'!T137</f>
        <v>0</v>
      </c>
      <c r="AS137" s="288">
        <f>+U137-'Data FY23-24 Final'!U137</f>
        <v>0</v>
      </c>
      <c r="AT137" s="288">
        <f>+V137-'Data FY23-24 Final'!V137</f>
        <v>0</v>
      </c>
      <c r="AU137" s="288">
        <f>+W137-'Data FY23-24 Final'!W137</f>
        <v>-8.7674799930760763</v>
      </c>
      <c r="AV137" s="288">
        <f>+X137-'Data FY23-24 Final'!X137</f>
        <v>0</v>
      </c>
      <c r="AW137" s="261">
        <f>+Y137-'Data FY23-24 Final'!Y137</f>
        <v>64967.670000000391</v>
      </c>
      <c r="AX137" s="261">
        <f>+Z137-'Data FY23-24 Final'!Z137</f>
        <v>1853.5572000001557</v>
      </c>
    </row>
    <row r="138" spans="1:50" s="256" customFormat="1" x14ac:dyDescent="0.25">
      <c r="A138" s="289" t="s">
        <v>382</v>
      </c>
      <c r="B138" s="289" t="s">
        <v>376</v>
      </c>
      <c r="C138" s="297" t="s">
        <v>383</v>
      </c>
      <c r="D138" s="344">
        <v>14105675</v>
      </c>
      <c r="E138" s="344">
        <v>0</v>
      </c>
      <c r="F138" s="344">
        <f t="shared" si="18"/>
        <v>14105675</v>
      </c>
      <c r="G138" s="343">
        <v>2087.88</v>
      </c>
      <c r="H138" s="347">
        <v>27</v>
      </c>
      <c r="I138" s="347">
        <v>0</v>
      </c>
      <c r="J138" s="353">
        <f t="shared" si="21"/>
        <v>27</v>
      </c>
      <c r="K138" s="287">
        <v>0</v>
      </c>
      <c r="L138" s="300">
        <v>0</v>
      </c>
      <c r="M138" s="287">
        <v>0</v>
      </c>
      <c r="N138" s="353">
        <v>0</v>
      </c>
      <c r="O138" s="354">
        <v>0</v>
      </c>
      <c r="P138" s="355">
        <f t="shared" si="17"/>
        <v>0.14801702151793517</v>
      </c>
      <c r="Q138" s="360">
        <f t="shared" si="19"/>
        <v>27.148017021517934</v>
      </c>
      <c r="R138" s="299"/>
      <c r="S138" s="299"/>
      <c r="T138" s="299"/>
      <c r="U138" s="299"/>
      <c r="V138" s="299"/>
      <c r="W138" s="299">
        <f t="shared" si="20"/>
        <v>27.148017021517934</v>
      </c>
      <c r="X138" s="287">
        <v>257.697</v>
      </c>
      <c r="Y138" s="344">
        <v>3676420.71</v>
      </c>
      <c r="Z138" s="344">
        <v>3254130.2656999999</v>
      </c>
      <c r="AB138" s="261">
        <f>+D138-'Data FY23-24 Final'!D138</f>
        <v>795046</v>
      </c>
      <c r="AC138" s="261">
        <f>+E138-'Data FY23-24 Final'!E138</f>
        <v>0</v>
      </c>
      <c r="AD138" s="261">
        <f>+F138-'Data FY23-24 Final'!F138</f>
        <v>795046</v>
      </c>
      <c r="AE138" s="261">
        <f>+G138-'Data FY23-24 Final'!G138</f>
        <v>0</v>
      </c>
      <c r="AF138" s="288">
        <f>+H138-'Data FY23-24 Final'!H138</f>
        <v>0</v>
      </c>
      <c r="AG138" s="288">
        <f>+I138-'Data FY23-24 Final'!I138</f>
        <v>0</v>
      </c>
      <c r="AH138" s="288">
        <f>+J138-'Data FY23-24 Final'!J138</f>
        <v>0</v>
      </c>
      <c r="AI138" s="288">
        <f>+K138-'Data FY23-24 Final'!K138</f>
        <v>0</v>
      </c>
      <c r="AJ138" s="288">
        <f>+L138-'Data FY23-24 Final'!L138</f>
        <v>0</v>
      </c>
      <c r="AK138" s="288">
        <f>+M138-'Data FY23-24 Final'!M138</f>
        <v>0</v>
      </c>
      <c r="AL138" s="288">
        <f>+N138-'Data FY23-24 Final'!N138</f>
        <v>0</v>
      </c>
      <c r="AM138" s="288">
        <f>+O138-'Data FY23-24 Final'!O138</f>
        <v>0</v>
      </c>
      <c r="AN138" s="288">
        <f>+P138-'Data FY23-24 Final'!P138</f>
        <v>-8.9829784820648351E-3</v>
      </c>
      <c r="AO138" s="288">
        <f>+Q138-'Data FY23-24 Final'!Q138</f>
        <v>-8.9829784820665282E-3</v>
      </c>
      <c r="AP138" s="288">
        <f>+R138-'Data FY23-24 Final'!R138</f>
        <v>0</v>
      </c>
      <c r="AQ138" s="288">
        <f>+S138-'Data FY23-24 Final'!S138</f>
        <v>0</v>
      </c>
      <c r="AR138" s="288">
        <f>+T138-'Data FY23-24 Final'!T138</f>
        <v>0</v>
      </c>
      <c r="AS138" s="288">
        <f>+U138-'Data FY23-24 Final'!U138</f>
        <v>0</v>
      </c>
      <c r="AT138" s="288">
        <f>+V138-'Data FY23-24 Final'!V138</f>
        <v>0</v>
      </c>
      <c r="AU138" s="288">
        <f>+W138-'Data FY23-24 Final'!W138</f>
        <v>-8.9829784820665282E-3</v>
      </c>
      <c r="AV138" s="288">
        <f>+X138-'Data FY23-24 Final'!X138</f>
        <v>0</v>
      </c>
      <c r="AW138" s="261">
        <f>+Y138-'Data FY23-24 Final'!Y138</f>
        <v>-34439.089999999851</v>
      </c>
      <c r="AX138" s="261">
        <f>+Z138-'Data FY23-24 Final'!Z138</f>
        <v>-49074.31129999971</v>
      </c>
    </row>
    <row r="139" spans="1:50" s="256" customFormat="1" ht="13" x14ac:dyDescent="0.3">
      <c r="A139" s="289" t="s">
        <v>384</v>
      </c>
      <c r="B139" s="289" t="s">
        <v>385</v>
      </c>
      <c r="C139" s="297" t="s">
        <v>386</v>
      </c>
      <c r="D139" s="378">
        <v>1372895447</v>
      </c>
      <c r="E139" s="378">
        <v>123920438</v>
      </c>
      <c r="F139" s="378">
        <v>1248975009</v>
      </c>
      <c r="G139" s="379">
        <v>291596</v>
      </c>
      <c r="H139" s="347">
        <v>27</v>
      </c>
      <c r="I139" s="347">
        <v>0</v>
      </c>
      <c r="J139" s="353">
        <f t="shared" si="21"/>
        <v>27</v>
      </c>
      <c r="K139" s="287">
        <v>0</v>
      </c>
      <c r="L139" s="300">
        <v>0</v>
      </c>
      <c r="M139" s="287">
        <v>0</v>
      </c>
      <c r="N139" s="353">
        <v>0</v>
      </c>
      <c r="O139" s="354">
        <v>0</v>
      </c>
      <c r="P139" s="355">
        <f t="shared" si="17"/>
        <v>0.23346824227769636</v>
      </c>
      <c r="Q139" s="360">
        <f t="shared" si="19"/>
        <v>27.233468242277695</v>
      </c>
      <c r="R139" s="299"/>
      <c r="S139" s="299"/>
      <c r="T139" s="299"/>
      <c r="U139" s="299"/>
      <c r="V139" s="299"/>
      <c r="W139" s="299">
        <f t="shared" si="20"/>
        <v>27.233468242277695</v>
      </c>
      <c r="X139" s="287">
        <v>115.15599999999999</v>
      </c>
      <c r="Y139" s="344">
        <v>159482481.22</v>
      </c>
      <c r="Z139" s="344">
        <v>119623690.06640001</v>
      </c>
      <c r="AB139" s="261">
        <f>+D139-'Data FY23-24 Final'!D139</f>
        <v>61877226</v>
      </c>
      <c r="AC139" s="261">
        <f>+E139-'Data FY23-24 Final'!E139</f>
        <v>45591406</v>
      </c>
      <c r="AD139" s="261">
        <f>+F139-'Data FY23-24 Final'!F139</f>
        <v>16285820</v>
      </c>
      <c r="AE139" s="261">
        <f>+G139-'Data FY23-24 Final'!G139</f>
        <v>-654258.64</v>
      </c>
      <c r="AF139" s="288">
        <f>+H139-'Data FY23-24 Final'!H139</f>
        <v>0</v>
      </c>
      <c r="AG139" s="288">
        <f>+I139-'Data FY23-24 Final'!I139</f>
        <v>0</v>
      </c>
      <c r="AH139" s="288">
        <f>+J139-'Data FY23-24 Final'!J139</f>
        <v>0</v>
      </c>
      <c r="AI139" s="288">
        <f>+K139-'Data FY23-24 Final'!K139</f>
        <v>0</v>
      </c>
      <c r="AJ139" s="288">
        <f>+L139-'Data FY23-24 Final'!L139</f>
        <v>0</v>
      </c>
      <c r="AK139" s="288">
        <f>+M139-'Data FY23-24 Final'!M139</f>
        <v>0</v>
      </c>
      <c r="AL139" s="288">
        <f>+N139-'Data FY23-24 Final'!N139</f>
        <v>0</v>
      </c>
      <c r="AM139" s="288">
        <f>+O139-'Data FY23-24 Final'!O139</f>
        <v>0</v>
      </c>
      <c r="AN139" s="288">
        <f>+P139-'Data FY23-24 Final'!P139</f>
        <v>-0.53353175772230366</v>
      </c>
      <c r="AO139" s="288">
        <f>+Q139-'Data FY23-24 Final'!Q139</f>
        <v>-0.53353175772230443</v>
      </c>
      <c r="AP139" s="288">
        <f>+R139-'Data FY23-24 Final'!R139</f>
        <v>-13.7</v>
      </c>
      <c r="AQ139" s="288">
        <f>+S139-'Data FY23-24 Final'!S139</f>
        <v>0</v>
      </c>
      <c r="AR139" s="288">
        <f>+T139-'Data FY23-24 Final'!T139</f>
        <v>0</v>
      </c>
      <c r="AS139" s="288">
        <f>+U139-'Data FY23-24 Final'!U139</f>
        <v>0</v>
      </c>
      <c r="AT139" s="288">
        <f>+V139-'Data FY23-24 Final'!V139</f>
        <v>0</v>
      </c>
      <c r="AU139" s="288">
        <f>+W139-'Data FY23-24 Final'!W139</f>
        <v>-14.233531757722304</v>
      </c>
      <c r="AV139" s="288">
        <f>+X139-'Data FY23-24 Final'!X139</f>
        <v>0</v>
      </c>
      <c r="AW139" s="261">
        <f>+Y139-'Data FY23-24 Final'!Y139</f>
        <v>2235568.1899999976</v>
      </c>
      <c r="AX139" s="261">
        <f>+Z139-'Data FY23-24 Final'!Z139</f>
        <v>-1208160.5305999964</v>
      </c>
    </row>
    <row r="140" spans="1:50" s="256" customFormat="1" ht="13" x14ac:dyDescent="0.3">
      <c r="A140" s="289" t="s">
        <v>387</v>
      </c>
      <c r="B140" s="289" t="s">
        <v>385</v>
      </c>
      <c r="C140" s="297" t="s">
        <v>388</v>
      </c>
      <c r="D140" s="378">
        <v>1053664218</v>
      </c>
      <c r="E140" s="378">
        <v>22030914</v>
      </c>
      <c r="F140" s="378">
        <v>1031633304</v>
      </c>
      <c r="G140" s="379">
        <v>16434</v>
      </c>
      <c r="H140" s="347">
        <v>27</v>
      </c>
      <c r="I140" s="347">
        <v>0</v>
      </c>
      <c r="J140" s="353">
        <f t="shared" si="21"/>
        <v>27</v>
      </c>
      <c r="K140" s="287">
        <v>0</v>
      </c>
      <c r="L140" s="300">
        <v>0</v>
      </c>
      <c r="M140" s="287">
        <v>0</v>
      </c>
      <c r="N140" s="353">
        <v>0</v>
      </c>
      <c r="O140" s="354">
        <v>0</v>
      </c>
      <c r="P140" s="355">
        <f t="shared" si="17"/>
        <v>1.5930078969222574E-2</v>
      </c>
      <c r="Q140" s="360">
        <f t="shared" si="19"/>
        <v>27.015930078969223</v>
      </c>
      <c r="R140" s="299"/>
      <c r="S140" s="299"/>
      <c r="T140" s="299"/>
      <c r="U140" s="299"/>
      <c r="V140" s="299"/>
      <c r="W140" s="299">
        <f t="shared" si="20"/>
        <v>27.015930078969223</v>
      </c>
      <c r="X140" s="287">
        <v>95.032000000000011</v>
      </c>
      <c r="Y140" s="344">
        <v>104697971.13</v>
      </c>
      <c r="Z140" s="344">
        <v>72643014.700199991</v>
      </c>
      <c r="AB140" s="261">
        <f>+D140-'Data FY23-24 Final'!D140</f>
        <v>27431719</v>
      </c>
      <c r="AC140" s="261">
        <f>+E140-'Data FY23-24 Final'!E140</f>
        <v>1514096</v>
      </c>
      <c r="AD140" s="261">
        <f>+F140-'Data FY23-24 Final'!F140</f>
        <v>25917623</v>
      </c>
      <c r="AE140" s="261">
        <f>+G140-'Data FY23-24 Final'!G140</f>
        <v>-169347</v>
      </c>
      <c r="AF140" s="288">
        <f>+H140-'Data FY23-24 Final'!H140</f>
        <v>0</v>
      </c>
      <c r="AG140" s="288">
        <f>+I140-'Data FY23-24 Final'!I140</f>
        <v>0</v>
      </c>
      <c r="AH140" s="288">
        <f>+J140-'Data FY23-24 Final'!J140</f>
        <v>0</v>
      </c>
      <c r="AI140" s="288">
        <f>+K140-'Data FY23-24 Final'!K140</f>
        <v>0</v>
      </c>
      <c r="AJ140" s="288">
        <f>+L140-'Data FY23-24 Final'!L140</f>
        <v>0</v>
      </c>
      <c r="AK140" s="288">
        <f>+M140-'Data FY23-24 Final'!M140</f>
        <v>0</v>
      </c>
      <c r="AL140" s="288">
        <f>+N140-'Data FY23-24 Final'!N140</f>
        <v>0</v>
      </c>
      <c r="AM140" s="288">
        <f>+O140-'Data FY23-24 Final'!O140</f>
        <v>0</v>
      </c>
      <c r="AN140" s="288">
        <f>+P140-'Data FY23-24 Final'!P140</f>
        <v>-0.16906992103077742</v>
      </c>
      <c r="AO140" s="288">
        <f>+Q140-'Data FY23-24 Final'!Q140</f>
        <v>-0.16906992103077556</v>
      </c>
      <c r="AP140" s="288">
        <f>+R140-'Data FY23-24 Final'!R140</f>
        <v>-12.962999999999999</v>
      </c>
      <c r="AQ140" s="288">
        <f>+S140-'Data FY23-24 Final'!S140</f>
        <v>0</v>
      </c>
      <c r="AR140" s="288">
        <f>+T140-'Data FY23-24 Final'!T140</f>
        <v>0</v>
      </c>
      <c r="AS140" s="288">
        <f>+U140-'Data FY23-24 Final'!U140</f>
        <v>0</v>
      </c>
      <c r="AT140" s="288">
        <f>+V140-'Data FY23-24 Final'!V140</f>
        <v>0</v>
      </c>
      <c r="AU140" s="288">
        <f>+W140-'Data FY23-24 Final'!W140</f>
        <v>-13.13206992103078</v>
      </c>
      <c r="AV140" s="288">
        <f>+X140-'Data FY23-24 Final'!X140</f>
        <v>0</v>
      </c>
      <c r="AW140" s="261">
        <f>+Y140-'Data FY23-24 Final'!Y140</f>
        <v>576771.73999999464</v>
      </c>
      <c r="AX140" s="261">
        <f>+Z140-'Data FY23-24 Final'!Z140</f>
        <v>-2385507.7028000206</v>
      </c>
    </row>
    <row r="141" spans="1:50" s="256" customFormat="1" ht="13" x14ac:dyDescent="0.3">
      <c r="A141" s="289" t="s">
        <v>389</v>
      </c>
      <c r="B141" s="289" t="s">
        <v>390</v>
      </c>
      <c r="C141" s="297" t="s">
        <v>391</v>
      </c>
      <c r="D141" s="378">
        <v>507568040</v>
      </c>
      <c r="E141" s="378">
        <v>0</v>
      </c>
      <c r="F141" s="378">
        <v>507568040</v>
      </c>
      <c r="G141" s="379">
        <v>16994100</v>
      </c>
      <c r="H141" s="347">
        <v>5.7670000000000003</v>
      </c>
      <c r="I141" s="347">
        <v>0</v>
      </c>
      <c r="J141" s="353">
        <f t="shared" si="21"/>
        <v>5.7670000000000003</v>
      </c>
      <c r="K141" s="287">
        <v>0</v>
      </c>
      <c r="L141" s="300">
        <v>0</v>
      </c>
      <c r="M141" s="287">
        <v>0</v>
      </c>
      <c r="N141" s="353">
        <v>0</v>
      </c>
      <c r="O141" s="354">
        <v>0.60599999999999998</v>
      </c>
      <c r="P141" s="355">
        <f t="shared" si="17"/>
        <v>33.481422510369249</v>
      </c>
      <c r="Q141" s="360">
        <f t="shared" si="19"/>
        <v>39.854422510369247</v>
      </c>
      <c r="R141" s="299"/>
      <c r="S141" s="299"/>
      <c r="T141" s="299"/>
      <c r="U141" s="299"/>
      <c r="V141" s="299"/>
      <c r="W141" s="299">
        <f t="shared" si="20"/>
        <v>39.854422510369247</v>
      </c>
      <c r="X141" s="287">
        <v>11.077999999999999</v>
      </c>
      <c r="Y141" s="344">
        <v>7508312.0999999996</v>
      </c>
      <c r="Z141" s="344">
        <v>3546456.534239999</v>
      </c>
      <c r="AB141" s="261">
        <f>+D141-'Data FY23-24 Final'!D141</f>
        <v>-155060850</v>
      </c>
      <c r="AC141" s="261">
        <f>+E141-'Data FY23-24 Final'!E141</f>
        <v>0</v>
      </c>
      <c r="AD141" s="261">
        <f>+F141-'Data FY23-24 Final'!F141</f>
        <v>-155060850</v>
      </c>
      <c r="AE141" s="261">
        <f>+G141-'Data FY23-24 Final'!G141</f>
        <v>16994093.969999999</v>
      </c>
      <c r="AF141" s="288">
        <f>+H141-'Data FY23-24 Final'!H141</f>
        <v>0</v>
      </c>
      <c r="AG141" s="288">
        <f>+I141-'Data FY23-24 Final'!I141</f>
        <v>0</v>
      </c>
      <c r="AH141" s="288">
        <f>+J141-'Data FY23-24 Final'!J141</f>
        <v>0</v>
      </c>
      <c r="AI141" s="288">
        <f>+K141-'Data FY23-24 Final'!K141</f>
        <v>0</v>
      </c>
      <c r="AJ141" s="288">
        <f>+L141-'Data FY23-24 Final'!L141</f>
        <v>0</v>
      </c>
      <c r="AK141" s="288">
        <f>+M141-'Data FY23-24 Final'!M141</f>
        <v>0</v>
      </c>
      <c r="AL141" s="288">
        <f>+N141-'Data FY23-24 Final'!N141</f>
        <v>0</v>
      </c>
      <c r="AM141" s="288">
        <f>+O141-'Data FY23-24 Final'!O141</f>
        <v>-4.0000000000000036E-3</v>
      </c>
      <c r="AN141" s="288">
        <f>+P141-'Data FY23-24 Final'!P141</f>
        <v>33.481422510369249</v>
      </c>
      <c r="AO141" s="288">
        <f>+Q141-'Data FY23-24 Final'!Q141</f>
        <v>33.477422510369244</v>
      </c>
      <c r="AP141" s="288">
        <f>+R141-'Data FY23-24 Final'!R141</f>
        <v>-6.9420000000000002</v>
      </c>
      <c r="AQ141" s="288">
        <f>+S141-'Data FY23-24 Final'!S141</f>
        <v>0</v>
      </c>
      <c r="AR141" s="288">
        <f>+T141-'Data FY23-24 Final'!T141</f>
        <v>0</v>
      </c>
      <c r="AS141" s="288">
        <f>+U141-'Data FY23-24 Final'!U141</f>
        <v>0</v>
      </c>
      <c r="AT141" s="288">
        <f>+V141-'Data FY23-24 Final'!V141</f>
        <v>0</v>
      </c>
      <c r="AU141" s="288">
        <f>+W141-'Data FY23-24 Final'!W141</f>
        <v>26.535422510369244</v>
      </c>
      <c r="AV141" s="288">
        <f>+X141-'Data FY23-24 Final'!X141</f>
        <v>0</v>
      </c>
      <c r="AW141" s="261">
        <f>+Y141-'Data FY23-24 Final'!Y141</f>
        <v>-40462.419999999925</v>
      </c>
      <c r="AX141" s="261">
        <f>+Z141-'Data FY23-24 Final'!Z141</f>
        <v>-51690.447130000219</v>
      </c>
    </row>
    <row r="142" spans="1:50" s="256" customFormat="1" ht="13" x14ac:dyDescent="0.3">
      <c r="A142" s="289" t="s">
        <v>392</v>
      </c>
      <c r="B142" s="289" t="s">
        <v>390</v>
      </c>
      <c r="C142" s="297" t="s">
        <v>393</v>
      </c>
      <c r="D142" s="378">
        <v>277233280</v>
      </c>
      <c r="E142" s="378">
        <v>0</v>
      </c>
      <c r="F142" s="378">
        <v>277233280</v>
      </c>
      <c r="G142" s="379">
        <v>492600</v>
      </c>
      <c r="H142" s="347">
        <v>6.1429999999999998</v>
      </c>
      <c r="I142" s="347">
        <v>2.7000000000000135E-2</v>
      </c>
      <c r="J142" s="353">
        <f t="shared" si="21"/>
        <v>6.1159999999999997</v>
      </c>
      <c r="K142" s="287">
        <v>0</v>
      </c>
      <c r="L142" s="300">
        <v>0</v>
      </c>
      <c r="M142" s="287">
        <v>1.8920000000000001</v>
      </c>
      <c r="N142" s="353">
        <v>0</v>
      </c>
      <c r="O142" s="354">
        <v>0</v>
      </c>
      <c r="P142" s="355">
        <f t="shared" si="17"/>
        <v>1.7768429533423982</v>
      </c>
      <c r="Q142" s="360">
        <f t="shared" si="19"/>
        <v>9.7848429533423982</v>
      </c>
      <c r="R142" s="299"/>
      <c r="S142" s="299"/>
      <c r="T142" s="299"/>
      <c r="U142" s="299"/>
      <c r="V142" s="299"/>
      <c r="W142" s="299">
        <f t="shared" si="20"/>
        <v>9.7848429533423982</v>
      </c>
      <c r="X142" s="287">
        <v>14.732000000000001</v>
      </c>
      <c r="Y142" s="344">
        <v>5286262.41</v>
      </c>
      <c r="Z142" s="344">
        <v>3412695.6232800004</v>
      </c>
      <c r="AB142" s="261">
        <f>+D142-'Data FY23-24 Final'!D142</f>
        <v>-74941550</v>
      </c>
      <c r="AC142" s="261">
        <f>+E142-'Data FY23-24 Final'!E142</f>
        <v>0</v>
      </c>
      <c r="AD142" s="261">
        <f>+F142-'Data FY23-24 Final'!F142</f>
        <v>-74941550</v>
      </c>
      <c r="AE142" s="261">
        <f>+G142-'Data FY23-24 Final'!G142</f>
        <v>492552.64</v>
      </c>
      <c r="AF142" s="288">
        <f>+H142-'Data FY23-24 Final'!H142</f>
        <v>0</v>
      </c>
      <c r="AG142" s="288">
        <f>+I142-'Data FY23-24 Final'!I142</f>
        <v>-0.99999999999999978</v>
      </c>
      <c r="AH142" s="288">
        <f>+J142-'Data FY23-24 Final'!J142</f>
        <v>1</v>
      </c>
      <c r="AI142" s="288">
        <f>+K142-'Data FY23-24 Final'!K142</f>
        <v>0</v>
      </c>
      <c r="AJ142" s="288">
        <f>+L142-'Data FY23-24 Final'!L142</f>
        <v>0</v>
      </c>
      <c r="AK142" s="288">
        <f>+M142-'Data FY23-24 Final'!M142</f>
        <v>-1.399999999999979E-2</v>
      </c>
      <c r="AL142" s="288">
        <f>+N142-'Data FY23-24 Final'!N142</f>
        <v>0</v>
      </c>
      <c r="AM142" s="288">
        <f>+O142-'Data FY23-24 Final'!O142</f>
        <v>-2.67</v>
      </c>
      <c r="AN142" s="288">
        <f>+P142-'Data FY23-24 Final'!P142</f>
        <v>1.7768429533423982</v>
      </c>
      <c r="AO142" s="288">
        <f>+Q142-'Data FY23-24 Final'!Q142</f>
        <v>9.2842953342398005E-2</v>
      </c>
      <c r="AP142" s="288">
        <f>+R142-'Data FY23-24 Final'!R142</f>
        <v>0</v>
      </c>
      <c r="AQ142" s="288">
        <f>+S142-'Data FY23-24 Final'!S142</f>
        <v>-0.96499999999999997</v>
      </c>
      <c r="AR142" s="288">
        <f>+T142-'Data FY23-24 Final'!T142</f>
        <v>0</v>
      </c>
      <c r="AS142" s="288">
        <f>+U142-'Data FY23-24 Final'!U142</f>
        <v>0</v>
      </c>
      <c r="AT142" s="288">
        <f>+V142-'Data FY23-24 Final'!V142</f>
        <v>0</v>
      </c>
      <c r="AU142" s="288">
        <f>+W142-'Data FY23-24 Final'!W142</f>
        <v>-0.87215704665760185</v>
      </c>
      <c r="AV142" s="288">
        <f>+X142-'Data FY23-24 Final'!X142</f>
        <v>0</v>
      </c>
      <c r="AW142" s="261">
        <f>+Y142-'Data FY23-24 Final'!Y142</f>
        <v>-22201.370000000112</v>
      </c>
      <c r="AX142" s="261">
        <f>+Z142-'Data FY23-24 Final'!Z142</f>
        <v>-59435.686439999845</v>
      </c>
    </row>
    <row r="143" spans="1:50" s="256" customFormat="1" ht="13" x14ac:dyDescent="0.3">
      <c r="A143" s="289" t="s">
        <v>394</v>
      </c>
      <c r="B143" s="289" t="s">
        <v>395</v>
      </c>
      <c r="C143" s="297" t="s">
        <v>396</v>
      </c>
      <c r="D143" s="378">
        <v>116479689</v>
      </c>
      <c r="E143" s="378">
        <v>0</v>
      </c>
      <c r="F143" s="378">
        <v>116479689</v>
      </c>
      <c r="G143" s="379">
        <v>8563.51</v>
      </c>
      <c r="H143" s="347">
        <v>27</v>
      </c>
      <c r="I143" s="347">
        <v>6.6920000000000002</v>
      </c>
      <c r="J143" s="353">
        <f t="shared" si="21"/>
        <v>20.308</v>
      </c>
      <c r="K143" s="287">
        <v>0</v>
      </c>
      <c r="L143" s="300">
        <v>0</v>
      </c>
      <c r="M143" s="287">
        <v>0</v>
      </c>
      <c r="N143" s="353">
        <v>0</v>
      </c>
      <c r="O143" s="354">
        <v>6.8810000000000002</v>
      </c>
      <c r="P143" s="355">
        <f t="shared" si="17"/>
        <v>7.3519341213213574E-2</v>
      </c>
      <c r="Q143" s="360">
        <f t="shared" si="19"/>
        <v>27.262519341213213</v>
      </c>
      <c r="R143" s="299"/>
      <c r="S143" s="299"/>
      <c r="T143" s="299"/>
      <c r="U143" s="299"/>
      <c r="V143" s="299"/>
      <c r="W143" s="299">
        <f t="shared" si="20"/>
        <v>27.262519341213213</v>
      </c>
      <c r="X143" s="287">
        <v>39.650999999999996</v>
      </c>
      <c r="Y143" s="344">
        <v>5026687.97</v>
      </c>
      <c r="Z143" s="344">
        <v>2461371.6294</v>
      </c>
      <c r="AB143" s="261">
        <f>+D143-'Data FY23-24 Final'!D143</f>
        <v>5001683</v>
      </c>
      <c r="AC143" s="261">
        <f>+E143-'Data FY23-24 Final'!E143</f>
        <v>0</v>
      </c>
      <c r="AD143" s="261">
        <f>+F143-'Data FY23-24 Final'!F143</f>
        <v>5001683</v>
      </c>
      <c r="AE143" s="261">
        <f>+G143-'Data FY23-24 Final'!G143</f>
        <v>1855.17</v>
      </c>
      <c r="AF143" s="288">
        <f>+H143-'Data FY23-24 Final'!H143</f>
        <v>0</v>
      </c>
      <c r="AG143" s="288">
        <f>+I143-'Data FY23-24 Final'!I143</f>
        <v>-1</v>
      </c>
      <c r="AH143" s="288">
        <f>+J143-'Data FY23-24 Final'!J143</f>
        <v>1</v>
      </c>
      <c r="AI143" s="288">
        <f>+K143-'Data FY23-24 Final'!K143</f>
        <v>0</v>
      </c>
      <c r="AJ143" s="288">
        <f>+L143-'Data FY23-24 Final'!L143</f>
        <v>0</v>
      </c>
      <c r="AK143" s="288">
        <f>+M143-'Data FY23-24 Final'!M143</f>
        <v>0</v>
      </c>
      <c r="AL143" s="288">
        <f>+N143-'Data FY23-24 Final'!N143</f>
        <v>0</v>
      </c>
      <c r="AM143" s="288">
        <f>+O143-'Data FY23-24 Final'!O143</f>
        <v>-2.1189999999999998</v>
      </c>
      <c r="AN143" s="288">
        <f>+P143-'Data FY23-24 Final'!P143</f>
        <v>1.3519341213213576E-2</v>
      </c>
      <c r="AO143" s="288">
        <f>+Q143-'Data FY23-24 Final'!Q143</f>
        <v>-1.1054806587867851</v>
      </c>
      <c r="AP143" s="288">
        <f>+R143-'Data FY23-24 Final'!R143</f>
        <v>-11.776999999999999</v>
      </c>
      <c r="AQ143" s="288">
        <f>+S143-'Data FY23-24 Final'!S143</f>
        <v>0</v>
      </c>
      <c r="AR143" s="288">
        <f>+T143-'Data FY23-24 Final'!T143</f>
        <v>0</v>
      </c>
      <c r="AS143" s="288">
        <f>+U143-'Data FY23-24 Final'!U143</f>
        <v>0</v>
      </c>
      <c r="AT143" s="288">
        <f>+V143-'Data FY23-24 Final'!V143</f>
        <v>0</v>
      </c>
      <c r="AU143" s="288">
        <f>+W143-'Data FY23-24 Final'!W143</f>
        <v>-12.88248065878679</v>
      </c>
      <c r="AV143" s="288">
        <f>+X143-'Data FY23-24 Final'!X143</f>
        <v>0</v>
      </c>
      <c r="AW143" s="261">
        <f>+Y143-'Data FY23-24 Final'!Y143</f>
        <v>62744.879999999888</v>
      </c>
      <c r="AX143" s="261">
        <f>+Z143-'Data FY23-24 Final'!Z143</f>
        <v>-116734.81075199973</v>
      </c>
    </row>
    <row r="144" spans="1:50" s="256" customFormat="1" ht="13" x14ac:dyDescent="0.3">
      <c r="A144" s="289" t="s">
        <v>397</v>
      </c>
      <c r="B144" s="289" t="s">
        <v>395</v>
      </c>
      <c r="C144" s="297" t="s">
        <v>398</v>
      </c>
      <c r="D144" s="378">
        <v>74442320</v>
      </c>
      <c r="E144" s="378">
        <v>0</v>
      </c>
      <c r="F144" s="378">
        <v>74442320</v>
      </c>
      <c r="G144" s="379">
        <v>921.11</v>
      </c>
      <c r="H144" s="347">
        <v>27</v>
      </c>
      <c r="I144" s="347">
        <v>0</v>
      </c>
      <c r="J144" s="353">
        <f t="shared" si="21"/>
        <v>27</v>
      </c>
      <c r="K144" s="287">
        <v>0</v>
      </c>
      <c r="L144" s="300">
        <v>0</v>
      </c>
      <c r="M144" s="287">
        <v>0</v>
      </c>
      <c r="N144" s="353">
        <v>0</v>
      </c>
      <c r="O144" s="354">
        <v>2.4350000000000001</v>
      </c>
      <c r="P144" s="355">
        <f t="shared" si="17"/>
        <v>1.2373472508648307E-2</v>
      </c>
      <c r="Q144" s="360">
        <f t="shared" si="19"/>
        <v>29.447373472508648</v>
      </c>
      <c r="R144" s="299"/>
      <c r="S144" s="299"/>
      <c r="T144" s="299"/>
      <c r="U144" s="299"/>
      <c r="V144" s="299"/>
      <c r="W144" s="299">
        <f t="shared" si="20"/>
        <v>29.447373472508648</v>
      </c>
      <c r="X144" s="287">
        <v>137.733</v>
      </c>
      <c r="Y144" s="344">
        <v>11268723.220000001</v>
      </c>
      <c r="Z144" s="344">
        <v>8866024.3892999999</v>
      </c>
      <c r="AB144" s="261">
        <f>+D144-'Data FY23-24 Final'!D144</f>
        <v>1356436</v>
      </c>
      <c r="AC144" s="261">
        <f>+E144-'Data FY23-24 Final'!E144</f>
        <v>0</v>
      </c>
      <c r="AD144" s="261">
        <f>+F144-'Data FY23-24 Final'!F144</f>
        <v>1356436</v>
      </c>
      <c r="AE144" s="261">
        <f>+G144-'Data FY23-24 Final'!G144</f>
        <v>-9016.6899999999987</v>
      </c>
      <c r="AF144" s="288">
        <f>+H144-'Data FY23-24 Final'!H144</f>
        <v>0</v>
      </c>
      <c r="AG144" s="288">
        <f>+I144-'Data FY23-24 Final'!I144</f>
        <v>0</v>
      </c>
      <c r="AH144" s="288">
        <f>+J144-'Data FY23-24 Final'!J144</f>
        <v>0</v>
      </c>
      <c r="AI144" s="288">
        <f>+K144-'Data FY23-24 Final'!K144</f>
        <v>0</v>
      </c>
      <c r="AJ144" s="288">
        <f>+L144-'Data FY23-24 Final'!L144</f>
        <v>0</v>
      </c>
      <c r="AK144" s="288">
        <f>+M144-'Data FY23-24 Final'!M144</f>
        <v>0</v>
      </c>
      <c r="AL144" s="288">
        <f>+N144-'Data FY23-24 Final'!N144</f>
        <v>0</v>
      </c>
      <c r="AM144" s="288">
        <f>+O144-'Data FY23-24 Final'!O144</f>
        <v>-0.2330000000000001</v>
      </c>
      <c r="AN144" s="288">
        <f>+P144-'Data FY23-24 Final'!P144</f>
        <v>-0.1236265274913517</v>
      </c>
      <c r="AO144" s="288">
        <f>+Q144-'Data FY23-24 Final'!Q144</f>
        <v>-0.35662652749135049</v>
      </c>
      <c r="AP144" s="288">
        <f>+R144-'Data FY23-24 Final'!R144</f>
        <v>-7.8970000000000002</v>
      </c>
      <c r="AQ144" s="288">
        <f>+S144-'Data FY23-24 Final'!S144</f>
        <v>0</v>
      </c>
      <c r="AR144" s="288">
        <f>+T144-'Data FY23-24 Final'!T144</f>
        <v>0</v>
      </c>
      <c r="AS144" s="288">
        <f>+U144-'Data FY23-24 Final'!U144</f>
        <v>0</v>
      </c>
      <c r="AT144" s="288">
        <f>+V144-'Data FY23-24 Final'!V144</f>
        <v>0</v>
      </c>
      <c r="AU144" s="288">
        <f>+W144-'Data FY23-24 Final'!W144</f>
        <v>-8.2536265274913525</v>
      </c>
      <c r="AV144" s="288">
        <f>+X144-'Data FY23-24 Final'!X144</f>
        <v>0</v>
      </c>
      <c r="AW144" s="261">
        <f>+Y144-'Data FY23-24 Final'!Y144</f>
        <v>329461.20000000112</v>
      </c>
      <c r="AX144" s="261">
        <f>+Z144-'Data FY23-24 Final'!Z144</f>
        <v>168900.70730000176</v>
      </c>
    </row>
    <row r="145" spans="1:50" s="256" customFormat="1" ht="13" x14ac:dyDescent="0.3">
      <c r="A145" s="289" t="s">
        <v>399</v>
      </c>
      <c r="B145" s="289" t="s">
        <v>395</v>
      </c>
      <c r="C145" s="297" t="s">
        <v>400</v>
      </c>
      <c r="D145" s="378">
        <v>43673037</v>
      </c>
      <c r="E145" s="378">
        <v>0</v>
      </c>
      <c r="F145" s="378">
        <v>43673037</v>
      </c>
      <c r="G145" s="379">
        <v>20447.86</v>
      </c>
      <c r="H145" s="347">
        <v>27</v>
      </c>
      <c r="I145" s="347">
        <v>0</v>
      </c>
      <c r="J145" s="353">
        <f t="shared" si="21"/>
        <v>27</v>
      </c>
      <c r="K145" s="287">
        <v>0</v>
      </c>
      <c r="L145" s="300">
        <v>0</v>
      </c>
      <c r="M145" s="287">
        <v>0</v>
      </c>
      <c r="N145" s="353">
        <v>0</v>
      </c>
      <c r="O145" s="354">
        <v>1.6800000000000002</v>
      </c>
      <c r="P145" s="355">
        <f t="shared" si="17"/>
        <v>0.4682032989828484</v>
      </c>
      <c r="Q145" s="360">
        <f t="shared" si="19"/>
        <v>29.14820329898285</v>
      </c>
      <c r="R145" s="299"/>
      <c r="S145" s="299"/>
      <c r="T145" s="299"/>
      <c r="U145" s="299"/>
      <c r="V145" s="299"/>
      <c r="W145" s="299">
        <f t="shared" si="20"/>
        <v>29.14820329898285</v>
      </c>
      <c r="X145" s="287">
        <v>95.089000000000013</v>
      </c>
      <c r="Y145" s="344">
        <v>4464695.58</v>
      </c>
      <c r="Z145" s="344">
        <v>3039526.1596999997</v>
      </c>
      <c r="AB145" s="261">
        <f>+D145-'Data FY23-24 Final'!D145</f>
        <v>165060</v>
      </c>
      <c r="AC145" s="261">
        <f>+E145-'Data FY23-24 Final'!E145</f>
        <v>0</v>
      </c>
      <c r="AD145" s="261">
        <f>+F145-'Data FY23-24 Final'!F145</f>
        <v>165060</v>
      </c>
      <c r="AE145" s="261">
        <f>+G145-'Data FY23-24 Final'!G145</f>
        <v>20447.86</v>
      </c>
      <c r="AF145" s="288">
        <f>+H145-'Data FY23-24 Final'!H145</f>
        <v>0</v>
      </c>
      <c r="AG145" s="288">
        <f>+I145-'Data FY23-24 Final'!I145</f>
        <v>0</v>
      </c>
      <c r="AH145" s="288">
        <f>+J145-'Data FY23-24 Final'!J145</f>
        <v>0</v>
      </c>
      <c r="AI145" s="288">
        <f>+K145-'Data FY23-24 Final'!K145</f>
        <v>0</v>
      </c>
      <c r="AJ145" s="288">
        <f>+L145-'Data FY23-24 Final'!L145</f>
        <v>0</v>
      </c>
      <c r="AK145" s="288">
        <f>+M145-'Data FY23-24 Final'!M145</f>
        <v>0</v>
      </c>
      <c r="AL145" s="288">
        <f>+N145-'Data FY23-24 Final'!N145</f>
        <v>0</v>
      </c>
      <c r="AM145" s="288">
        <f>+O145-'Data FY23-24 Final'!O145</f>
        <v>-4.3999999999999817E-2</v>
      </c>
      <c r="AN145" s="288">
        <f>+P145-'Data FY23-24 Final'!P145</f>
        <v>0.4682032989828484</v>
      </c>
      <c r="AO145" s="288">
        <f>+Q145-'Data FY23-24 Final'!Q145</f>
        <v>0.42420329898284947</v>
      </c>
      <c r="AP145" s="288">
        <f>+R145-'Data FY23-24 Final'!R145</f>
        <v>-8.9169999999999998</v>
      </c>
      <c r="AQ145" s="288">
        <f>+S145-'Data FY23-24 Final'!S145</f>
        <v>0</v>
      </c>
      <c r="AR145" s="288">
        <f>+T145-'Data FY23-24 Final'!T145</f>
        <v>0</v>
      </c>
      <c r="AS145" s="288">
        <f>+U145-'Data FY23-24 Final'!U145</f>
        <v>0</v>
      </c>
      <c r="AT145" s="288">
        <f>+V145-'Data FY23-24 Final'!V145</f>
        <v>0</v>
      </c>
      <c r="AU145" s="288">
        <f>+W145-'Data FY23-24 Final'!W145</f>
        <v>-8.4927967010171486</v>
      </c>
      <c r="AV145" s="288">
        <f>+X145-'Data FY23-24 Final'!X145</f>
        <v>0</v>
      </c>
      <c r="AW145" s="261">
        <f>+Y145-'Data FY23-24 Final'!Y145</f>
        <v>77358.650000000373</v>
      </c>
      <c r="AX145" s="261">
        <f>+Z145-'Data FY23-24 Final'!Z145</f>
        <v>-36478.451300000306</v>
      </c>
    </row>
    <row r="146" spans="1:50" s="256" customFormat="1" ht="13" x14ac:dyDescent="0.3">
      <c r="A146" s="289" t="s">
        <v>401</v>
      </c>
      <c r="B146" s="289" t="s">
        <v>402</v>
      </c>
      <c r="C146" s="297" t="s">
        <v>403</v>
      </c>
      <c r="D146" s="378">
        <v>149047910</v>
      </c>
      <c r="E146" s="378">
        <v>0</v>
      </c>
      <c r="F146" s="378">
        <v>149047910</v>
      </c>
      <c r="G146" s="379">
        <v>42504.639999999999</v>
      </c>
      <c r="H146" s="347">
        <v>27</v>
      </c>
      <c r="I146" s="347">
        <v>2.4140000000000015</v>
      </c>
      <c r="J146" s="353">
        <f t="shared" si="21"/>
        <v>24.585999999999999</v>
      </c>
      <c r="K146" s="287">
        <v>0</v>
      </c>
      <c r="L146" s="300">
        <v>0</v>
      </c>
      <c r="M146" s="287">
        <v>0</v>
      </c>
      <c r="N146" s="353">
        <v>0</v>
      </c>
      <c r="O146" s="354">
        <v>6.0270000000000001</v>
      </c>
      <c r="P146" s="355">
        <f t="shared" si="17"/>
        <v>0.28517434427628002</v>
      </c>
      <c r="Q146" s="360">
        <f t="shared" si="19"/>
        <v>30.898174344276281</v>
      </c>
      <c r="R146" s="299"/>
      <c r="S146" s="299"/>
      <c r="T146" s="299"/>
      <c r="U146" s="299"/>
      <c r="V146" s="299"/>
      <c r="W146" s="299">
        <f t="shared" si="20"/>
        <v>30.898174344276281</v>
      </c>
      <c r="X146" s="287">
        <v>35.36</v>
      </c>
      <c r="Y146" s="344">
        <v>5535012.25</v>
      </c>
      <c r="Z146" s="344">
        <v>1768964.5347799999</v>
      </c>
      <c r="AB146" s="261">
        <f>+D146-'Data FY23-24 Final'!D146</f>
        <v>2679240</v>
      </c>
      <c r="AC146" s="261">
        <f>+E146-'Data FY23-24 Final'!E146</f>
        <v>0</v>
      </c>
      <c r="AD146" s="261">
        <f>+F146-'Data FY23-24 Final'!F146</f>
        <v>2679240</v>
      </c>
      <c r="AE146" s="261">
        <f>+G146-'Data FY23-24 Final'!G146</f>
        <v>1364.5400000000009</v>
      </c>
      <c r="AF146" s="288">
        <f>+H146-'Data FY23-24 Final'!H146</f>
        <v>0</v>
      </c>
      <c r="AG146" s="288">
        <f>+I146-'Data FY23-24 Final'!I146</f>
        <v>-0.99999999999999867</v>
      </c>
      <c r="AH146" s="288">
        <f>+J146-'Data FY23-24 Final'!J146</f>
        <v>1</v>
      </c>
      <c r="AI146" s="288">
        <f>+K146-'Data FY23-24 Final'!K146</f>
        <v>0</v>
      </c>
      <c r="AJ146" s="288">
        <f>+L146-'Data FY23-24 Final'!L146</f>
        <v>0</v>
      </c>
      <c r="AK146" s="288">
        <f>+M146-'Data FY23-24 Final'!M146</f>
        <v>0</v>
      </c>
      <c r="AL146" s="288">
        <f>+N146-'Data FY23-24 Final'!N146</f>
        <v>0</v>
      </c>
      <c r="AM146" s="288">
        <f>+O146-'Data FY23-24 Final'!O146</f>
        <v>-0.15899999999999981</v>
      </c>
      <c r="AN146" s="288">
        <f>+P146-'Data FY23-24 Final'!P146</f>
        <v>4.1743442762799954E-3</v>
      </c>
      <c r="AO146" s="288">
        <f>+Q146-'Data FY23-24 Final'!Q146</f>
        <v>0.84517434427628046</v>
      </c>
      <c r="AP146" s="288">
        <f>+R146-'Data FY23-24 Final'!R146</f>
        <v>-13.288</v>
      </c>
      <c r="AQ146" s="288">
        <f>+S146-'Data FY23-24 Final'!S146</f>
        <v>0</v>
      </c>
      <c r="AR146" s="288">
        <f>+T146-'Data FY23-24 Final'!T146</f>
        <v>0</v>
      </c>
      <c r="AS146" s="288">
        <f>+U146-'Data FY23-24 Final'!U146</f>
        <v>0</v>
      </c>
      <c r="AT146" s="288">
        <f>+V146-'Data FY23-24 Final'!V146</f>
        <v>0</v>
      </c>
      <c r="AU146" s="288">
        <f>+W146-'Data FY23-24 Final'!W146</f>
        <v>-12.44282565572372</v>
      </c>
      <c r="AV146" s="288">
        <f>+X146-'Data FY23-24 Final'!X146</f>
        <v>0</v>
      </c>
      <c r="AW146" s="261">
        <f>+Y146-'Data FY23-24 Final'!Y146</f>
        <v>98365.259999999776</v>
      </c>
      <c r="AX146" s="261">
        <f>+Z146-'Data FY23-24 Final'!Z146</f>
        <v>-5071.5946000006516</v>
      </c>
    </row>
    <row r="147" spans="1:50" s="256" customFormat="1" ht="13" x14ac:dyDescent="0.3">
      <c r="A147" s="289" t="s">
        <v>404</v>
      </c>
      <c r="B147" s="289" t="s">
        <v>402</v>
      </c>
      <c r="C147" s="297" t="s">
        <v>405</v>
      </c>
      <c r="D147" s="378">
        <v>1823545190</v>
      </c>
      <c r="E147" s="378">
        <v>95030089</v>
      </c>
      <c r="F147" s="378">
        <v>1728518101</v>
      </c>
      <c r="G147" s="379">
        <v>125053.48</v>
      </c>
      <c r="H147" s="347">
        <v>8.5960000000000001</v>
      </c>
      <c r="I147" s="347">
        <v>2.3330000000000002</v>
      </c>
      <c r="J147" s="353">
        <f t="shared" si="21"/>
        <v>6.2629999999999999</v>
      </c>
      <c r="K147" s="287">
        <v>0</v>
      </c>
      <c r="L147" s="300">
        <v>0</v>
      </c>
      <c r="M147" s="287">
        <v>0.6130000000000001</v>
      </c>
      <c r="N147" s="356">
        <v>0</v>
      </c>
      <c r="O147" s="354">
        <v>0.90600000000000003</v>
      </c>
      <c r="P147" s="355">
        <f t="shared" si="17"/>
        <v>7.2347220389333944E-2</v>
      </c>
      <c r="Q147" s="360">
        <f t="shared" si="19"/>
        <v>7.8543472203893341</v>
      </c>
      <c r="R147" s="299"/>
      <c r="S147" s="299"/>
      <c r="T147" s="299"/>
      <c r="U147" s="301"/>
      <c r="V147" s="301"/>
      <c r="W147" s="299">
        <f t="shared" si="20"/>
        <v>7.8543472203893341</v>
      </c>
      <c r="X147" s="287">
        <v>16.143999999999998</v>
      </c>
      <c r="Y147" s="344">
        <v>28850047.27</v>
      </c>
      <c r="Z147" s="344">
        <v>17284545.253405001</v>
      </c>
      <c r="AB147" s="261">
        <f>+D147-'Data FY23-24 Final'!D147</f>
        <v>13167290</v>
      </c>
      <c r="AC147" s="261">
        <f>+E147-'Data FY23-24 Final'!E147</f>
        <v>1492065</v>
      </c>
      <c r="AD147" s="261">
        <f>+F147-'Data FY23-24 Final'!F147</f>
        <v>11678225</v>
      </c>
      <c r="AE147" s="261">
        <f>+G147-'Data FY23-24 Final'!G147</f>
        <v>66680.479999999996</v>
      </c>
      <c r="AF147" s="288">
        <f>+H147-'Data FY23-24 Final'!H147</f>
        <v>-0.80299999999999905</v>
      </c>
      <c r="AG147" s="288">
        <f>+I147-'Data FY23-24 Final'!I147</f>
        <v>2.3330000000000002</v>
      </c>
      <c r="AH147" s="288">
        <f>+J147-'Data FY23-24 Final'!J147</f>
        <v>0</v>
      </c>
      <c r="AI147" s="288">
        <f>+K147-'Data FY23-24 Final'!K147</f>
        <v>0</v>
      </c>
      <c r="AJ147" s="288">
        <f>+L147-'Data FY23-24 Final'!L147</f>
        <v>0</v>
      </c>
      <c r="AK147" s="288">
        <f>+M147-'Data FY23-24 Final'!M147</f>
        <v>-6.9999999999998952E-3</v>
      </c>
      <c r="AL147" s="288">
        <f>+N147-'Data FY23-24 Final'!N147</f>
        <v>0</v>
      </c>
      <c r="AM147" s="288">
        <f>+O147-'Data FY23-24 Final'!O147</f>
        <v>-2.4529999999999998</v>
      </c>
      <c r="AN147" s="288">
        <f>+P147-'Data FY23-24 Final'!P147</f>
        <v>3.8347220389333941E-2</v>
      </c>
      <c r="AO147" s="288">
        <f>+Q147-'Data FY23-24 Final'!Q147</f>
        <v>-2.4216527796106657</v>
      </c>
      <c r="AP147" s="288">
        <f>+R147-'Data FY23-24 Final'!R147</f>
        <v>-5.4509999999999996</v>
      </c>
      <c r="AQ147" s="288">
        <f>+S147-'Data FY23-24 Final'!S147</f>
        <v>0</v>
      </c>
      <c r="AR147" s="288">
        <f>+T147-'Data FY23-24 Final'!T147</f>
        <v>0</v>
      </c>
      <c r="AS147" s="288">
        <f>+U147-'Data FY23-24 Final'!U147</f>
        <v>-1.1459999999999999</v>
      </c>
      <c r="AT147" s="288">
        <f>+V147-'Data FY23-24 Final'!V147</f>
        <v>0</v>
      </c>
      <c r="AU147" s="288">
        <f>+W147-'Data FY23-24 Final'!W147</f>
        <v>-9.018652779610667</v>
      </c>
      <c r="AV147" s="288">
        <f>+X147-'Data FY23-24 Final'!X147</f>
        <v>0</v>
      </c>
      <c r="AW147" s="261">
        <f>+Y147-'Data FY23-24 Final'!Y147</f>
        <v>1694209.2100000009</v>
      </c>
      <c r="AX147" s="261">
        <f>+Z147-'Data FY23-24 Final'!Z147</f>
        <v>1003777.3176770005</v>
      </c>
    </row>
    <row r="148" spans="1:50" s="256" customFormat="1" ht="13" x14ac:dyDescent="0.3">
      <c r="A148" s="289" t="s">
        <v>406</v>
      </c>
      <c r="B148" s="289" t="s">
        <v>402</v>
      </c>
      <c r="C148" s="297" t="s">
        <v>407</v>
      </c>
      <c r="D148" s="378">
        <v>135061800</v>
      </c>
      <c r="E148" s="378">
        <v>0</v>
      </c>
      <c r="F148" s="378">
        <v>135061800</v>
      </c>
      <c r="G148" s="379">
        <v>20314.71</v>
      </c>
      <c r="H148" s="348">
        <v>21.283000000000001</v>
      </c>
      <c r="I148" s="348">
        <v>0</v>
      </c>
      <c r="J148" s="353">
        <f t="shared" si="21"/>
        <v>21.283000000000001</v>
      </c>
      <c r="K148" s="287">
        <v>0</v>
      </c>
      <c r="L148" s="300">
        <v>0</v>
      </c>
      <c r="M148" s="287">
        <v>0</v>
      </c>
      <c r="N148" s="353">
        <v>0</v>
      </c>
      <c r="O148" s="354">
        <v>6.617</v>
      </c>
      <c r="P148" s="355">
        <f t="shared" si="17"/>
        <v>0.15041047875861271</v>
      </c>
      <c r="Q148" s="360">
        <f t="shared" si="19"/>
        <v>28.050410478758614</v>
      </c>
      <c r="R148" s="299"/>
      <c r="S148" s="299"/>
      <c r="T148" s="299"/>
      <c r="U148" s="301"/>
      <c r="V148" s="301"/>
      <c r="W148" s="299">
        <f t="shared" si="20"/>
        <v>28.050410478758614</v>
      </c>
      <c r="X148" s="287">
        <v>32.368000000000002</v>
      </c>
      <c r="Y148" s="344">
        <v>4711762.1399999997</v>
      </c>
      <c r="Z148" s="344">
        <v>1532050.3386499998</v>
      </c>
      <c r="AB148" s="261">
        <f>+D148-'Data FY23-24 Final'!D148</f>
        <v>2100210</v>
      </c>
      <c r="AC148" s="261">
        <f>+E148-'Data FY23-24 Final'!E148</f>
        <v>0</v>
      </c>
      <c r="AD148" s="261">
        <f>+F148-'Data FY23-24 Final'!F148</f>
        <v>2100210</v>
      </c>
      <c r="AE148" s="261">
        <f>+G148-'Data FY23-24 Final'!G148</f>
        <v>12278.169999999998</v>
      </c>
      <c r="AF148" s="288">
        <f>+H148-'Data FY23-24 Final'!H148</f>
        <v>0</v>
      </c>
      <c r="AG148" s="288">
        <f>+I148-'Data FY23-24 Final'!I148</f>
        <v>0</v>
      </c>
      <c r="AH148" s="288">
        <f>+J148-'Data FY23-24 Final'!J148</f>
        <v>0</v>
      </c>
      <c r="AI148" s="288">
        <f>+K148-'Data FY23-24 Final'!K148</f>
        <v>0</v>
      </c>
      <c r="AJ148" s="288">
        <f>+L148-'Data FY23-24 Final'!L148</f>
        <v>0</v>
      </c>
      <c r="AK148" s="288">
        <f>+M148-'Data FY23-24 Final'!M148</f>
        <v>0</v>
      </c>
      <c r="AL148" s="288">
        <f>+N148-'Data FY23-24 Final'!N148</f>
        <v>0</v>
      </c>
      <c r="AM148" s="288">
        <f>+O148-'Data FY23-24 Final'!O148</f>
        <v>-2.2440000000000007</v>
      </c>
      <c r="AN148" s="288">
        <f>+P148-'Data FY23-24 Final'!P148</f>
        <v>8.9410478758612716E-2</v>
      </c>
      <c r="AO148" s="288">
        <f>+Q148-'Data FY23-24 Final'!Q148</f>
        <v>-2.1545895212413839</v>
      </c>
      <c r="AP148" s="288">
        <f>+R148-'Data FY23-24 Final'!R148</f>
        <v>0</v>
      </c>
      <c r="AQ148" s="288">
        <f>+S148-'Data FY23-24 Final'!S148</f>
        <v>-2.0699999999999998</v>
      </c>
      <c r="AR148" s="288">
        <f>+T148-'Data FY23-24 Final'!T148</f>
        <v>0</v>
      </c>
      <c r="AS148" s="288">
        <f>+U148-'Data FY23-24 Final'!U148</f>
        <v>-7.0410000000000004</v>
      </c>
      <c r="AT148" s="288">
        <f>+V148-'Data FY23-24 Final'!V148</f>
        <v>0</v>
      </c>
      <c r="AU148" s="288">
        <f>+W148-'Data FY23-24 Final'!W148</f>
        <v>-11.265589521241388</v>
      </c>
      <c r="AV148" s="288">
        <f>+X148-'Data FY23-24 Final'!X148</f>
        <v>0</v>
      </c>
      <c r="AW148" s="261">
        <f>+Y148-'Data FY23-24 Final'!Y148</f>
        <v>90531.069999999367</v>
      </c>
      <c r="AX148" s="261">
        <f>+Z148-'Data FY23-24 Final'!Z148</f>
        <v>-62194.681380000664</v>
      </c>
    </row>
    <row r="149" spans="1:50" s="256" customFormat="1" ht="13" x14ac:dyDescent="0.3">
      <c r="A149" s="289" t="s">
        <v>408</v>
      </c>
      <c r="B149" s="289" t="s">
        <v>409</v>
      </c>
      <c r="C149" s="297" t="s">
        <v>410</v>
      </c>
      <c r="D149" s="378">
        <v>32339917</v>
      </c>
      <c r="E149" s="378">
        <v>0</v>
      </c>
      <c r="F149" s="378">
        <v>32339917</v>
      </c>
      <c r="G149" s="379">
        <v>1909.4</v>
      </c>
      <c r="H149" s="347">
        <v>27</v>
      </c>
      <c r="I149" s="347">
        <v>0</v>
      </c>
      <c r="J149" s="353">
        <f t="shared" si="21"/>
        <v>27</v>
      </c>
      <c r="K149" s="287">
        <v>0</v>
      </c>
      <c r="L149" s="300">
        <v>0</v>
      </c>
      <c r="M149" s="287">
        <v>0</v>
      </c>
      <c r="N149" s="353">
        <v>0</v>
      </c>
      <c r="O149" s="354">
        <v>0</v>
      </c>
      <c r="P149" s="355">
        <f t="shared" si="17"/>
        <v>5.9041586284838028E-2</v>
      </c>
      <c r="Q149" s="360">
        <f t="shared" si="19"/>
        <v>27.059041586284838</v>
      </c>
      <c r="R149" s="299"/>
      <c r="S149" s="299"/>
      <c r="T149" s="299"/>
      <c r="U149" s="299"/>
      <c r="V149" s="299"/>
      <c r="W149" s="299">
        <f t="shared" si="20"/>
        <v>27.059041586284838</v>
      </c>
      <c r="X149" s="287">
        <v>86.236999999999995</v>
      </c>
      <c r="Y149" s="344">
        <v>3029305.03</v>
      </c>
      <c r="Z149" s="344">
        <v>2032266.9458039997</v>
      </c>
      <c r="AB149" s="261">
        <f>+D149-'Data FY23-24 Final'!D149</f>
        <v>417348</v>
      </c>
      <c r="AC149" s="261">
        <f>+E149-'Data FY23-24 Final'!E149</f>
        <v>0</v>
      </c>
      <c r="AD149" s="261">
        <f>+F149-'Data FY23-24 Final'!F149</f>
        <v>417348</v>
      </c>
      <c r="AE149" s="261">
        <f>+G149-'Data FY23-24 Final'!G149</f>
        <v>1909.4</v>
      </c>
      <c r="AF149" s="288">
        <f>+H149-'Data FY23-24 Final'!H149</f>
        <v>0</v>
      </c>
      <c r="AG149" s="288">
        <f>+I149-'Data FY23-24 Final'!I149</f>
        <v>-0.442</v>
      </c>
      <c r="AH149" s="288">
        <f>+J149-'Data FY23-24 Final'!J149</f>
        <v>0.44200000000000017</v>
      </c>
      <c r="AI149" s="288">
        <f>+K149-'Data FY23-24 Final'!K149</f>
        <v>0</v>
      </c>
      <c r="AJ149" s="288">
        <f>+L149-'Data FY23-24 Final'!L149</f>
        <v>0</v>
      </c>
      <c r="AK149" s="288">
        <f>+M149-'Data FY23-24 Final'!M149</f>
        <v>0</v>
      </c>
      <c r="AL149" s="288">
        <f>+N149-'Data FY23-24 Final'!N149</f>
        <v>0</v>
      </c>
      <c r="AM149" s="288">
        <f>+O149-'Data FY23-24 Final'!O149</f>
        <v>0</v>
      </c>
      <c r="AN149" s="288">
        <f>+P149-'Data FY23-24 Final'!P149</f>
        <v>5.9041586284838028E-2</v>
      </c>
      <c r="AO149" s="288">
        <f>+Q149-'Data FY23-24 Final'!Q149</f>
        <v>0.5010415862848383</v>
      </c>
      <c r="AP149" s="288">
        <f>+R149-'Data FY23-24 Final'!R149</f>
        <v>-9.0839999999999996</v>
      </c>
      <c r="AQ149" s="288">
        <f>+S149-'Data FY23-24 Final'!S149</f>
        <v>0</v>
      </c>
      <c r="AR149" s="288">
        <f>+T149-'Data FY23-24 Final'!T149</f>
        <v>0</v>
      </c>
      <c r="AS149" s="288">
        <f>+U149-'Data FY23-24 Final'!U149</f>
        <v>0</v>
      </c>
      <c r="AT149" s="288">
        <f>+V149-'Data FY23-24 Final'!V149</f>
        <v>0</v>
      </c>
      <c r="AU149" s="288">
        <f>+W149-'Data FY23-24 Final'!W149</f>
        <v>-8.5829584137151649</v>
      </c>
      <c r="AV149" s="288">
        <f>+X149-'Data FY23-24 Final'!X149</f>
        <v>0</v>
      </c>
      <c r="AW149" s="261">
        <f>+Y149-'Data FY23-24 Final'!Y149</f>
        <v>-92401.840000000317</v>
      </c>
      <c r="AX149" s="261">
        <f>+Z149-'Data FY23-24 Final'!Z149</f>
        <v>-141086.07669400075</v>
      </c>
    </row>
    <row r="150" spans="1:50" s="256" customFormat="1" ht="13" x14ac:dyDescent="0.3">
      <c r="A150" s="289" t="s">
        <v>411</v>
      </c>
      <c r="B150" s="289" t="s">
        <v>409</v>
      </c>
      <c r="C150" s="297" t="s">
        <v>327</v>
      </c>
      <c r="D150" s="384">
        <v>43755405</v>
      </c>
      <c r="E150" s="378">
        <v>0</v>
      </c>
      <c r="F150" s="384">
        <v>43755405</v>
      </c>
      <c r="G150" s="380">
        <v>5565.38</v>
      </c>
      <c r="H150" s="347">
        <v>27</v>
      </c>
      <c r="I150" s="347">
        <v>0</v>
      </c>
      <c r="J150" s="353">
        <f t="shared" si="21"/>
        <v>27</v>
      </c>
      <c r="K150" s="287">
        <v>0</v>
      </c>
      <c r="L150" s="300">
        <v>0</v>
      </c>
      <c r="M150" s="287">
        <v>0</v>
      </c>
      <c r="N150" s="353">
        <v>0</v>
      </c>
      <c r="O150" s="354">
        <v>3.4810000000000003</v>
      </c>
      <c r="P150" s="355">
        <f t="shared" si="17"/>
        <v>0.12719297193112486</v>
      </c>
      <c r="Q150" s="360">
        <f t="shared" si="19"/>
        <v>30.608192971931125</v>
      </c>
      <c r="R150" s="299"/>
      <c r="S150" s="299"/>
      <c r="T150" s="299"/>
      <c r="U150" s="299"/>
      <c r="V150" s="299"/>
      <c r="W150" s="299">
        <f t="shared" si="20"/>
        <v>30.608192971931125</v>
      </c>
      <c r="X150" s="287">
        <v>76.787999999999997</v>
      </c>
      <c r="Y150" s="344">
        <v>3735646.09</v>
      </c>
      <c r="Z150" s="344">
        <v>2347055.3914000001</v>
      </c>
      <c r="AB150" s="261">
        <f>+D150-'Data FY23-24 Final'!D150</f>
        <v>-80976</v>
      </c>
      <c r="AC150" s="261">
        <f>+E150-'Data FY23-24 Final'!E150</f>
        <v>0</v>
      </c>
      <c r="AD150" s="261">
        <f>+F150-'Data FY23-24 Final'!F150</f>
        <v>-80976</v>
      </c>
      <c r="AE150" s="261">
        <f>+G150-'Data FY23-24 Final'!G150</f>
        <v>-857.81999999999971</v>
      </c>
      <c r="AF150" s="288">
        <f>+H150-'Data FY23-24 Final'!H150</f>
        <v>0</v>
      </c>
      <c r="AG150" s="288">
        <f>+I150-'Data FY23-24 Final'!I150</f>
        <v>0</v>
      </c>
      <c r="AH150" s="288">
        <f>+J150-'Data FY23-24 Final'!J150</f>
        <v>0</v>
      </c>
      <c r="AI150" s="288">
        <f>+K150-'Data FY23-24 Final'!K150</f>
        <v>0</v>
      </c>
      <c r="AJ150" s="288">
        <f>+L150-'Data FY23-24 Final'!L150</f>
        <v>0</v>
      </c>
      <c r="AK150" s="288">
        <f>+M150-'Data FY23-24 Final'!M150</f>
        <v>0</v>
      </c>
      <c r="AL150" s="288">
        <f>+N150-'Data FY23-24 Final'!N150</f>
        <v>0</v>
      </c>
      <c r="AM150" s="288">
        <f>+O150-'Data FY23-24 Final'!O150</f>
        <v>-1.081</v>
      </c>
      <c r="AN150" s="288">
        <f>+P150-'Data FY23-24 Final'!P150</f>
        <v>-1.9807028068875132E-2</v>
      </c>
      <c r="AO150" s="288">
        <f>+Q150-'Data FY23-24 Final'!Q150</f>
        <v>-1.1008070280688749</v>
      </c>
      <c r="AP150" s="288">
        <f>+R150-'Data FY23-24 Final'!R150</f>
        <v>-9.1</v>
      </c>
      <c r="AQ150" s="288">
        <f>+S150-'Data FY23-24 Final'!S150</f>
        <v>0</v>
      </c>
      <c r="AR150" s="288">
        <f>+T150-'Data FY23-24 Final'!T150</f>
        <v>0</v>
      </c>
      <c r="AS150" s="288">
        <f>+U150-'Data FY23-24 Final'!U150</f>
        <v>0</v>
      </c>
      <c r="AT150" s="288">
        <f>+V150-'Data FY23-24 Final'!V150</f>
        <v>0</v>
      </c>
      <c r="AU150" s="288">
        <f>+W150-'Data FY23-24 Final'!W150</f>
        <v>-10.200807028068873</v>
      </c>
      <c r="AV150" s="288">
        <f>+X150-'Data FY23-24 Final'!X150</f>
        <v>0</v>
      </c>
      <c r="AW150" s="261">
        <f>+Y150-'Data FY23-24 Final'!Y150</f>
        <v>-49647.350000000093</v>
      </c>
      <c r="AX150" s="261">
        <f>+Z150-'Data FY23-24 Final'!Z150</f>
        <v>-128404.62159999972</v>
      </c>
    </row>
    <row r="151" spans="1:50" s="256" customFormat="1" ht="13" x14ac:dyDescent="0.3">
      <c r="A151" s="289" t="s">
        <v>412</v>
      </c>
      <c r="B151" s="289" t="s">
        <v>409</v>
      </c>
      <c r="C151" s="297" t="s">
        <v>413</v>
      </c>
      <c r="D151" s="378">
        <v>13404791</v>
      </c>
      <c r="E151" s="378">
        <v>0</v>
      </c>
      <c r="F151" s="378">
        <v>41603800</v>
      </c>
      <c r="G151" s="379">
        <v>1905.69</v>
      </c>
      <c r="H151" s="347">
        <v>27</v>
      </c>
      <c r="I151" s="347">
        <v>0</v>
      </c>
      <c r="J151" s="353">
        <f t="shared" si="21"/>
        <v>27</v>
      </c>
      <c r="K151" s="287">
        <v>0</v>
      </c>
      <c r="L151" s="300">
        <v>0</v>
      </c>
      <c r="M151" s="287">
        <v>0</v>
      </c>
      <c r="N151" s="353">
        <v>0</v>
      </c>
      <c r="O151" s="354">
        <v>0</v>
      </c>
      <c r="P151" s="355">
        <f t="shared" si="17"/>
        <v>4.5805671597306016E-2</v>
      </c>
      <c r="Q151" s="360">
        <f t="shared" si="19"/>
        <v>27.045805671597307</v>
      </c>
      <c r="R151" s="299"/>
      <c r="S151" s="299"/>
      <c r="T151" s="299"/>
      <c r="U151" s="299"/>
      <c r="V151" s="299"/>
      <c r="W151" s="299">
        <f t="shared" si="20"/>
        <v>27.045805671597307</v>
      </c>
      <c r="X151" s="287">
        <v>160.64000000000001</v>
      </c>
      <c r="Y151" s="344">
        <v>7168527.8700000001</v>
      </c>
      <c r="Z151" s="344">
        <v>5772972.6736999992</v>
      </c>
      <c r="AB151" s="261">
        <f>+D151-'Data FY23-24 Final'!D151</f>
        <v>-27736050</v>
      </c>
      <c r="AC151" s="261">
        <f>+E151-'Data FY23-24 Final'!E151</f>
        <v>0</v>
      </c>
      <c r="AD151" s="261">
        <f>+F151-'Data FY23-24 Final'!F151</f>
        <v>462959</v>
      </c>
      <c r="AE151" s="261">
        <f>+G151-'Data FY23-24 Final'!G151</f>
        <v>-2968.7099999999996</v>
      </c>
      <c r="AF151" s="288">
        <f>+H151-'Data FY23-24 Final'!H151</f>
        <v>0</v>
      </c>
      <c r="AG151" s="288">
        <f>+I151-'Data FY23-24 Final'!I151</f>
        <v>0</v>
      </c>
      <c r="AH151" s="288">
        <f>+J151-'Data FY23-24 Final'!J151</f>
        <v>0</v>
      </c>
      <c r="AI151" s="288">
        <f>+K151-'Data FY23-24 Final'!K151</f>
        <v>0</v>
      </c>
      <c r="AJ151" s="288">
        <f>+L151-'Data FY23-24 Final'!L151</f>
        <v>0</v>
      </c>
      <c r="AK151" s="288">
        <f>+M151-'Data FY23-24 Final'!M151</f>
        <v>0</v>
      </c>
      <c r="AL151" s="288">
        <f>+N151-'Data FY23-24 Final'!N151</f>
        <v>0</v>
      </c>
      <c r="AM151" s="288">
        <f>+O151-'Data FY23-24 Final'!O151</f>
        <v>0</v>
      </c>
      <c r="AN151" s="288">
        <f>+P151-'Data FY23-24 Final'!P151</f>
        <v>-7.2194328402693977E-2</v>
      </c>
      <c r="AO151" s="288">
        <f>+Q151-'Data FY23-24 Final'!Q151</f>
        <v>-7.2194328402691355E-2</v>
      </c>
      <c r="AP151" s="288">
        <f>+R151-'Data FY23-24 Final'!R151</f>
        <v>-10.417</v>
      </c>
      <c r="AQ151" s="288">
        <f>+S151-'Data FY23-24 Final'!S151</f>
        <v>0</v>
      </c>
      <c r="AR151" s="288">
        <f>+T151-'Data FY23-24 Final'!T151</f>
        <v>0</v>
      </c>
      <c r="AS151" s="288">
        <f>+U151-'Data FY23-24 Final'!U151</f>
        <v>0</v>
      </c>
      <c r="AT151" s="288">
        <f>+V151-'Data FY23-24 Final'!V151</f>
        <v>0</v>
      </c>
      <c r="AU151" s="288">
        <f>+W151-'Data FY23-24 Final'!W151</f>
        <v>-10.489194328402689</v>
      </c>
      <c r="AV151" s="288">
        <f>+X151-'Data FY23-24 Final'!X151</f>
        <v>0</v>
      </c>
      <c r="AW151" s="261">
        <f>+Y151-'Data FY23-24 Final'!Y151</f>
        <v>113516.11000000034</v>
      </c>
      <c r="AX151" s="261">
        <f>+Z151-'Data FY23-24 Final'!Z151</f>
        <v>7268.120699999854</v>
      </c>
    </row>
    <row r="152" spans="1:50" s="256" customFormat="1" ht="13" x14ac:dyDescent="0.3">
      <c r="A152" s="289" t="s">
        <v>414</v>
      </c>
      <c r="B152" s="289" t="s">
        <v>415</v>
      </c>
      <c r="C152" s="297" t="s">
        <v>416</v>
      </c>
      <c r="D152" s="378">
        <v>73627676</v>
      </c>
      <c r="E152" s="378">
        <v>0</v>
      </c>
      <c r="F152" s="378">
        <v>73627676</v>
      </c>
      <c r="G152" s="379">
        <v>1682</v>
      </c>
      <c r="H152" s="347">
        <v>15.009</v>
      </c>
      <c r="I152" s="347">
        <v>4.4000000000000483E-2</v>
      </c>
      <c r="J152" s="353">
        <f t="shared" si="21"/>
        <v>14.965</v>
      </c>
      <c r="K152" s="287">
        <v>0</v>
      </c>
      <c r="L152" s="300">
        <v>0</v>
      </c>
      <c r="M152" s="287">
        <v>0.25999999999999995</v>
      </c>
      <c r="N152" s="353">
        <v>0</v>
      </c>
      <c r="O152" s="354">
        <v>0</v>
      </c>
      <c r="P152" s="355">
        <f t="shared" si="17"/>
        <v>2.2844670528511586E-2</v>
      </c>
      <c r="Q152" s="360">
        <f t="shared" si="19"/>
        <v>15.247844670528512</v>
      </c>
      <c r="R152" s="299"/>
      <c r="S152" s="299"/>
      <c r="T152" s="299"/>
      <c r="U152" s="299"/>
      <c r="V152" s="299"/>
      <c r="W152" s="299">
        <f t="shared" si="20"/>
        <v>15.247844670528512</v>
      </c>
      <c r="X152" s="287">
        <v>23.013999999999999</v>
      </c>
      <c r="Y152" s="344">
        <v>1793911.51</v>
      </c>
      <c r="Z152" s="344">
        <v>688773.29339500004</v>
      </c>
      <c r="AB152" s="261">
        <f>+D152-'Data FY23-24 Final'!D152</f>
        <v>-510496</v>
      </c>
      <c r="AC152" s="261">
        <f>+E152-'Data FY23-24 Final'!E152</f>
        <v>0</v>
      </c>
      <c r="AD152" s="261">
        <f>+F152-'Data FY23-24 Final'!F152</f>
        <v>-510496</v>
      </c>
      <c r="AE152" s="261">
        <f>+G152-'Data FY23-24 Final'!G152</f>
        <v>1624.94</v>
      </c>
      <c r="AF152" s="288">
        <f>+H152-'Data FY23-24 Final'!H152</f>
        <v>0</v>
      </c>
      <c r="AG152" s="288">
        <f>+I152-'Data FY23-24 Final'!I152</f>
        <v>-0.99999999999999956</v>
      </c>
      <c r="AH152" s="288">
        <f>+J152-'Data FY23-24 Final'!J152</f>
        <v>1</v>
      </c>
      <c r="AI152" s="288">
        <f>+K152-'Data FY23-24 Final'!K152</f>
        <v>0</v>
      </c>
      <c r="AJ152" s="288">
        <f>+L152-'Data FY23-24 Final'!L152</f>
        <v>0</v>
      </c>
      <c r="AK152" s="288">
        <f>+M152-'Data FY23-24 Final'!M152</f>
        <v>-8.0000000000000626E-3</v>
      </c>
      <c r="AL152" s="288">
        <f>+N152-'Data FY23-24 Final'!N152</f>
        <v>0</v>
      </c>
      <c r="AM152" s="288">
        <f>+O152-'Data FY23-24 Final'!O152</f>
        <v>0</v>
      </c>
      <c r="AN152" s="288">
        <f>+P152-'Data FY23-24 Final'!P152</f>
        <v>2.1844670528511585E-2</v>
      </c>
      <c r="AO152" s="288">
        <f>+Q152-'Data FY23-24 Final'!Q152</f>
        <v>1.0138446705285116</v>
      </c>
      <c r="AP152" s="288">
        <f>+R152-'Data FY23-24 Final'!R152</f>
        <v>-1.25</v>
      </c>
      <c r="AQ152" s="288">
        <f>+S152-'Data FY23-24 Final'!S152</f>
        <v>0</v>
      </c>
      <c r="AR152" s="288">
        <f>+T152-'Data FY23-24 Final'!T152</f>
        <v>0</v>
      </c>
      <c r="AS152" s="288">
        <f>+U152-'Data FY23-24 Final'!U152</f>
        <v>0</v>
      </c>
      <c r="AT152" s="288">
        <f>+V152-'Data FY23-24 Final'!V152</f>
        <v>0</v>
      </c>
      <c r="AU152" s="288">
        <f>+W152-'Data FY23-24 Final'!W152</f>
        <v>-0.23615532947148843</v>
      </c>
      <c r="AV152" s="288">
        <f>+X152-'Data FY23-24 Final'!X152</f>
        <v>0</v>
      </c>
      <c r="AW152" s="261">
        <f>+Y152-'Data FY23-24 Final'!Y152</f>
        <v>82072.979999999981</v>
      </c>
      <c r="AX152" s="261">
        <f>+Z152-'Data FY23-24 Final'!Z152</f>
        <v>53244.225375000038</v>
      </c>
    </row>
    <row r="153" spans="1:50" s="256" customFormat="1" x14ac:dyDescent="0.25">
      <c r="A153" s="289" t="s">
        <v>417</v>
      </c>
      <c r="B153" s="289" t="s">
        <v>418</v>
      </c>
      <c r="C153" s="297" t="s">
        <v>419</v>
      </c>
      <c r="D153" s="344">
        <v>1234009203</v>
      </c>
      <c r="E153" s="344">
        <v>0</v>
      </c>
      <c r="F153" s="344">
        <f t="shared" si="18"/>
        <v>1234009203</v>
      </c>
      <c r="G153" s="343">
        <v>131319.85</v>
      </c>
      <c r="H153" s="347">
        <v>7.2809999999999997</v>
      </c>
      <c r="I153" s="347">
        <v>0</v>
      </c>
      <c r="J153" s="353">
        <f t="shared" si="21"/>
        <v>7.2809999999999997</v>
      </c>
      <c r="K153" s="287">
        <v>0</v>
      </c>
      <c r="L153" s="300">
        <v>0</v>
      </c>
      <c r="M153" s="287">
        <v>0</v>
      </c>
      <c r="N153" s="353">
        <v>0</v>
      </c>
      <c r="O153" s="354">
        <v>1.498</v>
      </c>
      <c r="P153" s="355">
        <f t="shared" si="17"/>
        <v>0.10641723714924353</v>
      </c>
      <c r="Q153" s="360">
        <f t="shared" si="19"/>
        <v>8.8854172371492428</v>
      </c>
      <c r="R153" s="299"/>
      <c r="S153" s="299"/>
      <c r="T153" s="299"/>
      <c r="U153" s="299"/>
      <c r="V153" s="299"/>
      <c r="W153" s="299">
        <f t="shared" si="20"/>
        <v>8.8854172371492428</v>
      </c>
      <c r="X153" s="287">
        <v>9.9</v>
      </c>
      <c r="Y153" s="344">
        <v>12550062.300000001</v>
      </c>
      <c r="Z153" s="344">
        <v>3231785.6321570002</v>
      </c>
      <c r="AB153" s="261">
        <f>+D153-'Data FY23-24 Final'!D153</f>
        <v>21580270</v>
      </c>
      <c r="AC153" s="261">
        <f>+E153-'Data FY23-24 Final'!E153</f>
        <v>0</v>
      </c>
      <c r="AD153" s="261">
        <f>+F153-'Data FY23-24 Final'!F153</f>
        <v>21580270</v>
      </c>
      <c r="AE153" s="261">
        <f>+G153-'Data FY23-24 Final'!G153</f>
        <v>0</v>
      </c>
      <c r="AF153" s="288">
        <f>+H153-'Data FY23-24 Final'!H153</f>
        <v>0</v>
      </c>
      <c r="AG153" s="288">
        <f>+I153-'Data FY23-24 Final'!I153</f>
        <v>0</v>
      </c>
      <c r="AH153" s="288">
        <f>+J153-'Data FY23-24 Final'!J153</f>
        <v>0</v>
      </c>
      <c r="AI153" s="288">
        <f>+K153-'Data FY23-24 Final'!K153</f>
        <v>0</v>
      </c>
      <c r="AJ153" s="288">
        <f>+L153-'Data FY23-24 Final'!L153</f>
        <v>0</v>
      </c>
      <c r="AK153" s="288">
        <f>+M153-'Data FY23-24 Final'!M153</f>
        <v>0</v>
      </c>
      <c r="AL153" s="288">
        <f>+N153-'Data FY23-24 Final'!N153</f>
        <v>0</v>
      </c>
      <c r="AM153" s="288">
        <f>+O153-'Data FY23-24 Final'!O153</f>
        <v>-1.4379999999999999</v>
      </c>
      <c r="AN153" s="288">
        <f>+P153-'Data FY23-24 Final'!P153</f>
        <v>-1.5827628507564667E-3</v>
      </c>
      <c r="AO153" s="288">
        <f>+Q153-'Data FY23-24 Final'!Q153</f>
        <v>-1.4395827628507565</v>
      </c>
      <c r="AP153" s="288">
        <f>+R153-'Data FY23-24 Final'!R153</f>
        <v>-3.1840000000000002</v>
      </c>
      <c r="AQ153" s="288">
        <f>+S153-'Data FY23-24 Final'!S153</f>
        <v>-0.24399999999999999</v>
      </c>
      <c r="AR153" s="288">
        <f>+T153-'Data FY23-24 Final'!T153</f>
        <v>0</v>
      </c>
      <c r="AS153" s="288">
        <f>+U153-'Data FY23-24 Final'!U153</f>
        <v>0</v>
      </c>
      <c r="AT153" s="288">
        <f>+V153-'Data FY23-24 Final'!V153</f>
        <v>0</v>
      </c>
      <c r="AU153" s="288">
        <f>+W153-'Data FY23-24 Final'!W153</f>
        <v>-4.8675827628507573</v>
      </c>
      <c r="AV153" s="288">
        <f>+X153-'Data FY23-24 Final'!X153</f>
        <v>0</v>
      </c>
      <c r="AW153" s="261">
        <f>+Y153-'Data FY23-24 Final'!Y153</f>
        <v>257461.93000000156</v>
      </c>
      <c r="AX153" s="261">
        <f>+Z153-'Data FY23-24 Final'!Z153</f>
        <v>89103.41333000036</v>
      </c>
    </row>
    <row r="154" spans="1:50" s="256" customFormat="1" x14ac:dyDescent="0.25">
      <c r="A154" s="289" t="s">
        <v>420</v>
      </c>
      <c r="B154" s="289" t="s">
        <v>418</v>
      </c>
      <c r="C154" s="297" t="s">
        <v>421</v>
      </c>
      <c r="D154" s="344">
        <v>55751870</v>
      </c>
      <c r="E154" s="344">
        <v>0</v>
      </c>
      <c r="F154" s="344">
        <f t="shared" si="18"/>
        <v>55751870</v>
      </c>
      <c r="G154" s="343">
        <v>3736.71</v>
      </c>
      <c r="H154" s="347">
        <v>16.998999999999999</v>
      </c>
      <c r="I154" s="347">
        <v>9.0889999999999986</v>
      </c>
      <c r="J154" s="353">
        <f t="shared" si="21"/>
        <v>7.91</v>
      </c>
      <c r="K154" s="287">
        <v>0</v>
      </c>
      <c r="L154" s="300">
        <v>0</v>
      </c>
      <c r="M154" s="287">
        <v>0</v>
      </c>
      <c r="N154" s="353">
        <v>0</v>
      </c>
      <c r="O154" s="354">
        <v>7.1349999999999998</v>
      </c>
      <c r="P154" s="355">
        <f t="shared" si="17"/>
        <v>6.7023940183531069E-2</v>
      </c>
      <c r="Q154" s="360">
        <f t="shared" si="19"/>
        <v>15.112023940183532</v>
      </c>
      <c r="R154" s="299"/>
      <c r="S154" s="299"/>
      <c r="T154" s="299"/>
      <c r="U154" s="299"/>
      <c r="V154" s="299"/>
      <c r="W154" s="299">
        <f t="shared" si="20"/>
        <v>15.112023940183532</v>
      </c>
      <c r="X154" s="287">
        <v>58.062000000000005</v>
      </c>
      <c r="Y154" s="344">
        <v>3326083.08</v>
      </c>
      <c r="Z154" s="344">
        <v>2851840.0551000005</v>
      </c>
      <c r="AB154" s="261">
        <f>+D154-'Data FY23-24 Final'!D154</f>
        <v>2549329</v>
      </c>
      <c r="AC154" s="261">
        <f>+E154-'Data FY23-24 Final'!E154</f>
        <v>0</v>
      </c>
      <c r="AD154" s="261">
        <f>+F154-'Data FY23-24 Final'!F154</f>
        <v>2549329</v>
      </c>
      <c r="AE154" s="261">
        <f>+G154-'Data FY23-24 Final'!G154</f>
        <v>0</v>
      </c>
      <c r="AF154" s="288">
        <f>+H154-'Data FY23-24 Final'!H154</f>
        <v>0</v>
      </c>
      <c r="AG154" s="288">
        <f>+I154-'Data FY23-24 Final'!I154</f>
        <v>-1.0000000000000018</v>
      </c>
      <c r="AH154" s="288">
        <f>+J154-'Data FY23-24 Final'!J154</f>
        <v>1</v>
      </c>
      <c r="AI154" s="288">
        <f>+K154-'Data FY23-24 Final'!K154</f>
        <v>0</v>
      </c>
      <c r="AJ154" s="288">
        <f>+L154-'Data FY23-24 Final'!L154</f>
        <v>0</v>
      </c>
      <c r="AK154" s="288">
        <f>+M154-'Data FY23-24 Final'!M154</f>
        <v>0</v>
      </c>
      <c r="AL154" s="288">
        <f>+N154-'Data FY23-24 Final'!N154</f>
        <v>0</v>
      </c>
      <c r="AM154" s="288">
        <f>+O154-'Data FY23-24 Final'!O154</f>
        <v>-0.9399999999999995</v>
      </c>
      <c r="AN154" s="288">
        <f>+P154-'Data FY23-24 Final'!P154</f>
        <v>-2.9760598164689372E-3</v>
      </c>
      <c r="AO154" s="288">
        <f>+Q154-'Data FY23-24 Final'!Q154</f>
        <v>5.7023940183531963E-2</v>
      </c>
      <c r="AP154" s="288">
        <f>+R154-'Data FY23-24 Final'!R154</f>
        <v>0</v>
      </c>
      <c r="AQ154" s="288">
        <f>+S154-'Data FY23-24 Final'!S154</f>
        <v>0</v>
      </c>
      <c r="AR154" s="288">
        <f>+T154-'Data FY23-24 Final'!T154</f>
        <v>0</v>
      </c>
      <c r="AS154" s="288">
        <f>+U154-'Data FY23-24 Final'!U154</f>
        <v>0</v>
      </c>
      <c r="AT154" s="288">
        <f>+V154-'Data FY23-24 Final'!V154</f>
        <v>0</v>
      </c>
      <c r="AU154" s="288">
        <f>+W154-'Data FY23-24 Final'!W154</f>
        <v>5.7023940183531963E-2</v>
      </c>
      <c r="AV154" s="288">
        <f>+X154-'Data FY23-24 Final'!X154</f>
        <v>0</v>
      </c>
      <c r="AW154" s="261">
        <f>+Y154-'Data FY23-24 Final'!Y154</f>
        <v>17078.660000000149</v>
      </c>
      <c r="AX154" s="261">
        <f>+Z154-'Data FY23-24 Final'!Z154</f>
        <v>-70882.326589999255</v>
      </c>
    </row>
    <row r="155" spans="1:50" s="256" customFormat="1" x14ac:dyDescent="0.25">
      <c r="A155" s="289" t="s">
        <v>422</v>
      </c>
      <c r="B155" s="289" t="s">
        <v>423</v>
      </c>
      <c r="C155" s="297" t="s">
        <v>424</v>
      </c>
      <c r="D155" s="344">
        <v>31811563</v>
      </c>
      <c r="E155" s="344">
        <v>0</v>
      </c>
      <c r="F155" s="344">
        <f t="shared" si="18"/>
        <v>31811563</v>
      </c>
      <c r="G155" s="343">
        <v>29118.58</v>
      </c>
      <c r="H155" s="347">
        <v>27</v>
      </c>
      <c r="I155" s="347">
        <v>0</v>
      </c>
      <c r="J155" s="353">
        <f t="shared" si="21"/>
        <v>27</v>
      </c>
      <c r="K155" s="287">
        <v>0</v>
      </c>
      <c r="L155" s="300">
        <v>0</v>
      </c>
      <c r="M155" s="287">
        <v>0</v>
      </c>
      <c r="N155" s="353">
        <v>0</v>
      </c>
      <c r="O155" s="354">
        <v>0</v>
      </c>
      <c r="P155" s="355">
        <f t="shared" si="17"/>
        <v>0.9153457816580719</v>
      </c>
      <c r="Q155" s="360">
        <f t="shared" si="19"/>
        <v>27.915345781658072</v>
      </c>
      <c r="R155" s="299"/>
      <c r="S155" s="299"/>
      <c r="T155" s="299"/>
      <c r="U155" s="299"/>
      <c r="V155" s="299"/>
      <c r="W155" s="299">
        <f t="shared" si="20"/>
        <v>27.915345781658072</v>
      </c>
      <c r="X155" s="287">
        <v>191.75200000000001</v>
      </c>
      <c r="Y155" s="344">
        <v>6188442.71</v>
      </c>
      <c r="Z155" s="344">
        <v>5241029.0877</v>
      </c>
      <c r="AB155" s="261">
        <f>+D155-'Data FY23-24 Final'!D155</f>
        <v>1731140</v>
      </c>
      <c r="AC155" s="261">
        <f>+E155-'Data FY23-24 Final'!E155</f>
        <v>0</v>
      </c>
      <c r="AD155" s="261">
        <f>+F155-'Data FY23-24 Final'!F155</f>
        <v>1731140</v>
      </c>
      <c r="AE155" s="261">
        <f>+G155-'Data FY23-24 Final'!G155</f>
        <v>0.58000000000174623</v>
      </c>
      <c r="AF155" s="288">
        <f>+H155-'Data FY23-24 Final'!H155</f>
        <v>0</v>
      </c>
      <c r="AG155" s="288">
        <f>+I155-'Data FY23-24 Final'!I155</f>
        <v>0</v>
      </c>
      <c r="AH155" s="288">
        <f>+J155-'Data FY23-24 Final'!J155</f>
        <v>0</v>
      </c>
      <c r="AI155" s="288">
        <f>+K155-'Data FY23-24 Final'!K155</f>
        <v>0</v>
      </c>
      <c r="AJ155" s="288">
        <f>+L155-'Data FY23-24 Final'!L155</f>
        <v>0</v>
      </c>
      <c r="AK155" s="288">
        <f>+M155-'Data FY23-24 Final'!M155</f>
        <v>0</v>
      </c>
      <c r="AL155" s="288">
        <f>+N155-'Data FY23-24 Final'!N155</f>
        <v>0</v>
      </c>
      <c r="AM155" s="288">
        <f>+O155-'Data FY23-24 Final'!O155</f>
        <v>0</v>
      </c>
      <c r="AN155" s="288">
        <f>+P155-'Data FY23-24 Final'!P155</f>
        <v>-5.2654218341928072E-2</v>
      </c>
      <c r="AO155" s="288">
        <f>+Q155-'Data FY23-24 Final'!Q155</f>
        <v>-5.2654218341928072E-2</v>
      </c>
      <c r="AP155" s="288">
        <f>+R155-'Data FY23-24 Final'!R155</f>
        <v>-13.63</v>
      </c>
      <c r="AQ155" s="288">
        <f>+S155-'Data FY23-24 Final'!S155</f>
        <v>0</v>
      </c>
      <c r="AR155" s="288">
        <f>+T155-'Data FY23-24 Final'!T155</f>
        <v>0</v>
      </c>
      <c r="AS155" s="288">
        <f>+U155-'Data FY23-24 Final'!U155</f>
        <v>0</v>
      </c>
      <c r="AT155" s="288">
        <f>+V155-'Data FY23-24 Final'!V155</f>
        <v>0</v>
      </c>
      <c r="AU155" s="288">
        <f>+W155-'Data FY23-24 Final'!W155</f>
        <v>-13.682654218341927</v>
      </c>
      <c r="AV155" s="288">
        <f>+X155-'Data FY23-24 Final'!X155</f>
        <v>0</v>
      </c>
      <c r="AW155" s="261">
        <f>+Y155-'Data FY23-24 Final'!Y155</f>
        <v>-2015508.6500000004</v>
      </c>
      <c r="AX155" s="261">
        <f>+Z155-'Data FY23-24 Final'!Z155</f>
        <v>-2050661.4512999998</v>
      </c>
    </row>
    <row r="156" spans="1:50" s="256" customFormat="1" x14ac:dyDescent="0.25">
      <c r="A156" s="289" t="s">
        <v>425</v>
      </c>
      <c r="B156" s="289" t="s">
        <v>423</v>
      </c>
      <c r="C156" s="297" t="s">
        <v>426</v>
      </c>
      <c r="D156" s="344">
        <v>28242299</v>
      </c>
      <c r="E156" s="344">
        <v>0</v>
      </c>
      <c r="F156" s="344">
        <f t="shared" si="18"/>
        <v>28242299</v>
      </c>
      <c r="G156" s="343">
        <v>8679.44</v>
      </c>
      <c r="H156" s="347">
        <v>27</v>
      </c>
      <c r="I156" s="347">
        <v>5.7999999999999829E-2</v>
      </c>
      <c r="J156" s="353">
        <f t="shared" si="21"/>
        <v>26.942</v>
      </c>
      <c r="K156" s="287">
        <v>0</v>
      </c>
      <c r="L156" s="300">
        <v>0</v>
      </c>
      <c r="M156" s="287">
        <v>2.6280000000000001</v>
      </c>
      <c r="N156" s="353">
        <v>0</v>
      </c>
      <c r="O156" s="354">
        <v>0</v>
      </c>
      <c r="P156" s="355">
        <f t="shared" si="17"/>
        <v>0.30732059029613701</v>
      </c>
      <c r="Q156" s="360">
        <f t="shared" si="19"/>
        <v>29.877320590296137</v>
      </c>
      <c r="R156" s="299"/>
      <c r="S156" s="299"/>
      <c r="T156" s="299"/>
      <c r="U156" s="299"/>
      <c r="V156" s="299"/>
      <c r="W156" s="299">
        <f t="shared" si="20"/>
        <v>29.877320590296137</v>
      </c>
      <c r="X156" s="287">
        <v>84.903999999999996</v>
      </c>
      <c r="Y156" s="344">
        <v>2476511.9900000002</v>
      </c>
      <c r="Z156" s="344">
        <v>1665228.3814420002</v>
      </c>
      <c r="AB156" s="261">
        <f>+D156-'Data FY23-24 Final'!D156</f>
        <v>847750</v>
      </c>
      <c r="AC156" s="261">
        <f>+E156-'Data FY23-24 Final'!E156</f>
        <v>0</v>
      </c>
      <c r="AD156" s="261">
        <f>+F156-'Data FY23-24 Final'!F156</f>
        <v>847750</v>
      </c>
      <c r="AE156" s="261">
        <f>+G156-'Data FY23-24 Final'!G156</f>
        <v>-4.5599999999994907</v>
      </c>
      <c r="AF156" s="288">
        <f>+H156-'Data FY23-24 Final'!H156</f>
        <v>0</v>
      </c>
      <c r="AG156" s="288">
        <f>+I156-'Data FY23-24 Final'!I156</f>
        <v>-1.0000000000000002</v>
      </c>
      <c r="AH156" s="288">
        <f>+J156-'Data FY23-24 Final'!J156</f>
        <v>1</v>
      </c>
      <c r="AI156" s="288">
        <f>+K156-'Data FY23-24 Final'!K156</f>
        <v>0</v>
      </c>
      <c r="AJ156" s="288">
        <f>+L156-'Data FY23-24 Final'!L156</f>
        <v>0</v>
      </c>
      <c r="AK156" s="288">
        <f>+M156-'Data FY23-24 Final'!M156</f>
        <v>-8.1999999999999851E-2</v>
      </c>
      <c r="AL156" s="288">
        <f>+N156-'Data FY23-24 Final'!N156</f>
        <v>0</v>
      </c>
      <c r="AM156" s="288">
        <f>+O156-'Data FY23-24 Final'!O156</f>
        <v>0</v>
      </c>
      <c r="AN156" s="288">
        <f>+P156-'Data FY23-24 Final'!P156</f>
        <v>-9.6794097038629956E-3</v>
      </c>
      <c r="AO156" s="288">
        <f>+Q156-'Data FY23-24 Final'!Q156</f>
        <v>0.90832059029613532</v>
      </c>
      <c r="AP156" s="288">
        <f>+R156-'Data FY23-24 Final'!R156</f>
        <v>-13</v>
      </c>
      <c r="AQ156" s="288">
        <f>+S156-'Data FY23-24 Final'!S156</f>
        <v>0</v>
      </c>
      <c r="AR156" s="288">
        <f>+T156-'Data FY23-24 Final'!T156</f>
        <v>0</v>
      </c>
      <c r="AS156" s="288">
        <f>+U156-'Data FY23-24 Final'!U156</f>
        <v>0</v>
      </c>
      <c r="AT156" s="288">
        <f>+V156-'Data FY23-24 Final'!V156</f>
        <v>0</v>
      </c>
      <c r="AU156" s="288">
        <f>+W156-'Data FY23-24 Final'!W156</f>
        <v>-12.091679409703865</v>
      </c>
      <c r="AV156" s="288">
        <f>+X156-'Data FY23-24 Final'!X156</f>
        <v>0</v>
      </c>
      <c r="AW156" s="261">
        <f>+Y156-'Data FY23-24 Final'!Y156</f>
        <v>-45368.729999999981</v>
      </c>
      <c r="AX156" s="261">
        <f>+Z156-'Data FY23-24 Final'!Z156</f>
        <v>-59028.148400000064</v>
      </c>
    </row>
    <row r="157" spans="1:50" s="256" customFormat="1" x14ac:dyDescent="0.25">
      <c r="A157" s="289" t="s">
        <v>427</v>
      </c>
      <c r="B157" s="289" t="s">
        <v>428</v>
      </c>
      <c r="C157" s="297" t="s">
        <v>428</v>
      </c>
      <c r="D157" s="344">
        <v>3637206920</v>
      </c>
      <c r="E157" s="344">
        <v>63437270</v>
      </c>
      <c r="F157" s="344">
        <f t="shared" si="18"/>
        <v>3573769650</v>
      </c>
      <c r="G157" s="343">
        <v>43584.82</v>
      </c>
      <c r="H157" s="347">
        <v>10.666</v>
      </c>
      <c r="I157" s="347">
        <v>0</v>
      </c>
      <c r="J157" s="361">
        <f>+H157-I157-K157-L157</f>
        <v>10.648</v>
      </c>
      <c r="K157" s="362">
        <v>1.8000000000000002E-2</v>
      </c>
      <c r="L157" s="363">
        <v>6.5390943528031986E-16</v>
      </c>
      <c r="M157" s="287">
        <v>0.41300000000000003</v>
      </c>
      <c r="N157" s="353">
        <v>0</v>
      </c>
      <c r="O157" s="354">
        <v>1.3120000000000001</v>
      </c>
      <c r="P157" s="355">
        <f t="shared" si="17"/>
        <v>1.2195755258036848E-2</v>
      </c>
      <c r="Q157" s="360">
        <f t="shared" si="19"/>
        <v>12.403195755258038</v>
      </c>
      <c r="R157" s="299"/>
      <c r="S157" s="299"/>
      <c r="T157" s="299"/>
      <c r="U157" s="299"/>
      <c r="V157" s="299"/>
      <c r="W157" s="299">
        <f t="shared" si="20"/>
        <v>12.403195755258038</v>
      </c>
      <c r="X157" s="287">
        <v>10.648</v>
      </c>
      <c r="Y157" s="344">
        <v>39565980.210000001</v>
      </c>
      <c r="Z157" s="344">
        <v>1208.3783000020776</v>
      </c>
      <c r="AB157" s="261">
        <f>+D157-'Data FY23-24 Final'!D157</f>
        <v>194066660</v>
      </c>
      <c r="AC157" s="261">
        <f>+E157-'Data FY23-24 Final'!E157</f>
        <v>1486610</v>
      </c>
      <c r="AD157" s="261">
        <f>+F157-'Data FY23-24 Final'!F157</f>
        <v>192580050</v>
      </c>
      <c r="AE157" s="261">
        <f>+G157-'Data FY23-24 Final'!G157</f>
        <v>-0.18000000000029104</v>
      </c>
      <c r="AF157" s="288">
        <f>+H157-'Data FY23-24 Final'!H157</f>
        <v>0</v>
      </c>
      <c r="AG157" s="288">
        <f>+I157-'Data FY23-24 Final'!I157</f>
        <v>0</v>
      </c>
      <c r="AH157" s="288">
        <f>+J157-'Data FY23-24 Final'!J157</f>
        <v>-1.8000000000000682E-2</v>
      </c>
      <c r="AI157" s="288">
        <f>+K157-'Data FY23-24 Final'!K157</f>
        <v>1.8000000000000002E-2</v>
      </c>
      <c r="AJ157" s="288">
        <f>+L157-'Data FY23-24 Final'!L157</f>
        <v>6.5390943528031986E-16</v>
      </c>
      <c r="AK157" s="288">
        <f>+M157-'Data FY23-24 Final'!M157</f>
        <v>-2.2999999999999965E-2</v>
      </c>
      <c r="AL157" s="288">
        <f>+N157-'Data FY23-24 Final'!N157</f>
        <v>0</v>
      </c>
      <c r="AM157" s="288">
        <f>+O157-'Data FY23-24 Final'!O157</f>
        <v>-0.502</v>
      </c>
      <c r="AN157" s="288">
        <f>+P157-'Data FY23-24 Final'!P157</f>
        <v>-8.0424474196315147E-4</v>
      </c>
      <c r="AO157" s="288">
        <f>+Q157-'Data FY23-24 Final'!Q157</f>
        <v>-0.52580424474196263</v>
      </c>
      <c r="AP157" s="288">
        <f>+R157-'Data FY23-24 Final'!R157</f>
        <v>-2.7149999999999999</v>
      </c>
      <c r="AQ157" s="288">
        <f>+S157-'Data FY23-24 Final'!S157</f>
        <v>-0.26</v>
      </c>
      <c r="AR157" s="288">
        <f>+T157-'Data FY23-24 Final'!T157</f>
        <v>0</v>
      </c>
      <c r="AS157" s="288">
        <f>+U157-'Data FY23-24 Final'!U157</f>
        <v>-1</v>
      </c>
      <c r="AT157" s="288">
        <f>+V157-'Data FY23-24 Final'!V157</f>
        <v>0</v>
      </c>
      <c r="AU157" s="288">
        <f>+W157-'Data FY23-24 Final'!W157</f>
        <v>-4.5008042447419623</v>
      </c>
      <c r="AV157" s="288">
        <f>+X157-'Data FY23-24 Final'!X157</f>
        <v>0</v>
      </c>
      <c r="AW157" s="261">
        <f>+Y157-'Data FY23-24 Final'!Y157</f>
        <v>615696.14999999851</v>
      </c>
      <c r="AX157" s="261">
        <f>+Z157-'Data FY23-24 Final'!Z157</f>
        <v>-1407331.5181000032</v>
      </c>
    </row>
    <row r="158" spans="1:50" s="256" customFormat="1" x14ac:dyDescent="0.25">
      <c r="A158" s="289" t="s">
        <v>429</v>
      </c>
      <c r="B158" s="289" t="s">
        <v>430</v>
      </c>
      <c r="C158" s="297" t="s">
        <v>431</v>
      </c>
      <c r="D158" s="344">
        <v>440102250</v>
      </c>
      <c r="E158" s="344">
        <v>0</v>
      </c>
      <c r="F158" s="344">
        <f t="shared" si="18"/>
        <v>440102250</v>
      </c>
      <c r="G158" s="343">
        <v>5998.88</v>
      </c>
      <c r="H158" s="347">
        <v>9.6240000000000006</v>
      </c>
      <c r="I158" s="347">
        <v>0</v>
      </c>
      <c r="J158" s="361">
        <f>+H158-I158-K158-L158</f>
        <v>9.2580000000000009</v>
      </c>
      <c r="K158" s="362">
        <v>0.36599999999999999</v>
      </c>
      <c r="L158" s="363">
        <v>0</v>
      </c>
      <c r="M158" s="287">
        <v>0</v>
      </c>
      <c r="N158" s="353">
        <v>0</v>
      </c>
      <c r="O158" s="354">
        <v>1.327</v>
      </c>
      <c r="P158" s="355">
        <f t="shared" si="17"/>
        <v>1.3630650604490207E-2</v>
      </c>
      <c r="Q158" s="360">
        <f t="shared" si="19"/>
        <v>10.964630650604491</v>
      </c>
      <c r="R158" s="299"/>
      <c r="S158" s="299"/>
      <c r="T158" s="299"/>
      <c r="U158" s="299"/>
      <c r="V158" s="299"/>
      <c r="W158" s="299">
        <f t="shared" si="20"/>
        <v>10.964630650604491</v>
      </c>
      <c r="X158" s="287">
        <v>9.2580000000000009</v>
      </c>
      <c r="Y158" s="344">
        <v>4481534.7699999996</v>
      </c>
      <c r="Z158" s="344">
        <v>199.08449999912409</v>
      </c>
      <c r="AB158" s="261">
        <f>+D158-'Data FY23-24 Final'!D158</f>
        <v>9265390</v>
      </c>
      <c r="AC158" s="261">
        <f>+E158-'Data FY23-24 Final'!E158</f>
        <v>0</v>
      </c>
      <c r="AD158" s="261">
        <f>+F158-'Data FY23-24 Final'!F158</f>
        <v>9265390</v>
      </c>
      <c r="AE158" s="261">
        <f>+G158-'Data FY23-24 Final'!G158</f>
        <v>1690.88</v>
      </c>
      <c r="AF158" s="288">
        <f>+H158-'Data FY23-24 Final'!H158</f>
        <v>0</v>
      </c>
      <c r="AG158" s="288">
        <f>+I158-'Data FY23-24 Final'!I158</f>
        <v>0</v>
      </c>
      <c r="AH158" s="288">
        <f>+J158-'Data FY23-24 Final'!J158</f>
        <v>0</v>
      </c>
      <c r="AI158" s="288">
        <f>+K158-'Data FY23-24 Final'!K158</f>
        <v>0</v>
      </c>
      <c r="AJ158" s="288">
        <f>+L158-'Data FY23-24 Final'!L158</f>
        <v>0</v>
      </c>
      <c r="AK158" s="288">
        <f>+M158-'Data FY23-24 Final'!M158</f>
        <v>0</v>
      </c>
      <c r="AL158" s="288">
        <f>+N158-'Data FY23-24 Final'!N158</f>
        <v>0</v>
      </c>
      <c r="AM158" s="288">
        <f>+O158-'Data FY23-24 Final'!O158</f>
        <v>0</v>
      </c>
      <c r="AN158" s="288">
        <f>+P158-'Data FY23-24 Final'!P158</f>
        <v>3.630650604490207E-3</v>
      </c>
      <c r="AO158" s="288">
        <f>+Q158-'Data FY23-24 Final'!Q158</f>
        <v>3.6306506044905262E-3</v>
      </c>
      <c r="AP158" s="288">
        <f>+R158-'Data FY23-24 Final'!R158</f>
        <v>-2.3250000000000002</v>
      </c>
      <c r="AQ158" s="288">
        <f>+S158-'Data FY23-24 Final'!S158</f>
        <v>0</v>
      </c>
      <c r="AR158" s="288">
        <f>+T158-'Data FY23-24 Final'!T158</f>
        <v>0</v>
      </c>
      <c r="AS158" s="288">
        <f>+U158-'Data FY23-24 Final'!U158</f>
        <v>0</v>
      </c>
      <c r="AT158" s="288">
        <f>+V158-'Data FY23-24 Final'!V158</f>
        <v>0</v>
      </c>
      <c r="AU158" s="288">
        <f>+W158-'Data FY23-24 Final'!W158</f>
        <v>-2.3213693493955088</v>
      </c>
      <c r="AV158" s="288">
        <f>+X158-'Data FY23-24 Final'!X158</f>
        <v>0</v>
      </c>
      <c r="AW158" s="261">
        <f>+Y158-'Data FY23-24 Final'!Y158</f>
        <v>12712.189999999478</v>
      </c>
      <c r="AX158" s="261">
        <f>+Z158-'Data FY23-24 Final'!Z158</f>
        <v>199.0811999985599</v>
      </c>
    </row>
    <row r="159" spans="1:50" s="256" customFormat="1" x14ac:dyDescent="0.25">
      <c r="A159" s="289" t="s">
        <v>432</v>
      </c>
      <c r="B159" s="289" t="s">
        <v>430</v>
      </c>
      <c r="C159" s="297" t="s">
        <v>433</v>
      </c>
      <c r="D159" s="344">
        <v>453844790</v>
      </c>
      <c r="E159" s="344">
        <v>12779703</v>
      </c>
      <c r="F159" s="344">
        <f t="shared" si="18"/>
        <v>441065087</v>
      </c>
      <c r="G159" s="343">
        <v>243414.08</v>
      </c>
      <c r="H159" s="347">
        <v>27</v>
      </c>
      <c r="I159" s="347">
        <v>0.44999999999999929</v>
      </c>
      <c r="J159" s="353">
        <f t="shared" ref="J159:J165" si="22">+H159-I159</f>
        <v>26.55</v>
      </c>
      <c r="K159" s="287">
        <v>0</v>
      </c>
      <c r="L159" s="300">
        <v>0</v>
      </c>
      <c r="M159" s="287">
        <v>0</v>
      </c>
      <c r="N159" s="353">
        <v>0</v>
      </c>
      <c r="O159" s="354">
        <v>2.4940000000000002</v>
      </c>
      <c r="P159" s="355">
        <f t="shared" si="17"/>
        <v>0.55187791365585903</v>
      </c>
      <c r="Q159" s="360">
        <f t="shared" si="19"/>
        <v>29.595877913655858</v>
      </c>
      <c r="R159" s="299"/>
      <c r="S159" s="299"/>
      <c r="T159" s="299"/>
      <c r="U159" s="299"/>
      <c r="V159" s="299"/>
      <c r="W159" s="299">
        <f t="shared" si="20"/>
        <v>29.595877913655858</v>
      </c>
      <c r="X159" s="287">
        <v>47.796999999999997</v>
      </c>
      <c r="Y159" s="344">
        <v>21931255.920000002</v>
      </c>
      <c r="Z159" s="344">
        <v>9812261.2334500011</v>
      </c>
      <c r="AB159" s="261">
        <f>+D159-'Data FY23-24 Final'!D159</f>
        <v>28492910</v>
      </c>
      <c r="AC159" s="261">
        <f>+E159-'Data FY23-24 Final'!E159</f>
        <v>83989</v>
      </c>
      <c r="AD159" s="261">
        <f>+F159-'Data FY23-24 Final'!F159</f>
        <v>28408921</v>
      </c>
      <c r="AE159" s="261">
        <f>+G159-'Data FY23-24 Final'!G159</f>
        <v>235359.08</v>
      </c>
      <c r="AF159" s="288">
        <f>+H159-'Data FY23-24 Final'!H159</f>
        <v>0</v>
      </c>
      <c r="AG159" s="288">
        <f>+I159-'Data FY23-24 Final'!I159</f>
        <v>-1.0000000000000007</v>
      </c>
      <c r="AH159" s="288">
        <f>+J159-'Data FY23-24 Final'!J159</f>
        <v>1</v>
      </c>
      <c r="AI159" s="288">
        <f>+K159-'Data FY23-24 Final'!K159</f>
        <v>0</v>
      </c>
      <c r="AJ159" s="288">
        <f>+L159-'Data FY23-24 Final'!L159</f>
        <v>0</v>
      </c>
      <c r="AK159" s="288">
        <f>+M159-'Data FY23-24 Final'!M159</f>
        <v>0</v>
      </c>
      <c r="AL159" s="288">
        <f>+N159-'Data FY23-24 Final'!N159</f>
        <v>0</v>
      </c>
      <c r="AM159" s="288">
        <f>+O159-'Data FY23-24 Final'!O159</f>
        <v>-0.17199999999999971</v>
      </c>
      <c r="AN159" s="288">
        <f>+P159-'Data FY23-24 Final'!P159</f>
        <v>0.53187791365585901</v>
      </c>
      <c r="AO159" s="288">
        <f>+Q159-'Data FY23-24 Final'!Q159</f>
        <v>1.3598779136558576</v>
      </c>
      <c r="AP159" s="288">
        <f>+R159-'Data FY23-24 Final'!R159</f>
        <v>0</v>
      </c>
      <c r="AQ159" s="288">
        <f>+S159-'Data FY23-24 Final'!S159</f>
        <v>0</v>
      </c>
      <c r="AR159" s="288">
        <f>+T159-'Data FY23-24 Final'!T159</f>
        <v>0</v>
      </c>
      <c r="AS159" s="288">
        <f>+U159-'Data FY23-24 Final'!U159</f>
        <v>0</v>
      </c>
      <c r="AT159" s="288">
        <f>+V159-'Data FY23-24 Final'!V159</f>
        <v>0</v>
      </c>
      <c r="AU159" s="288">
        <f>+W159-'Data FY23-24 Final'!W159</f>
        <v>1.3598779136558576</v>
      </c>
      <c r="AV159" s="288">
        <f>+X159-'Data FY23-24 Final'!X159</f>
        <v>0</v>
      </c>
      <c r="AW159" s="261">
        <f>+Y159-'Data FY23-24 Final'!Y159</f>
        <v>282734.12000000104</v>
      </c>
      <c r="AX159" s="261">
        <f>+Z159-'Data FY23-24 Final'!Z159</f>
        <v>-419471.07524999976</v>
      </c>
    </row>
    <row r="160" spans="1:50" s="256" customFormat="1" x14ac:dyDescent="0.25">
      <c r="A160" s="289" t="s">
        <v>434</v>
      </c>
      <c r="B160" s="289" t="s">
        <v>435</v>
      </c>
      <c r="C160" s="297" t="s">
        <v>436</v>
      </c>
      <c r="D160" s="344">
        <v>52162130</v>
      </c>
      <c r="E160" s="344">
        <v>0</v>
      </c>
      <c r="F160" s="344">
        <f t="shared" si="18"/>
        <v>52162130</v>
      </c>
      <c r="G160" s="343">
        <v>7334.23</v>
      </c>
      <c r="H160" s="347">
        <v>27</v>
      </c>
      <c r="I160" s="347">
        <v>0</v>
      </c>
      <c r="J160" s="353">
        <f t="shared" si="22"/>
        <v>27</v>
      </c>
      <c r="K160" s="287">
        <v>0</v>
      </c>
      <c r="L160" s="300">
        <v>0</v>
      </c>
      <c r="M160" s="287">
        <v>0</v>
      </c>
      <c r="N160" s="353">
        <v>0</v>
      </c>
      <c r="O160" s="354">
        <v>0</v>
      </c>
      <c r="P160" s="355">
        <f t="shared" si="17"/>
        <v>0.14060449602038871</v>
      </c>
      <c r="Q160" s="360">
        <f t="shared" si="19"/>
        <v>27.140604496020387</v>
      </c>
      <c r="R160" s="299"/>
      <c r="S160" s="299"/>
      <c r="T160" s="299"/>
      <c r="U160" s="299"/>
      <c r="V160" s="299"/>
      <c r="W160" s="299">
        <f t="shared" si="20"/>
        <v>27.140604496020387</v>
      </c>
      <c r="X160" s="287">
        <v>99.548999999999992</v>
      </c>
      <c r="Y160" s="344">
        <v>5325246.78</v>
      </c>
      <c r="Z160" s="344">
        <v>3784333.1239000005</v>
      </c>
      <c r="AB160" s="261">
        <f>+D160-'Data FY23-24 Final'!D160</f>
        <v>2689941</v>
      </c>
      <c r="AC160" s="261">
        <f>+E160-'Data FY23-24 Final'!E160</f>
        <v>0</v>
      </c>
      <c r="AD160" s="261">
        <f>+F160-'Data FY23-24 Final'!F160</f>
        <v>2689941</v>
      </c>
      <c r="AE160" s="261">
        <f>+G160-'Data FY23-24 Final'!G160</f>
        <v>0</v>
      </c>
      <c r="AF160" s="288">
        <f>+H160-'Data FY23-24 Final'!H160</f>
        <v>0</v>
      </c>
      <c r="AG160" s="288">
        <f>+I160-'Data FY23-24 Final'!I160</f>
        <v>0</v>
      </c>
      <c r="AH160" s="288">
        <f>+J160-'Data FY23-24 Final'!J160</f>
        <v>0</v>
      </c>
      <c r="AI160" s="288">
        <f>+K160-'Data FY23-24 Final'!K160</f>
        <v>0</v>
      </c>
      <c r="AJ160" s="288">
        <f>+L160-'Data FY23-24 Final'!L160</f>
        <v>0</v>
      </c>
      <c r="AK160" s="288">
        <f>+M160-'Data FY23-24 Final'!M160</f>
        <v>0</v>
      </c>
      <c r="AL160" s="288">
        <f>+N160-'Data FY23-24 Final'!N160</f>
        <v>0</v>
      </c>
      <c r="AM160" s="288">
        <f>+O160-'Data FY23-24 Final'!O160</f>
        <v>0</v>
      </c>
      <c r="AN160" s="288">
        <f>+P160-'Data FY23-24 Final'!P160</f>
        <v>-3.9550397961127248E-4</v>
      </c>
      <c r="AO160" s="288">
        <f>+Q160-'Data FY23-24 Final'!Q160</f>
        <v>-3.9550397961107819E-4</v>
      </c>
      <c r="AP160" s="288">
        <f>+R160-'Data FY23-24 Final'!R160</f>
        <v>-9.86</v>
      </c>
      <c r="AQ160" s="288">
        <f>+S160-'Data FY23-24 Final'!S160</f>
        <v>0</v>
      </c>
      <c r="AR160" s="288">
        <f>+T160-'Data FY23-24 Final'!T160</f>
        <v>0</v>
      </c>
      <c r="AS160" s="288">
        <f>+U160-'Data FY23-24 Final'!U160</f>
        <v>0</v>
      </c>
      <c r="AT160" s="288">
        <f>+V160-'Data FY23-24 Final'!V160</f>
        <v>0</v>
      </c>
      <c r="AU160" s="288">
        <f>+W160-'Data FY23-24 Final'!W160</f>
        <v>-9.8603955039796105</v>
      </c>
      <c r="AV160" s="288">
        <f>+X160-'Data FY23-24 Final'!X160</f>
        <v>0</v>
      </c>
      <c r="AW160" s="261">
        <f>+Y160-'Data FY23-24 Final'!Y160</f>
        <v>184101.12999999989</v>
      </c>
      <c r="AX160" s="261">
        <f>+Z160-'Data FY23-24 Final'!Z160</f>
        <v>127594.85690000001</v>
      </c>
    </row>
    <row r="161" spans="1:50" s="256" customFormat="1" x14ac:dyDescent="0.25">
      <c r="A161" s="289" t="s">
        <v>437</v>
      </c>
      <c r="B161" s="289" t="s">
        <v>435</v>
      </c>
      <c r="C161" s="297" t="s">
        <v>438</v>
      </c>
      <c r="D161" s="344">
        <v>33601686</v>
      </c>
      <c r="E161" s="344">
        <v>0</v>
      </c>
      <c r="F161" s="344">
        <f t="shared" si="18"/>
        <v>33601686</v>
      </c>
      <c r="G161" s="343">
        <v>4538.72</v>
      </c>
      <c r="H161" s="347">
        <v>27</v>
      </c>
      <c r="I161" s="347">
        <v>8.8189999999999991</v>
      </c>
      <c r="J161" s="353">
        <f t="shared" si="22"/>
        <v>18.181000000000001</v>
      </c>
      <c r="K161" s="287">
        <v>0</v>
      </c>
      <c r="L161" s="300">
        <v>0</v>
      </c>
      <c r="M161" s="287">
        <v>0.23299999999999998</v>
      </c>
      <c r="N161" s="353">
        <v>0</v>
      </c>
      <c r="O161" s="354">
        <v>7.44</v>
      </c>
      <c r="P161" s="355">
        <f t="shared" si="17"/>
        <v>0.13507417455183648</v>
      </c>
      <c r="Q161" s="360">
        <f t="shared" si="19"/>
        <v>25.989074174551838</v>
      </c>
      <c r="R161" s="299"/>
      <c r="S161" s="299"/>
      <c r="T161" s="299"/>
      <c r="U161" s="299"/>
      <c r="V161" s="299"/>
      <c r="W161" s="299">
        <f t="shared" si="20"/>
        <v>25.989074174551838</v>
      </c>
      <c r="X161" s="287">
        <v>52.533000000000001</v>
      </c>
      <c r="Y161" s="344">
        <v>1819270.44</v>
      </c>
      <c r="Z161" s="344">
        <v>1187895.255234</v>
      </c>
      <c r="AB161" s="261">
        <f>+D161-'Data FY23-24 Final'!D161</f>
        <v>735434</v>
      </c>
      <c r="AC161" s="261">
        <f>+E161-'Data FY23-24 Final'!E161</f>
        <v>0</v>
      </c>
      <c r="AD161" s="261">
        <f>+F161-'Data FY23-24 Final'!F161</f>
        <v>735434</v>
      </c>
      <c r="AE161" s="261">
        <f>+G161-'Data FY23-24 Final'!G161</f>
        <v>-0.27999999999974534</v>
      </c>
      <c r="AF161" s="288">
        <f>+H161-'Data FY23-24 Final'!H161</f>
        <v>0</v>
      </c>
      <c r="AG161" s="288">
        <f>+I161-'Data FY23-24 Final'!I161</f>
        <v>-1.0000000000000018</v>
      </c>
      <c r="AH161" s="288">
        <f>+J161-'Data FY23-24 Final'!J161</f>
        <v>1</v>
      </c>
      <c r="AI161" s="288">
        <f>+K161-'Data FY23-24 Final'!K161</f>
        <v>0</v>
      </c>
      <c r="AJ161" s="288">
        <f>+L161-'Data FY23-24 Final'!L161</f>
        <v>0</v>
      </c>
      <c r="AK161" s="288">
        <f>+M161-'Data FY23-24 Final'!M161</f>
        <v>-5.0000000000000044E-3</v>
      </c>
      <c r="AL161" s="288">
        <f>+N161-'Data FY23-24 Final'!N161</f>
        <v>0</v>
      </c>
      <c r="AM161" s="288">
        <f>+O161-'Data FY23-24 Final'!O161</f>
        <v>-0.16699999999999982</v>
      </c>
      <c r="AN161" s="288">
        <f>+P161-'Data FY23-24 Final'!P161</f>
        <v>-2.9258254481635271E-3</v>
      </c>
      <c r="AO161" s="288">
        <f>+Q161-'Data FY23-24 Final'!Q161</f>
        <v>0.82507417455183685</v>
      </c>
      <c r="AP161" s="288">
        <f>+R161-'Data FY23-24 Final'!R161</f>
        <v>0</v>
      </c>
      <c r="AQ161" s="288">
        <f>+S161-'Data FY23-24 Final'!S161</f>
        <v>0</v>
      </c>
      <c r="AR161" s="288">
        <f>+T161-'Data FY23-24 Final'!T161</f>
        <v>0</v>
      </c>
      <c r="AS161" s="288">
        <f>+U161-'Data FY23-24 Final'!U161</f>
        <v>0</v>
      </c>
      <c r="AT161" s="288">
        <f>+V161-'Data FY23-24 Final'!V161</f>
        <v>0</v>
      </c>
      <c r="AU161" s="288">
        <f>+W161-'Data FY23-24 Final'!W161</f>
        <v>0.82507417455183685</v>
      </c>
      <c r="AV161" s="288">
        <f>+X161-'Data FY23-24 Final'!X161</f>
        <v>0</v>
      </c>
      <c r="AW161" s="261">
        <f>+Y161-'Data FY23-24 Final'!Y161</f>
        <v>-11558.130000000121</v>
      </c>
      <c r="AX161" s="261">
        <f>+Z161-'Data FY23-24 Final'!Z161</f>
        <v>-17165.689154000022</v>
      </c>
    </row>
    <row r="162" spans="1:50" s="256" customFormat="1" x14ac:dyDescent="0.25">
      <c r="A162" s="289" t="s">
        <v>439</v>
      </c>
      <c r="B162" s="289" t="s">
        <v>435</v>
      </c>
      <c r="C162" s="297" t="s">
        <v>440</v>
      </c>
      <c r="D162" s="344">
        <v>23588957</v>
      </c>
      <c r="E162" s="344">
        <v>0</v>
      </c>
      <c r="F162" s="344">
        <f t="shared" si="18"/>
        <v>23588957</v>
      </c>
      <c r="G162" s="343">
        <v>2491.73</v>
      </c>
      <c r="H162" s="347">
        <v>27</v>
      </c>
      <c r="I162" s="347">
        <v>0</v>
      </c>
      <c r="J162" s="353">
        <f t="shared" si="22"/>
        <v>27</v>
      </c>
      <c r="K162" s="287">
        <v>0</v>
      </c>
      <c r="L162" s="300">
        <v>0</v>
      </c>
      <c r="M162" s="287">
        <v>0</v>
      </c>
      <c r="N162" s="353">
        <v>0</v>
      </c>
      <c r="O162" s="354">
        <v>0</v>
      </c>
      <c r="P162" s="355">
        <f t="shared" si="17"/>
        <v>0.10563120700927982</v>
      </c>
      <c r="Q162" s="360">
        <f t="shared" si="19"/>
        <v>27.105631207009282</v>
      </c>
      <c r="R162" s="299"/>
      <c r="S162" s="299"/>
      <c r="T162" s="299"/>
      <c r="U162" s="299"/>
      <c r="V162" s="299"/>
      <c r="W162" s="299">
        <f t="shared" si="20"/>
        <v>27.105631207009282</v>
      </c>
      <c r="X162" s="287">
        <v>144.59</v>
      </c>
      <c r="Y162" s="344">
        <v>3490490.43</v>
      </c>
      <c r="Z162" s="344">
        <v>2773819.8495999998</v>
      </c>
      <c r="AB162" s="261">
        <f>+D162-'Data FY23-24 Final'!D162</f>
        <v>955710</v>
      </c>
      <c r="AC162" s="261">
        <f>+E162-'Data FY23-24 Final'!E162</f>
        <v>0</v>
      </c>
      <c r="AD162" s="261">
        <f>+F162-'Data FY23-24 Final'!F162</f>
        <v>955710</v>
      </c>
      <c r="AE162" s="261">
        <f>+G162-'Data FY23-24 Final'!G162</f>
        <v>0</v>
      </c>
      <c r="AF162" s="288">
        <f>+H162-'Data FY23-24 Final'!H162</f>
        <v>0</v>
      </c>
      <c r="AG162" s="288">
        <f>+I162-'Data FY23-24 Final'!I162</f>
        <v>0</v>
      </c>
      <c r="AH162" s="288">
        <f>+J162-'Data FY23-24 Final'!J162</f>
        <v>0</v>
      </c>
      <c r="AI162" s="288">
        <f>+K162-'Data FY23-24 Final'!K162</f>
        <v>0</v>
      </c>
      <c r="AJ162" s="288">
        <f>+L162-'Data FY23-24 Final'!L162</f>
        <v>0</v>
      </c>
      <c r="AK162" s="288">
        <f>+M162-'Data FY23-24 Final'!M162</f>
        <v>0</v>
      </c>
      <c r="AL162" s="288">
        <f>+N162-'Data FY23-24 Final'!N162</f>
        <v>0</v>
      </c>
      <c r="AM162" s="288">
        <f>+O162-'Data FY23-24 Final'!O162</f>
        <v>0</v>
      </c>
      <c r="AN162" s="288">
        <f>+P162-'Data FY23-24 Final'!P162</f>
        <v>0.10563120700927982</v>
      </c>
      <c r="AO162" s="288">
        <f>+Q162-'Data FY23-24 Final'!Q162</f>
        <v>0.10563120700928152</v>
      </c>
      <c r="AP162" s="288">
        <f>+R162-'Data FY23-24 Final'!R162</f>
        <v>-7.069</v>
      </c>
      <c r="AQ162" s="288">
        <f>+S162-'Data FY23-24 Final'!S162</f>
        <v>0</v>
      </c>
      <c r="AR162" s="288">
        <f>+T162-'Data FY23-24 Final'!T162</f>
        <v>0</v>
      </c>
      <c r="AS162" s="288">
        <f>+U162-'Data FY23-24 Final'!U162</f>
        <v>0</v>
      </c>
      <c r="AT162" s="288">
        <f>+V162-'Data FY23-24 Final'!V162</f>
        <v>0</v>
      </c>
      <c r="AU162" s="288">
        <f>+W162-'Data FY23-24 Final'!W162</f>
        <v>-6.9633687929907211</v>
      </c>
      <c r="AV162" s="288">
        <f>+X162-'Data FY23-24 Final'!X162</f>
        <v>0</v>
      </c>
      <c r="AW162" s="261">
        <f>+Y162-'Data FY23-24 Final'!Y162</f>
        <v>82707.290000000037</v>
      </c>
      <c r="AX162" s="261">
        <f>+Z162-'Data FY23-24 Final'!Z162</f>
        <v>43627.35859999992</v>
      </c>
    </row>
    <row r="163" spans="1:50" s="256" customFormat="1" x14ac:dyDescent="0.25">
      <c r="A163" s="289" t="s">
        <v>441</v>
      </c>
      <c r="B163" s="289" t="s">
        <v>435</v>
      </c>
      <c r="C163" s="297" t="s">
        <v>442</v>
      </c>
      <c r="D163" s="344">
        <v>29740974</v>
      </c>
      <c r="E163" s="344">
        <v>0</v>
      </c>
      <c r="F163" s="344">
        <f t="shared" si="18"/>
        <v>29740974</v>
      </c>
      <c r="G163" s="343">
        <v>122.58</v>
      </c>
      <c r="H163" s="347">
        <v>27</v>
      </c>
      <c r="I163" s="347">
        <v>0</v>
      </c>
      <c r="J163" s="353">
        <f t="shared" si="22"/>
        <v>27</v>
      </c>
      <c r="K163" s="287">
        <v>0</v>
      </c>
      <c r="L163" s="300">
        <v>0</v>
      </c>
      <c r="M163" s="287">
        <v>0</v>
      </c>
      <c r="N163" s="353">
        <v>0</v>
      </c>
      <c r="O163" s="354">
        <v>0</v>
      </c>
      <c r="P163" s="355">
        <f t="shared" ref="P163:P180" si="23">+G163/F163*1000</f>
        <v>4.1215866030480369E-3</v>
      </c>
      <c r="Q163" s="360">
        <f t="shared" si="19"/>
        <v>27.004121586603048</v>
      </c>
      <c r="R163" s="299"/>
      <c r="S163" s="299"/>
      <c r="T163" s="299"/>
      <c r="U163" s="299"/>
      <c r="V163" s="299"/>
      <c r="W163" s="299">
        <f t="shared" si="20"/>
        <v>27.004121586603048</v>
      </c>
      <c r="X163" s="287">
        <v>82.544999999999987</v>
      </c>
      <c r="Y163" s="344">
        <v>2509105.9</v>
      </c>
      <c r="Z163" s="344">
        <v>1651975.4091999999</v>
      </c>
      <c r="AB163" s="261">
        <f>+D163-'Data FY23-24 Final'!D163</f>
        <v>235925</v>
      </c>
      <c r="AC163" s="261">
        <f>+E163-'Data FY23-24 Final'!E163</f>
        <v>0</v>
      </c>
      <c r="AD163" s="261">
        <f>+F163-'Data FY23-24 Final'!F163</f>
        <v>235925</v>
      </c>
      <c r="AE163" s="261">
        <f>+G163-'Data FY23-24 Final'!G163</f>
        <v>122.58</v>
      </c>
      <c r="AF163" s="288">
        <f>+H163-'Data FY23-24 Final'!H163</f>
        <v>0</v>
      </c>
      <c r="AG163" s="288">
        <f>+I163-'Data FY23-24 Final'!I163</f>
        <v>0</v>
      </c>
      <c r="AH163" s="288">
        <f>+J163-'Data FY23-24 Final'!J163</f>
        <v>0</v>
      </c>
      <c r="AI163" s="288">
        <f>+K163-'Data FY23-24 Final'!K163</f>
        <v>0</v>
      </c>
      <c r="AJ163" s="288">
        <f>+L163-'Data FY23-24 Final'!L163</f>
        <v>0</v>
      </c>
      <c r="AK163" s="288">
        <f>+M163-'Data FY23-24 Final'!M163</f>
        <v>0</v>
      </c>
      <c r="AL163" s="288">
        <f>+N163-'Data FY23-24 Final'!N163</f>
        <v>0</v>
      </c>
      <c r="AM163" s="288">
        <f>+O163-'Data FY23-24 Final'!O163</f>
        <v>0</v>
      </c>
      <c r="AN163" s="288">
        <f>+P163-'Data FY23-24 Final'!P163</f>
        <v>4.1215866030480369E-3</v>
      </c>
      <c r="AO163" s="288">
        <f>+Q163-'Data FY23-24 Final'!Q163</f>
        <v>4.1215866030483994E-3</v>
      </c>
      <c r="AP163" s="288">
        <f>+R163-'Data FY23-24 Final'!R163</f>
        <v>0</v>
      </c>
      <c r="AQ163" s="288">
        <f>+S163-'Data FY23-24 Final'!S163</f>
        <v>0</v>
      </c>
      <c r="AR163" s="288">
        <f>+T163-'Data FY23-24 Final'!T163</f>
        <v>0</v>
      </c>
      <c r="AS163" s="288">
        <f>+U163-'Data FY23-24 Final'!U163</f>
        <v>0</v>
      </c>
      <c r="AT163" s="288">
        <f>+V163-'Data FY23-24 Final'!V163</f>
        <v>0</v>
      </c>
      <c r="AU163" s="288">
        <f>+W163-'Data FY23-24 Final'!W163</f>
        <v>4.1215866030483994E-3</v>
      </c>
      <c r="AV163" s="288">
        <f>+X163-'Data FY23-24 Final'!X163</f>
        <v>0</v>
      </c>
      <c r="AW163" s="261">
        <f>+Y163-'Data FY23-24 Final'!Y163</f>
        <v>-29389.760000000242</v>
      </c>
      <c r="AX163" s="261">
        <f>+Z163-'Data FY23-24 Final'!Z163</f>
        <v>-22498.997800000478</v>
      </c>
    </row>
    <row r="164" spans="1:50" s="256" customFormat="1" x14ac:dyDescent="0.25">
      <c r="A164" s="289" t="s">
        <v>443</v>
      </c>
      <c r="B164" s="289" t="s">
        <v>435</v>
      </c>
      <c r="C164" s="297" t="s">
        <v>444</v>
      </c>
      <c r="D164" s="344">
        <v>38366281</v>
      </c>
      <c r="E164" s="344">
        <v>0</v>
      </c>
      <c r="F164" s="344">
        <f t="shared" si="18"/>
        <v>38366281</v>
      </c>
      <c r="G164" s="343">
        <v>4819.58</v>
      </c>
      <c r="H164" s="347">
        <v>27</v>
      </c>
      <c r="I164" s="347">
        <v>3.227999999999998</v>
      </c>
      <c r="J164" s="353">
        <f t="shared" si="22"/>
        <v>23.772000000000002</v>
      </c>
      <c r="K164" s="287">
        <v>0</v>
      </c>
      <c r="L164" s="300">
        <v>0</v>
      </c>
      <c r="M164" s="287">
        <v>2.0059999999999998</v>
      </c>
      <c r="N164" s="353">
        <v>0</v>
      </c>
      <c r="O164" s="354">
        <v>4.04</v>
      </c>
      <c r="P164" s="355">
        <f t="shared" si="23"/>
        <v>0.12562020280255989</v>
      </c>
      <c r="Q164" s="360">
        <f t="shared" si="19"/>
        <v>29.94362020280256</v>
      </c>
      <c r="R164" s="299"/>
      <c r="S164" s="299"/>
      <c r="T164" s="299"/>
      <c r="U164" s="299"/>
      <c r="V164" s="299"/>
      <c r="W164" s="299">
        <f t="shared" si="20"/>
        <v>29.94362020280256</v>
      </c>
      <c r="X164" s="287">
        <v>38.995000000000005</v>
      </c>
      <c r="Y164" s="344">
        <v>1599978.17</v>
      </c>
      <c r="Z164" s="344">
        <v>622420.74416799983</v>
      </c>
      <c r="AB164" s="261">
        <f>+D164-'Data FY23-24 Final'!D164</f>
        <v>346927</v>
      </c>
      <c r="AC164" s="261">
        <f>+E164-'Data FY23-24 Final'!E164</f>
        <v>0</v>
      </c>
      <c r="AD164" s="261">
        <f>+F164-'Data FY23-24 Final'!F164</f>
        <v>346927</v>
      </c>
      <c r="AE164" s="261">
        <f>+G164-'Data FY23-24 Final'!G164</f>
        <v>0</v>
      </c>
      <c r="AF164" s="288">
        <f>+H164-'Data FY23-24 Final'!H164</f>
        <v>0</v>
      </c>
      <c r="AG164" s="288">
        <f>+I164-'Data FY23-24 Final'!I164</f>
        <v>-1.0000000000000018</v>
      </c>
      <c r="AH164" s="288">
        <f>+J164-'Data FY23-24 Final'!J164</f>
        <v>1.0000000000000036</v>
      </c>
      <c r="AI164" s="288">
        <f>+K164-'Data FY23-24 Final'!K164</f>
        <v>0</v>
      </c>
      <c r="AJ164" s="288">
        <f>+L164-'Data FY23-24 Final'!L164</f>
        <v>0</v>
      </c>
      <c r="AK164" s="288">
        <f>+M164-'Data FY23-24 Final'!M164</f>
        <v>-1.8000000000000238E-2</v>
      </c>
      <c r="AL164" s="288">
        <f>+N164-'Data FY23-24 Final'!N164</f>
        <v>0</v>
      </c>
      <c r="AM164" s="288">
        <f>+O164-'Data FY23-24 Final'!O164</f>
        <v>-3.6999999999999922E-2</v>
      </c>
      <c r="AN164" s="288">
        <f>+P164-'Data FY23-24 Final'!P164</f>
        <v>-1.379797197440108E-3</v>
      </c>
      <c r="AO164" s="288">
        <f>+Q164-'Data FY23-24 Final'!Q164</f>
        <v>0.94362020280255976</v>
      </c>
      <c r="AP164" s="288">
        <f>+R164-'Data FY23-24 Final'!R164</f>
        <v>0</v>
      </c>
      <c r="AQ164" s="288">
        <f>+S164-'Data FY23-24 Final'!S164</f>
        <v>0</v>
      </c>
      <c r="AR164" s="288">
        <f>+T164-'Data FY23-24 Final'!T164</f>
        <v>0</v>
      </c>
      <c r="AS164" s="288">
        <f>+U164-'Data FY23-24 Final'!U164</f>
        <v>0</v>
      </c>
      <c r="AT164" s="288">
        <f>+V164-'Data FY23-24 Final'!V164</f>
        <v>0</v>
      </c>
      <c r="AU164" s="288">
        <f>+W164-'Data FY23-24 Final'!W164</f>
        <v>0.94362020280255976</v>
      </c>
      <c r="AV164" s="288">
        <f>+X164-'Data FY23-24 Final'!X164</f>
        <v>0</v>
      </c>
      <c r="AW164" s="261">
        <f>+Y164-'Data FY23-24 Final'!Y164</f>
        <v>88484.969999999972</v>
      </c>
      <c r="AX164" s="261">
        <f>+Z164-'Data FY23-24 Final'!Z164</f>
        <v>82462.253455999889</v>
      </c>
    </row>
    <row r="165" spans="1:50" s="256" customFormat="1" ht="13" x14ac:dyDescent="0.3">
      <c r="A165" s="289" t="s">
        <v>445</v>
      </c>
      <c r="B165" s="289" t="s">
        <v>446</v>
      </c>
      <c r="C165" s="297" t="s">
        <v>447</v>
      </c>
      <c r="D165" s="378">
        <v>1407274600</v>
      </c>
      <c r="E165" s="378">
        <v>220279</v>
      </c>
      <c r="F165" s="378">
        <v>1407054321</v>
      </c>
      <c r="G165" s="379">
        <v>1825.97</v>
      </c>
      <c r="H165" s="347">
        <v>9.6389999999999993</v>
      </c>
      <c r="I165" s="347">
        <v>0</v>
      </c>
      <c r="J165" s="353">
        <f t="shared" si="22"/>
        <v>9.6389999999999993</v>
      </c>
      <c r="K165" s="287">
        <v>-1E-3</v>
      </c>
      <c r="L165" s="300">
        <v>1E-3</v>
      </c>
      <c r="M165" s="287">
        <v>0</v>
      </c>
      <c r="N165" s="353">
        <v>0</v>
      </c>
      <c r="O165" s="354">
        <v>2.294</v>
      </c>
      <c r="P165" s="355">
        <f t="shared" si="23"/>
        <v>1.2977253065128819E-3</v>
      </c>
      <c r="Q165" s="360">
        <f t="shared" si="19"/>
        <v>11.934297725306513</v>
      </c>
      <c r="R165" s="299"/>
      <c r="S165" s="299"/>
      <c r="T165" s="299"/>
      <c r="U165" s="299"/>
      <c r="V165" s="299"/>
      <c r="W165" s="299">
        <f t="shared" si="20"/>
        <v>11.934297725306513</v>
      </c>
      <c r="X165" s="287">
        <v>10.983000000000001</v>
      </c>
      <c r="Y165" s="344">
        <v>19093659.34</v>
      </c>
      <c r="Z165" s="344">
        <v>3035091.0894999993</v>
      </c>
      <c r="AB165" s="261">
        <f>+D165-'Data FY23-24 Final'!D165</f>
        <v>-286033640</v>
      </c>
      <c r="AC165" s="261">
        <f>+E165-'Data FY23-24 Final'!E165</f>
        <v>-92351</v>
      </c>
      <c r="AD165" s="261">
        <f>+F165-'Data FY23-24 Final'!F165</f>
        <v>-285941289</v>
      </c>
      <c r="AE165" s="261">
        <f>+G165-'Data FY23-24 Final'!G165</f>
        <v>-590379.04</v>
      </c>
      <c r="AF165" s="288">
        <f>+H165-'Data FY23-24 Final'!H165</f>
        <v>0</v>
      </c>
      <c r="AG165" s="288">
        <f>+I165-'Data FY23-24 Final'!I165</f>
        <v>-0.439</v>
      </c>
      <c r="AH165" s="288">
        <f>+J165-'Data FY23-24 Final'!J165</f>
        <v>0.43900000000000006</v>
      </c>
      <c r="AI165" s="288">
        <f>+K165-'Data FY23-24 Final'!K165</f>
        <v>-1E-3</v>
      </c>
      <c r="AJ165" s="288">
        <f>+L165-'Data FY23-24 Final'!L165</f>
        <v>1E-3</v>
      </c>
      <c r="AK165" s="288">
        <f>+M165-'Data FY23-24 Final'!M165</f>
        <v>0</v>
      </c>
      <c r="AL165" s="288">
        <f>+N165-'Data FY23-24 Final'!N165</f>
        <v>0</v>
      </c>
      <c r="AM165" s="288">
        <f>+O165-'Data FY23-24 Final'!O165</f>
        <v>-1.1000000000000121E-2</v>
      </c>
      <c r="AN165" s="288">
        <f>+P165-'Data FY23-24 Final'!P165</f>
        <v>-0.34870227469348708</v>
      </c>
      <c r="AO165" s="288">
        <f>+Q165-'Data FY23-24 Final'!Q165</f>
        <v>7.9297725306512135E-2</v>
      </c>
      <c r="AP165" s="288">
        <f>+R165-'Data FY23-24 Final'!R165</f>
        <v>-1.4470000000000001</v>
      </c>
      <c r="AQ165" s="288">
        <f>+S165-'Data FY23-24 Final'!S165</f>
        <v>0</v>
      </c>
      <c r="AR165" s="288">
        <f>+T165-'Data FY23-24 Final'!T165</f>
        <v>0</v>
      </c>
      <c r="AS165" s="288">
        <f>+U165-'Data FY23-24 Final'!U165</f>
        <v>0</v>
      </c>
      <c r="AT165" s="288">
        <f>+V165-'Data FY23-24 Final'!V165</f>
        <v>0</v>
      </c>
      <c r="AU165" s="288">
        <f>+W165-'Data FY23-24 Final'!W165</f>
        <v>-1.367702274693487</v>
      </c>
      <c r="AV165" s="288">
        <f>+X165-'Data FY23-24 Final'!X165</f>
        <v>0</v>
      </c>
      <c r="AW165" s="261">
        <f>+Y165-'Data FY23-24 Final'!Y165</f>
        <v>278029.62000000104</v>
      </c>
      <c r="AX165" s="261">
        <f>+Z165-'Data FY23-24 Final'!Z165</f>
        <v>321572.71150000021</v>
      </c>
    </row>
    <row r="166" spans="1:50" s="256" customFormat="1" ht="13" x14ac:dyDescent="0.3">
      <c r="A166" s="289" t="s">
        <v>448</v>
      </c>
      <c r="B166" s="289" t="s">
        <v>446</v>
      </c>
      <c r="C166" s="297" t="s">
        <v>449</v>
      </c>
      <c r="D166" s="378">
        <v>832795760</v>
      </c>
      <c r="E166" s="378">
        <v>0</v>
      </c>
      <c r="F166" s="378">
        <v>832792750</v>
      </c>
      <c r="G166" s="379">
        <v>3281.28</v>
      </c>
      <c r="H166" s="348">
        <v>22.207999999999998</v>
      </c>
      <c r="I166" s="348">
        <v>0</v>
      </c>
      <c r="J166" s="361">
        <f>+H166-K166-L166</f>
        <v>17.068999999999999</v>
      </c>
      <c r="K166" s="362">
        <v>0.67</v>
      </c>
      <c r="L166" s="363">
        <v>4.4689999999999976</v>
      </c>
      <c r="M166" s="287">
        <v>0</v>
      </c>
      <c r="N166" s="353">
        <v>0</v>
      </c>
      <c r="O166" s="354">
        <v>1.008</v>
      </c>
      <c r="P166" s="355">
        <f t="shared" si="23"/>
        <v>3.9400919376399472E-3</v>
      </c>
      <c r="Q166" s="360">
        <f t="shared" si="19"/>
        <v>23.219940091937637</v>
      </c>
      <c r="R166" s="299"/>
      <c r="S166" s="299"/>
      <c r="T166" s="299"/>
      <c r="U166" s="299"/>
      <c r="V166" s="299"/>
      <c r="W166" s="299">
        <f t="shared" si="20"/>
        <v>23.219940091937637</v>
      </c>
      <c r="X166" s="287">
        <v>17.069000000000003</v>
      </c>
      <c r="Y166" s="344">
        <v>20919607.800000001</v>
      </c>
      <c r="Z166" s="344">
        <v>0</v>
      </c>
      <c r="AB166" s="261">
        <f>+D166-'Data FY23-24 Final'!D166</f>
        <v>-345170560</v>
      </c>
      <c r="AC166" s="261">
        <f>+E166-'Data FY23-24 Final'!E166</f>
        <v>0</v>
      </c>
      <c r="AD166" s="261">
        <f>+F166-'Data FY23-24 Final'!F166</f>
        <v>-345173570</v>
      </c>
      <c r="AE166" s="261">
        <f>+G166-'Data FY23-24 Final'!G166</f>
        <v>249.2800000000002</v>
      </c>
      <c r="AF166" s="288">
        <f>+H166-'Data FY23-24 Final'!H166</f>
        <v>0</v>
      </c>
      <c r="AG166" s="288">
        <f>+I166-'Data FY23-24 Final'!I166</f>
        <v>0</v>
      </c>
      <c r="AH166" s="288">
        <f>+J166-'Data FY23-24 Final'!J166</f>
        <v>5.5999999999997385E-2</v>
      </c>
      <c r="AI166" s="288">
        <f>+K166-'Data FY23-24 Final'!K166</f>
        <v>-1.0000000000000009E-2</v>
      </c>
      <c r="AJ166" s="288">
        <f>+L166-'Data FY23-24 Final'!L166</f>
        <v>-4.6000000000002039E-2</v>
      </c>
      <c r="AK166" s="288">
        <f>+M166-'Data FY23-24 Final'!M166</f>
        <v>0</v>
      </c>
      <c r="AL166" s="288">
        <f>+N166-'Data FY23-24 Final'!N166</f>
        <v>0</v>
      </c>
      <c r="AM166" s="288">
        <f>+O166-'Data FY23-24 Final'!O166</f>
        <v>-1.2839999999999998</v>
      </c>
      <c r="AN166" s="288">
        <f>+P166-'Data FY23-24 Final'!P166</f>
        <v>9.4009193763994713E-4</v>
      </c>
      <c r="AO166" s="288">
        <f>+Q166-'Data FY23-24 Final'!Q166</f>
        <v>-1.2830599080623628</v>
      </c>
      <c r="AP166" s="288">
        <f>+R166-'Data FY23-24 Final'!R166</f>
        <v>-8.5969999999999995</v>
      </c>
      <c r="AQ166" s="288">
        <f>+S166-'Data FY23-24 Final'!S166</f>
        <v>0</v>
      </c>
      <c r="AR166" s="288">
        <f>+T166-'Data FY23-24 Final'!T166</f>
        <v>0</v>
      </c>
      <c r="AS166" s="288">
        <f>+U166-'Data FY23-24 Final'!U166</f>
        <v>0</v>
      </c>
      <c r="AT166" s="288">
        <f>+V166-'Data FY23-24 Final'!V166</f>
        <v>0</v>
      </c>
      <c r="AU166" s="288">
        <f>+W166-'Data FY23-24 Final'!W166</f>
        <v>-9.8800599080623641</v>
      </c>
      <c r="AV166" s="288">
        <f>+X166-'Data FY23-24 Final'!X166</f>
        <v>0</v>
      </c>
      <c r="AW166" s="261">
        <f>+Y166-'Data FY23-24 Final'!Y166</f>
        <v>66845.730000000447</v>
      </c>
      <c r="AX166" s="261">
        <f>+Z166-'Data FY23-24 Final'!Z166</f>
        <v>0</v>
      </c>
    </row>
    <row r="167" spans="1:50" s="256" customFormat="1" x14ac:dyDescent="0.25">
      <c r="A167" s="289" t="s">
        <v>450</v>
      </c>
      <c r="B167" s="289" t="s">
        <v>446</v>
      </c>
      <c r="C167" s="297" t="s">
        <v>451</v>
      </c>
      <c r="D167" s="344">
        <v>2468897260</v>
      </c>
      <c r="E167" s="344">
        <v>0</v>
      </c>
      <c r="F167" s="344">
        <f t="shared" si="18"/>
        <v>2468897260</v>
      </c>
      <c r="G167" s="343">
        <v>605410.79</v>
      </c>
      <c r="H167" s="347">
        <v>10.845000000000001</v>
      </c>
      <c r="I167" s="347">
        <v>0</v>
      </c>
      <c r="J167" s="361">
        <f>+H167-I167-K167-L167</f>
        <v>10.796999999999999</v>
      </c>
      <c r="K167" s="362">
        <v>4.8000000000000001E-2</v>
      </c>
      <c r="L167" s="363">
        <v>1.1655173354219173E-15</v>
      </c>
      <c r="M167" s="287">
        <v>1.9E-2</v>
      </c>
      <c r="N167" s="353">
        <v>0</v>
      </c>
      <c r="O167" s="354">
        <v>1.823</v>
      </c>
      <c r="P167" s="355">
        <f t="shared" si="23"/>
        <v>0.24521506010339206</v>
      </c>
      <c r="Q167" s="360">
        <f t="shared" si="19"/>
        <v>12.932215060103394</v>
      </c>
      <c r="R167" s="299"/>
      <c r="S167" s="299"/>
      <c r="T167" s="299"/>
      <c r="U167" s="299"/>
      <c r="V167" s="299"/>
      <c r="W167" s="299">
        <f t="shared" si="20"/>
        <v>12.932215060103394</v>
      </c>
      <c r="X167" s="287">
        <v>10.796999999999999</v>
      </c>
      <c r="Y167" s="344">
        <v>27371383.920000002</v>
      </c>
      <c r="Z167" s="344">
        <v>0</v>
      </c>
      <c r="AB167" s="261">
        <f>+D167-'Data FY23-24 Final'!D167</f>
        <v>21078440</v>
      </c>
      <c r="AC167" s="261">
        <f>+E167-'Data FY23-24 Final'!E167</f>
        <v>0</v>
      </c>
      <c r="AD167" s="261">
        <f>+F167-'Data FY23-24 Final'!F167</f>
        <v>21078440</v>
      </c>
      <c r="AE167" s="261">
        <f>+G167-'Data FY23-24 Final'!G167</f>
        <v>3465.7900000000373</v>
      </c>
      <c r="AF167" s="288">
        <f>+H167-'Data FY23-24 Final'!H167</f>
        <v>0</v>
      </c>
      <c r="AG167" s="288">
        <f>+I167-'Data FY23-24 Final'!I167</f>
        <v>0</v>
      </c>
      <c r="AH167" s="288">
        <f>+J167-'Data FY23-24 Final'!J167</f>
        <v>-1.0000000000012221E-3</v>
      </c>
      <c r="AI167" s="288">
        <f>+K167-'Data FY23-24 Final'!K167</f>
        <v>1.0000000000000009E-3</v>
      </c>
      <c r="AJ167" s="288">
        <f>+L167-'Data FY23-24 Final'!L167</f>
        <v>1.1655173354219173E-15</v>
      </c>
      <c r="AK167" s="288">
        <f>+M167-'Data FY23-24 Final'!M167</f>
        <v>0</v>
      </c>
      <c r="AL167" s="288">
        <f>+N167-'Data FY23-24 Final'!N167</f>
        <v>0</v>
      </c>
      <c r="AM167" s="288">
        <f>+O167-'Data FY23-24 Final'!O167</f>
        <v>-1.5000000000000124E-2</v>
      </c>
      <c r="AN167" s="288">
        <f>+P167-'Data FY23-24 Final'!P167</f>
        <v>2.1506010339206183E-4</v>
      </c>
      <c r="AO167" s="288">
        <f>+Q167-'Data FY23-24 Final'!Q167</f>
        <v>-1.4784939896605565E-2</v>
      </c>
      <c r="AP167" s="288">
        <f>+R167-'Data FY23-24 Final'!R167</f>
        <v>-3.8460000000000001</v>
      </c>
      <c r="AQ167" s="288">
        <f>+S167-'Data FY23-24 Final'!S167</f>
        <v>0</v>
      </c>
      <c r="AR167" s="288">
        <f>+T167-'Data FY23-24 Final'!T167</f>
        <v>0</v>
      </c>
      <c r="AS167" s="288">
        <f>+U167-'Data FY23-24 Final'!U167</f>
        <v>0</v>
      </c>
      <c r="AT167" s="288">
        <f>+V167-'Data FY23-24 Final'!V167</f>
        <v>0</v>
      </c>
      <c r="AU167" s="288">
        <f>+W167-'Data FY23-24 Final'!W167</f>
        <v>-3.8607849398966056</v>
      </c>
      <c r="AV167" s="288">
        <f>+X167-'Data FY23-24 Final'!X167</f>
        <v>0</v>
      </c>
      <c r="AW167" s="261">
        <f>+Y167-'Data FY23-24 Final'!Y167</f>
        <v>69296.160000000149</v>
      </c>
      <c r="AX167" s="261">
        <f>+Z167-'Data FY23-24 Final'!Z167</f>
        <v>0</v>
      </c>
    </row>
    <row r="168" spans="1:50" s="256" customFormat="1" ht="13" x14ac:dyDescent="0.3">
      <c r="A168" s="289" t="s">
        <v>452</v>
      </c>
      <c r="B168" s="289" t="s">
        <v>446</v>
      </c>
      <c r="C168" s="297" t="s">
        <v>453</v>
      </c>
      <c r="D168" s="378">
        <v>1914966080</v>
      </c>
      <c r="E168" s="378">
        <v>1395811</v>
      </c>
      <c r="F168" s="378">
        <v>1913570269</v>
      </c>
      <c r="G168" s="379">
        <v>319106.90999999997</v>
      </c>
      <c r="H168" s="347">
        <v>27</v>
      </c>
      <c r="I168" s="347">
        <v>0</v>
      </c>
      <c r="J168" s="353">
        <f>+H168-I168</f>
        <v>27</v>
      </c>
      <c r="K168" s="287">
        <v>0</v>
      </c>
      <c r="L168" s="300">
        <v>0</v>
      </c>
      <c r="M168" s="287">
        <v>0</v>
      </c>
      <c r="N168" s="353">
        <v>0</v>
      </c>
      <c r="O168" s="354">
        <v>1.0839999999999999</v>
      </c>
      <c r="P168" s="355">
        <f t="shared" si="23"/>
        <v>0.16675996443379104</v>
      </c>
      <c r="Q168" s="360">
        <f t="shared" si="19"/>
        <v>28.25075996443379</v>
      </c>
      <c r="R168" s="299"/>
      <c r="S168" s="299"/>
      <c r="T168" s="299"/>
      <c r="U168" s="299"/>
      <c r="V168" s="299"/>
      <c r="W168" s="299">
        <f t="shared" si="20"/>
        <v>28.25075996443379</v>
      </c>
      <c r="X168" s="287">
        <v>34.323</v>
      </c>
      <c r="Y168" s="344">
        <v>84049551.650000006</v>
      </c>
      <c r="Z168" s="344">
        <v>17530270.200500008</v>
      </c>
      <c r="AB168" s="261">
        <f>+D168-'Data FY23-24 Final'!D168</f>
        <v>-425523030</v>
      </c>
      <c r="AC168" s="261">
        <f>+E168-'Data FY23-24 Final'!E168</f>
        <v>184701</v>
      </c>
      <c r="AD168" s="261">
        <f>+F168-'Data FY23-24 Final'!F168</f>
        <v>-425707731</v>
      </c>
      <c r="AE168" s="261">
        <f>+G168-'Data FY23-24 Final'!G168</f>
        <v>252856.18999999997</v>
      </c>
      <c r="AF168" s="288">
        <f>+H168-'Data FY23-24 Final'!H168</f>
        <v>0</v>
      </c>
      <c r="AG168" s="288">
        <f>+I168-'Data FY23-24 Final'!I168</f>
        <v>0</v>
      </c>
      <c r="AH168" s="288">
        <f>+J168-'Data FY23-24 Final'!J168</f>
        <v>0</v>
      </c>
      <c r="AI168" s="288">
        <f>+K168-'Data FY23-24 Final'!K168</f>
        <v>0</v>
      </c>
      <c r="AJ168" s="288">
        <f>+L168-'Data FY23-24 Final'!L168</f>
        <v>0</v>
      </c>
      <c r="AK168" s="288">
        <f>+M168-'Data FY23-24 Final'!M168</f>
        <v>0</v>
      </c>
      <c r="AL168" s="288">
        <f>+N168-'Data FY23-24 Final'!N168</f>
        <v>0</v>
      </c>
      <c r="AM168" s="288">
        <f>+O168-'Data FY23-24 Final'!O168</f>
        <v>-3.702</v>
      </c>
      <c r="AN168" s="288">
        <f>+P168-'Data FY23-24 Final'!P168</f>
        <v>0.13875996443379104</v>
      </c>
      <c r="AO168" s="288">
        <f>+Q168-'Data FY23-24 Final'!Q168</f>
        <v>-3.5632400355662099</v>
      </c>
      <c r="AP168" s="288">
        <f>+R168-'Data FY23-24 Final'!R168</f>
        <v>-12.568</v>
      </c>
      <c r="AQ168" s="288">
        <f>+S168-'Data FY23-24 Final'!S168</f>
        <v>0</v>
      </c>
      <c r="AR168" s="288">
        <f>+T168-'Data FY23-24 Final'!T168</f>
        <v>0</v>
      </c>
      <c r="AS168" s="288">
        <f>+U168-'Data FY23-24 Final'!U168</f>
        <v>0</v>
      </c>
      <c r="AT168" s="288">
        <f>+V168-'Data FY23-24 Final'!V168</f>
        <v>0</v>
      </c>
      <c r="AU168" s="288">
        <f>+W168-'Data FY23-24 Final'!W168</f>
        <v>-16.131240035566208</v>
      </c>
      <c r="AV168" s="288">
        <f>+X168-'Data FY23-24 Final'!X168</f>
        <v>0</v>
      </c>
      <c r="AW168" s="261">
        <f>+Y168-'Data FY23-24 Final'!Y168</f>
        <v>1468138.1000000089</v>
      </c>
      <c r="AX168" s="261">
        <f>+Z168-'Data FY23-24 Final'!Z168</f>
        <v>-166461.779499989</v>
      </c>
    </row>
    <row r="169" spans="1:50" s="256" customFormat="1" ht="13" x14ac:dyDescent="0.3">
      <c r="A169" s="289" t="s">
        <v>454</v>
      </c>
      <c r="B169" s="289" t="s">
        <v>446</v>
      </c>
      <c r="C169" s="297" t="s">
        <v>455</v>
      </c>
      <c r="D169" s="378">
        <v>1202777104</v>
      </c>
      <c r="E169" s="378">
        <v>0</v>
      </c>
      <c r="F169" s="378">
        <v>1202777104</v>
      </c>
      <c r="G169" s="379">
        <v>29701.97</v>
      </c>
      <c r="H169" s="347">
        <v>27</v>
      </c>
      <c r="I169" s="347">
        <v>4.5859999999999985</v>
      </c>
      <c r="J169" s="353">
        <f>+H169-I169</f>
        <v>22.414000000000001</v>
      </c>
      <c r="K169" s="287">
        <v>0</v>
      </c>
      <c r="L169" s="300">
        <v>0</v>
      </c>
      <c r="M169" s="287">
        <v>0</v>
      </c>
      <c r="N169" s="353">
        <v>0</v>
      </c>
      <c r="O169" s="354">
        <v>0.36900000000000005</v>
      </c>
      <c r="P169" s="355">
        <f t="shared" si="23"/>
        <v>2.4694492355418166E-2</v>
      </c>
      <c r="Q169" s="360">
        <f t="shared" si="19"/>
        <v>22.80769449235542</v>
      </c>
      <c r="R169" s="299"/>
      <c r="S169" s="299"/>
      <c r="T169" s="299"/>
      <c r="U169" s="299"/>
      <c r="V169" s="299"/>
      <c r="W169" s="299">
        <f t="shared" si="20"/>
        <v>22.80769449235542</v>
      </c>
      <c r="X169" s="287">
        <v>28.455000000000002</v>
      </c>
      <c r="Y169" s="344">
        <v>39021440.789999999</v>
      </c>
      <c r="Z169" s="344">
        <v>9527249.3198980018</v>
      </c>
      <c r="AB169" s="261">
        <f>+D169-'Data FY23-24 Final'!D169</f>
        <v>-125575546</v>
      </c>
      <c r="AC169" s="261">
        <f>+E169-'Data FY23-24 Final'!E169</f>
        <v>0</v>
      </c>
      <c r="AD169" s="261">
        <f>+F169-'Data FY23-24 Final'!F169</f>
        <v>-125575546</v>
      </c>
      <c r="AE169" s="261">
        <f>+G169-'Data FY23-24 Final'!G169</f>
        <v>-254985.24999999997</v>
      </c>
      <c r="AF169" s="288">
        <f>+H169-'Data FY23-24 Final'!H169</f>
        <v>0</v>
      </c>
      <c r="AG169" s="288">
        <f>+I169-'Data FY23-24 Final'!I169</f>
        <v>-1.0000000000000018</v>
      </c>
      <c r="AH169" s="288">
        <f>+J169-'Data FY23-24 Final'!J169</f>
        <v>1</v>
      </c>
      <c r="AI169" s="288">
        <f>+K169-'Data FY23-24 Final'!K169</f>
        <v>0</v>
      </c>
      <c r="AJ169" s="288">
        <f>+L169-'Data FY23-24 Final'!L169</f>
        <v>0</v>
      </c>
      <c r="AK169" s="288">
        <f>+M169-'Data FY23-24 Final'!M169</f>
        <v>0</v>
      </c>
      <c r="AL169" s="288">
        <f>+N169-'Data FY23-24 Final'!N169</f>
        <v>0</v>
      </c>
      <c r="AM169" s="288">
        <f>+O169-'Data FY23-24 Final'!O169</f>
        <v>-3.0179999999999998</v>
      </c>
      <c r="AN169" s="288">
        <f>+P169-'Data FY23-24 Final'!P169</f>
        <v>-0.18930550764458182</v>
      </c>
      <c r="AO169" s="288">
        <f>+Q169-'Data FY23-24 Final'!Q169</f>
        <v>-2.2073055076445804</v>
      </c>
      <c r="AP169" s="288">
        <f>+R169-'Data FY23-24 Final'!R169</f>
        <v>-8.9730000000000008</v>
      </c>
      <c r="AQ169" s="288">
        <f>+S169-'Data FY23-24 Final'!S169</f>
        <v>0</v>
      </c>
      <c r="AR169" s="288">
        <f>+T169-'Data FY23-24 Final'!T169</f>
        <v>0</v>
      </c>
      <c r="AS169" s="288">
        <f>+U169-'Data FY23-24 Final'!U169</f>
        <v>0</v>
      </c>
      <c r="AT169" s="288">
        <f>+V169-'Data FY23-24 Final'!V169</f>
        <v>0</v>
      </c>
      <c r="AU169" s="288">
        <f>+W169-'Data FY23-24 Final'!W169</f>
        <v>-11.180305507644579</v>
      </c>
      <c r="AV169" s="288">
        <f>+X169-'Data FY23-24 Final'!X169</f>
        <v>0</v>
      </c>
      <c r="AW169" s="261">
        <f>+Y169-'Data FY23-24 Final'!Y169</f>
        <v>421006.15999999642</v>
      </c>
      <c r="AX169" s="261">
        <f>+Z169-'Data FY23-24 Final'!Z169</f>
        <v>-125999.48300200328</v>
      </c>
    </row>
    <row r="170" spans="1:50" s="256" customFormat="1" ht="13" x14ac:dyDescent="0.3">
      <c r="A170" s="289" t="s">
        <v>456</v>
      </c>
      <c r="B170" s="289" t="s">
        <v>446</v>
      </c>
      <c r="C170" s="297" t="s">
        <v>457</v>
      </c>
      <c r="D170" s="378">
        <v>2554973210</v>
      </c>
      <c r="E170" s="378">
        <v>147183386</v>
      </c>
      <c r="F170" s="378">
        <v>2407789824</v>
      </c>
      <c r="G170" s="379">
        <v>214292.02</v>
      </c>
      <c r="H170" s="347">
        <v>27</v>
      </c>
      <c r="I170" s="347">
        <v>0</v>
      </c>
      <c r="J170" s="353">
        <f>+H170-I170</f>
        <v>27</v>
      </c>
      <c r="K170" s="287">
        <v>0</v>
      </c>
      <c r="L170" s="300">
        <v>0</v>
      </c>
      <c r="M170" s="287">
        <v>0</v>
      </c>
      <c r="N170" s="353">
        <v>0</v>
      </c>
      <c r="O170" s="354">
        <v>0</v>
      </c>
      <c r="P170" s="355">
        <f t="shared" si="23"/>
        <v>8.8999470744502984E-2</v>
      </c>
      <c r="Q170" s="360">
        <f t="shared" si="19"/>
        <v>27.088999470744504</v>
      </c>
      <c r="R170" s="299"/>
      <c r="S170" s="299"/>
      <c r="T170" s="299"/>
      <c r="U170" s="299"/>
      <c r="V170" s="299"/>
      <c r="W170" s="299">
        <f t="shared" si="20"/>
        <v>27.088999470744504</v>
      </c>
      <c r="X170" s="287">
        <v>77.081000000000003</v>
      </c>
      <c r="Y170" s="344">
        <v>237907132.87</v>
      </c>
      <c r="Z170" s="344">
        <v>152309148.8267</v>
      </c>
      <c r="AB170" s="261">
        <f>+D170-'Data FY23-24 Final'!D170</f>
        <v>-573612500</v>
      </c>
      <c r="AC170" s="261">
        <f>+E170-'Data FY23-24 Final'!E170</f>
        <v>-45750507</v>
      </c>
      <c r="AD170" s="261">
        <f>+F170-'Data FY23-24 Final'!F170</f>
        <v>-527861993</v>
      </c>
      <c r="AE170" s="261">
        <f>+G170-'Data FY23-24 Final'!G170</f>
        <v>98891.37</v>
      </c>
      <c r="AF170" s="288">
        <f>+H170-'Data FY23-24 Final'!H170</f>
        <v>0</v>
      </c>
      <c r="AG170" s="288">
        <f>+I170-'Data FY23-24 Final'!I170</f>
        <v>0</v>
      </c>
      <c r="AH170" s="288">
        <f>+J170-'Data FY23-24 Final'!J170</f>
        <v>0</v>
      </c>
      <c r="AI170" s="288">
        <f>+K170-'Data FY23-24 Final'!K170</f>
        <v>0</v>
      </c>
      <c r="AJ170" s="288">
        <f>+L170-'Data FY23-24 Final'!L170</f>
        <v>0</v>
      </c>
      <c r="AK170" s="288">
        <f>+M170-'Data FY23-24 Final'!M170</f>
        <v>0</v>
      </c>
      <c r="AL170" s="288">
        <f>+N170-'Data FY23-24 Final'!N170</f>
        <v>0</v>
      </c>
      <c r="AM170" s="288">
        <f>+O170-'Data FY23-24 Final'!O170</f>
        <v>-10</v>
      </c>
      <c r="AN170" s="288">
        <f>+P170-'Data FY23-24 Final'!P170</f>
        <v>4.8999470744502983E-2</v>
      </c>
      <c r="AO170" s="288">
        <f>+Q170-'Data FY23-24 Final'!Q170</f>
        <v>-9.9510005292554951</v>
      </c>
      <c r="AP170" s="288">
        <f>+R170-'Data FY23-24 Final'!R170</f>
        <v>-10</v>
      </c>
      <c r="AQ170" s="288">
        <f>+S170-'Data FY23-24 Final'!S170</f>
        <v>0</v>
      </c>
      <c r="AR170" s="288">
        <f>+T170-'Data FY23-24 Final'!T170</f>
        <v>0</v>
      </c>
      <c r="AS170" s="288">
        <f>+U170-'Data FY23-24 Final'!U170</f>
        <v>0</v>
      </c>
      <c r="AT170" s="288">
        <f>+V170-'Data FY23-24 Final'!V170</f>
        <v>0</v>
      </c>
      <c r="AU170" s="288">
        <f>+W170-'Data FY23-24 Final'!W170</f>
        <v>-19.951000529255495</v>
      </c>
      <c r="AV170" s="288">
        <f>+X170-'Data FY23-24 Final'!X170</f>
        <v>0</v>
      </c>
      <c r="AW170" s="261">
        <f>+Y170-'Data FY23-24 Final'!Y170</f>
        <v>1970025.1800000072</v>
      </c>
      <c r="AX170" s="261">
        <f>+Z170-'Data FY23-24 Final'!Z170</f>
        <v>-1035915.2542999685</v>
      </c>
    </row>
    <row r="171" spans="1:50" s="256" customFormat="1" ht="13" x14ac:dyDescent="0.3">
      <c r="A171" s="289" t="s">
        <v>458</v>
      </c>
      <c r="B171" s="289" t="s">
        <v>446</v>
      </c>
      <c r="C171" s="297" t="s">
        <v>459</v>
      </c>
      <c r="D171" s="378">
        <v>3156317580</v>
      </c>
      <c r="E171" s="378">
        <v>0</v>
      </c>
      <c r="F171" s="378">
        <v>3156317580</v>
      </c>
      <c r="G171" s="379">
        <v>546.14</v>
      </c>
      <c r="H171" s="348">
        <v>5.6239999999999997</v>
      </c>
      <c r="I171" s="348">
        <v>0</v>
      </c>
      <c r="J171" s="361">
        <f>+H171-K171-L171</f>
        <v>2.7510000000000003</v>
      </c>
      <c r="K171" s="362">
        <v>0.16699999999999998</v>
      </c>
      <c r="L171" s="363">
        <v>2.7059999999999995</v>
      </c>
      <c r="M171" s="287">
        <v>0</v>
      </c>
      <c r="N171" s="353">
        <v>0</v>
      </c>
      <c r="O171" s="354">
        <v>0.47199999999999998</v>
      </c>
      <c r="P171" s="355">
        <f t="shared" si="23"/>
        <v>1.7303075060019784E-4</v>
      </c>
      <c r="Q171" s="360">
        <f t="shared" si="19"/>
        <v>6.0961730307506006</v>
      </c>
      <c r="R171" s="299"/>
      <c r="S171" s="299"/>
      <c r="T171" s="299"/>
      <c r="U171" s="299"/>
      <c r="V171" s="299"/>
      <c r="W171" s="299">
        <f t="shared" si="20"/>
        <v>6.0961730307506006</v>
      </c>
      <c r="X171" s="287">
        <v>2.7509999999999999</v>
      </c>
      <c r="Y171" s="344">
        <v>12024206.550000001</v>
      </c>
      <c r="Z171" s="344">
        <v>0</v>
      </c>
      <c r="AB171" s="261">
        <f>+D171-'Data FY23-24 Final'!D171</f>
        <v>-1019764550</v>
      </c>
      <c r="AC171" s="261">
        <f>+E171-'Data FY23-24 Final'!E171</f>
        <v>0</v>
      </c>
      <c r="AD171" s="261">
        <f>+F171-'Data FY23-24 Final'!F171</f>
        <v>-1019764550</v>
      </c>
      <c r="AE171" s="261">
        <f>+G171-'Data FY23-24 Final'!G171</f>
        <v>-25028.31</v>
      </c>
      <c r="AF171" s="288">
        <f>+H171-'Data FY23-24 Final'!H171</f>
        <v>0</v>
      </c>
      <c r="AG171" s="288">
        <f>+I171-'Data FY23-24 Final'!I171</f>
        <v>0</v>
      </c>
      <c r="AH171" s="288">
        <f>+J171-'Data FY23-24 Final'!J171</f>
        <v>-1.2999999999999456E-2</v>
      </c>
      <c r="AI171" s="288">
        <f>+K171-'Data FY23-24 Final'!K171</f>
        <v>2.0999999999999991E-2</v>
      </c>
      <c r="AJ171" s="288">
        <f>+L171-'Data FY23-24 Final'!L171</f>
        <v>-8.0000000000004512E-3</v>
      </c>
      <c r="AK171" s="288">
        <f>+M171-'Data FY23-24 Final'!M171</f>
        <v>0</v>
      </c>
      <c r="AL171" s="288">
        <f>+N171-'Data FY23-24 Final'!N171</f>
        <v>0</v>
      </c>
      <c r="AM171" s="288">
        <f>+O171-'Data FY23-24 Final'!O171</f>
        <v>-0.22299999999999998</v>
      </c>
      <c r="AN171" s="288">
        <f>+P171-'Data FY23-24 Final'!P171</f>
        <v>-5.8269692493998024E-3</v>
      </c>
      <c r="AO171" s="288">
        <f>+Q171-'Data FY23-24 Final'!Q171</f>
        <v>-0.2288269692493996</v>
      </c>
      <c r="AP171" s="288">
        <f>+R171-'Data FY23-24 Final'!R171</f>
        <v>-0.92400000000000004</v>
      </c>
      <c r="AQ171" s="288">
        <f>+S171-'Data FY23-24 Final'!S171</f>
        <v>0</v>
      </c>
      <c r="AR171" s="288">
        <f>+T171-'Data FY23-24 Final'!T171</f>
        <v>0</v>
      </c>
      <c r="AS171" s="288">
        <f>+U171-'Data FY23-24 Final'!U171</f>
        <v>0</v>
      </c>
      <c r="AT171" s="288">
        <f>+V171-'Data FY23-24 Final'!V171</f>
        <v>0</v>
      </c>
      <c r="AU171" s="288">
        <f>+W171-'Data FY23-24 Final'!W171</f>
        <v>-1.1528269692493991</v>
      </c>
      <c r="AV171" s="288">
        <f>+X171-'Data FY23-24 Final'!X171</f>
        <v>0</v>
      </c>
      <c r="AW171" s="261">
        <f>+Y171-'Data FY23-24 Final'!Y171</f>
        <v>-107367.53999999911</v>
      </c>
      <c r="AX171" s="261">
        <f>+Z171-'Data FY23-24 Final'!Z171</f>
        <v>-4.8099999548867345E-3</v>
      </c>
    </row>
    <row r="172" spans="1:50" s="256" customFormat="1" ht="13" x14ac:dyDescent="0.3">
      <c r="A172" s="289" t="s">
        <v>460</v>
      </c>
      <c r="B172" s="289" t="s">
        <v>446</v>
      </c>
      <c r="C172" s="297" t="s">
        <v>461</v>
      </c>
      <c r="D172" s="378">
        <v>1184592480</v>
      </c>
      <c r="E172" s="378">
        <v>34457668</v>
      </c>
      <c r="F172" s="378">
        <v>1150134812</v>
      </c>
      <c r="G172" s="379">
        <v>19112.27</v>
      </c>
      <c r="H172" s="347">
        <v>12.143000000000001</v>
      </c>
      <c r="I172" s="347">
        <v>0</v>
      </c>
      <c r="J172" s="353">
        <f>+H172-I172</f>
        <v>12.143000000000001</v>
      </c>
      <c r="K172" s="287">
        <v>0</v>
      </c>
      <c r="L172" s="300">
        <v>0</v>
      </c>
      <c r="M172" s="287">
        <v>0</v>
      </c>
      <c r="N172" s="353">
        <v>0</v>
      </c>
      <c r="O172" s="354">
        <v>1.526</v>
      </c>
      <c r="P172" s="355">
        <f t="shared" si="23"/>
        <v>1.6617417193698508E-2</v>
      </c>
      <c r="Q172" s="360">
        <f t="shared" si="19"/>
        <v>13.685617417193699</v>
      </c>
      <c r="R172" s="299"/>
      <c r="S172" s="299"/>
      <c r="T172" s="299"/>
      <c r="U172" s="299"/>
      <c r="V172" s="299"/>
      <c r="W172" s="299">
        <f t="shared" si="20"/>
        <v>13.685617417193699</v>
      </c>
      <c r="X172" s="287">
        <v>14.267999999999999</v>
      </c>
      <c r="Y172" s="344">
        <v>25771675.829999998</v>
      </c>
      <c r="Z172" s="344">
        <v>3725204.7287135804</v>
      </c>
      <c r="AB172" s="261">
        <f>+D172-'Data FY23-24 Final'!D172</f>
        <v>-591072250</v>
      </c>
      <c r="AC172" s="261">
        <f>+E172-'Data FY23-24 Final'!E172</f>
        <v>-12019813</v>
      </c>
      <c r="AD172" s="261">
        <f>+F172-'Data FY23-24 Final'!F172</f>
        <v>-579052437</v>
      </c>
      <c r="AE172" s="261">
        <f>+G172-'Data FY23-24 Final'!G172</f>
        <v>-652725.07999999996</v>
      </c>
      <c r="AF172" s="288">
        <f>+H172-'Data FY23-24 Final'!H172</f>
        <v>0</v>
      </c>
      <c r="AG172" s="288">
        <f>+I172-'Data FY23-24 Final'!I172</f>
        <v>0</v>
      </c>
      <c r="AH172" s="288">
        <f>+J172-'Data FY23-24 Final'!J172</f>
        <v>0</v>
      </c>
      <c r="AI172" s="288">
        <f>+K172-'Data FY23-24 Final'!K172</f>
        <v>0</v>
      </c>
      <c r="AJ172" s="288">
        <f>+L172-'Data FY23-24 Final'!L172</f>
        <v>0</v>
      </c>
      <c r="AK172" s="288">
        <f>+M172-'Data FY23-24 Final'!M172</f>
        <v>0</v>
      </c>
      <c r="AL172" s="288">
        <f>+N172-'Data FY23-24 Final'!N172</f>
        <v>0</v>
      </c>
      <c r="AM172" s="288">
        <f>+O172-'Data FY23-24 Final'!O172</f>
        <v>-2.0000000000000018E-2</v>
      </c>
      <c r="AN172" s="288">
        <f>+P172-'Data FY23-24 Final'!P172</f>
        <v>-0.37238258280630149</v>
      </c>
      <c r="AO172" s="288">
        <f>+Q172-'Data FY23-24 Final'!Q172</f>
        <v>-0.39238258280630056</v>
      </c>
      <c r="AP172" s="288">
        <f>+R172-'Data FY23-24 Final'!R172</f>
        <v>-3.1190000000000002</v>
      </c>
      <c r="AQ172" s="288">
        <f>+S172-'Data FY23-24 Final'!S172</f>
        <v>0</v>
      </c>
      <c r="AR172" s="288">
        <f>+T172-'Data FY23-24 Final'!T172</f>
        <v>0</v>
      </c>
      <c r="AS172" s="288">
        <f>+U172-'Data FY23-24 Final'!U172</f>
        <v>0</v>
      </c>
      <c r="AT172" s="288">
        <f>+V172-'Data FY23-24 Final'!V172</f>
        <v>0</v>
      </c>
      <c r="AU172" s="288">
        <f>+W172-'Data FY23-24 Final'!W172</f>
        <v>-3.5113825828063003</v>
      </c>
      <c r="AV172" s="288">
        <f>+X172-'Data FY23-24 Final'!X172</f>
        <v>0</v>
      </c>
      <c r="AW172" s="261">
        <f>+Y172-'Data FY23-24 Final'!Y172</f>
        <v>1248277.9399999976</v>
      </c>
      <c r="AX172" s="261">
        <f>+Z172-'Data FY23-24 Final'!Z172</f>
        <v>908199.75332057709</v>
      </c>
    </row>
    <row r="173" spans="1:50" s="256" customFormat="1" ht="13" x14ac:dyDescent="0.3">
      <c r="A173" s="289" t="s">
        <v>462</v>
      </c>
      <c r="B173" s="289" t="s">
        <v>446</v>
      </c>
      <c r="C173" s="297" t="s">
        <v>463</v>
      </c>
      <c r="D173" s="378">
        <v>669648150</v>
      </c>
      <c r="E173" s="378">
        <v>0</v>
      </c>
      <c r="F173" s="378">
        <v>669648150</v>
      </c>
      <c r="G173" s="379">
        <v>2862.06</v>
      </c>
      <c r="H173" s="347">
        <v>27</v>
      </c>
      <c r="I173" s="347">
        <v>6.120000000000001</v>
      </c>
      <c r="J173" s="361">
        <f>+H173-I173-K173-L173</f>
        <v>19.222999999999999</v>
      </c>
      <c r="K173" s="362">
        <v>0.90399999999999991</v>
      </c>
      <c r="L173" s="363">
        <v>0.75299999999999878</v>
      </c>
      <c r="M173" s="287">
        <v>0</v>
      </c>
      <c r="N173" s="353">
        <v>0</v>
      </c>
      <c r="O173" s="354">
        <v>1.5399999999999998</v>
      </c>
      <c r="P173" s="355">
        <f t="shared" si="23"/>
        <v>4.2739758184951312E-3</v>
      </c>
      <c r="Q173" s="360">
        <f t="shared" si="19"/>
        <v>22.424273975818494</v>
      </c>
      <c r="R173" s="299"/>
      <c r="S173" s="299"/>
      <c r="T173" s="299"/>
      <c r="U173" s="299"/>
      <c r="V173" s="299"/>
      <c r="W173" s="299">
        <f t="shared" si="20"/>
        <v>22.424273975818494</v>
      </c>
      <c r="X173" s="287">
        <v>18.222999999999999</v>
      </c>
      <c r="Y173" s="344">
        <v>10961367.58</v>
      </c>
      <c r="Z173" s="344">
        <v>298.81121000007261</v>
      </c>
      <c r="AB173" s="261">
        <f>+D173-'Data FY23-24 Final'!D173</f>
        <v>95292700</v>
      </c>
      <c r="AC173" s="261">
        <f>+E173-'Data FY23-24 Final'!E173</f>
        <v>0</v>
      </c>
      <c r="AD173" s="261">
        <f>+F173-'Data FY23-24 Final'!F173</f>
        <v>95292700</v>
      </c>
      <c r="AE173" s="261">
        <f>+G173-'Data FY23-24 Final'!G173</f>
        <v>-885.94</v>
      </c>
      <c r="AF173" s="288">
        <f>+H173-'Data FY23-24 Final'!H173</f>
        <v>0</v>
      </c>
      <c r="AG173" s="288">
        <f>+I173-'Data FY23-24 Final'!I173</f>
        <v>-0.99999999999999911</v>
      </c>
      <c r="AH173" s="288">
        <f>+J173-'Data FY23-24 Final'!J173</f>
        <v>0.90700000000000003</v>
      </c>
      <c r="AI173" s="288">
        <f>+K173-'Data FY23-24 Final'!K173</f>
        <v>-0.14500000000000002</v>
      </c>
      <c r="AJ173" s="288">
        <f>+L173-'Data FY23-24 Final'!L173</f>
        <v>0.23799999999999877</v>
      </c>
      <c r="AK173" s="288">
        <f>+M173-'Data FY23-24 Final'!M173</f>
        <v>0</v>
      </c>
      <c r="AL173" s="288">
        <f>+N173-'Data FY23-24 Final'!N173</f>
        <v>0</v>
      </c>
      <c r="AM173" s="288">
        <f>+O173-'Data FY23-24 Final'!O173</f>
        <v>-2.7000000000000135E-2</v>
      </c>
      <c r="AN173" s="288">
        <f>+P173-'Data FY23-24 Final'!P173</f>
        <v>-2.7260241815048689E-3</v>
      </c>
      <c r="AO173" s="288">
        <f>+Q173-'Data FY23-24 Final'!Q173</f>
        <v>0.97027397581849328</v>
      </c>
      <c r="AP173" s="288">
        <f>+R173-'Data FY23-24 Final'!R173</f>
        <v>-1.8280000000000001</v>
      </c>
      <c r="AQ173" s="288">
        <f>+S173-'Data FY23-24 Final'!S173</f>
        <v>0</v>
      </c>
      <c r="AR173" s="288">
        <f>+T173-'Data FY23-24 Final'!T173</f>
        <v>0</v>
      </c>
      <c r="AS173" s="288">
        <f>+U173-'Data FY23-24 Final'!U173</f>
        <v>0</v>
      </c>
      <c r="AT173" s="288">
        <f>+V173-'Data FY23-24 Final'!V173</f>
        <v>0</v>
      </c>
      <c r="AU173" s="288">
        <f>+W173-'Data FY23-24 Final'!W173</f>
        <v>-0.85772602418150612</v>
      </c>
      <c r="AV173" s="288">
        <f>+X173-'Data FY23-24 Final'!X173</f>
        <v>0</v>
      </c>
      <c r="AW173" s="261">
        <f>+Y173-'Data FY23-24 Final'!Y173</f>
        <v>55734.919999999925</v>
      </c>
      <c r="AX173" s="261">
        <f>+Z173-'Data FY23-24 Final'!Z173</f>
        <v>298.8079600011115</v>
      </c>
    </row>
    <row r="174" spans="1:50" s="256" customFormat="1" x14ac:dyDescent="0.25">
      <c r="A174" s="289" t="s">
        <v>464</v>
      </c>
      <c r="B174" s="289" t="s">
        <v>446</v>
      </c>
      <c r="C174" s="297" t="s">
        <v>465</v>
      </c>
      <c r="D174" s="344">
        <v>740997970</v>
      </c>
      <c r="E174" s="344">
        <v>0</v>
      </c>
      <c r="F174" s="344">
        <f t="shared" si="18"/>
        <v>740997970</v>
      </c>
      <c r="G174" s="343">
        <v>1667.56</v>
      </c>
      <c r="H174" s="348">
        <v>12.375999999999999</v>
      </c>
      <c r="I174" s="348">
        <v>0</v>
      </c>
      <c r="J174" s="361">
        <f>+H174-K174-L174</f>
        <v>4.1839999999999984</v>
      </c>
      <c r="K174" s="362">
        <v>0.19400000000000001</v>
      </c>
      <c r="L174" s="363">
        <v>7.9980000000000002</v>
      </c>
      <c r="M174" s="287">
        <v>0</v>
      </c>
      <c r="N174" s="353">
        <v>0</v>
      </c>
      <c r="O174" s="354">
        <v>0.67199999999999993</v>
      </c>
      <c r="P174" s="355">
        <f t="shared" si="23"/>
        <v>2.2504245187068457E-3</v>
      </c>
      <c r="Q174" s="360">
        <f t="shared" si="19"/>
        <v>13.050250424518705</v>
      </c>
      <c r="R174" s="299"/>
      <c r="S174" s="299"/>
      <c r="T174" s="299"/>
      <c r="U174" s="299"/>
      <c r="V174" s="299"/>
      <c r="W174" s="299">
        <f t="shared" si="20"/>
        <v>13.050250424518705</v>
      </c>
      <c r="X174" s="287">
        <v>4.1840000000000002</v>
      </c>
      <c r="Y174" s="344">
        <v>3193354.66</v>
      </c>
      <c r="Z174" s="344">
        <v>45.214720000163652</v>
      </c>
      <c r="AB174" s="261">
        <f>+D174-'Data FY23-24 Final'!D174</f>
        <v>848795</v>
      </c>
      <c r="AC174" s="261">
        <f>+E174-'Data FY23-24 Final'!E174</f>
        <v>0</v>
      </c>
      <c r="AD174" s="261">
        <f>+F174-'Data FY23-24 Final'!F174</f>
        <v>848795</v>
      </c>
      <c r="AE174" s="261">
        <f>+G174-'Data FY23-24 Final'!G174</f>
        <v>0</v>
      </c>
      <c r="AF174" s="288">
        <f>+H174-'Data FY23-24 Final'!H174</f>
        <v>0</v>
      </c>
      <c r="AG174" s="288">
        <f>+I174-'Data FY23-24 Final'!I174</f>
        <v>0</v>
      </c>
      <c r="AH174" s="288">
        <f>+J174-'Data FY23-24 Final'!J174</f>
        <v>-5.4000000000002046E-2</v>
      </c>
      <c r="AI174" s="288">
        <f>+K174-'Data FY23-24 Final'!K174</f>
        <v>7.5000000000000011E-2</v>
      </c>
      <c r="AJ174" s="288">
        <f>+L174-'Data FY23-24 Final'!L174</f>
        <v>-2.0999999999999908E-2</v>
      </c>
      <c r="AK174" s="288">
        <f>+M174-'Data FY23-24 Final'!M174</f>
        <v>0</v>
      </c>
      <c r="AL174" s="288">
        <f>+N174-'Data FY23-24 Final'!N174</f>
        <v>0</v>
      </c>
      <c r="AM174" s="288">
        <f>+O174-'Data FY23-24 Final'!O174</f>
        <v>-0.59899999999999998</v>
      </c>
      <c r="AN174" s="288">
        <f>+P174-'Data FY23-24 Final'!P174</f>
        <v>2.2504245187068457E-3</v>
      </c>
      <c r="AO174" s="288">
        <f>+Q174-'Data FY23-24 Final'!Q174</f>
        <v>-0.59674957548129548</v>
      </c>
      <c r="AP174" s="288">
        <f>+R174-'Data FY23-24 Final'!R174</f>
        <v>-0.13600000000000001</v>
      </c>
      <c r="AQ174" s="288">
        <f>+S174-'Data FY23-24 Final'!S174</f>
        <v>0</v>
      </c>
      <c r="AR174" s="288">
        <f>+T174-'Data FY23-24 Final'!T174</f>
        <v>0</v>
      </c>
      <c r="AS174" s="288">
        <f>+U174-'Data FY23-24 Final'!U174</f>
        <v>0</v>
      </c>
      <c r="AT174" s="288">
        <f>+V174-'Data FY23-24 Final'!V174</f>
        <v>0</v>
      </c>
      <c r="AU174" s="288">
        <f>+W174-'Data FY23-24 Final'!W174</f>
        <v>-0.73274957548129471</v>
      </c>
      <c r="AV174" s="288">
        <f>+X174-'Data FY23-24 Final'!X174</f>
        <v>0</v>
      </c>
      <c r="AW174" s="261">
        <f>+Y174-'Data FY23-24 Final'!Y174</f>
        <v>56305.680000000168</v>
      </c>
      <c r="AX174" s="261">
        <f>+Z174-'Data FY23-24 Final'!Z174</f>
        <v>45.214720000163652</v>
      </c>
    </row>
    <row r="175" spans="1:50" s="256" customFormat="1" ht="13" x14ac:dyDescent="0.3">
      <c r="A175" s="289" t="s">
        <v>466</v>
      </c>
      <c r="B175" s="289" t="s">
        <v>446</v>
      </c>
      <c r="C175" s="297" t="s">
        <v>467</v>
      </c>
      <c r="D175" s="378">
        <v>536117010</v>
      </c>
      <c r="E175" s="378">
        <v>0</v>
      </c>
      <c r="F175" s="378">
        <v>536117010</v>
      </c>
      <c r="G175" s="379">
        <v>1025.06</v>
      </c>
      <c r="H175" s="347">
        <v>5.0679999999999996</v>
      </c>
      <c r="I175" s="347">
        <v>0</v>
      </c>
      <c r="J175" s="364">
        <f>+H175-I175</f>
        <v>5.0679999999999996</v>
      </c>
      <c r="K175" s="365">
        <v>-1E-3</v>
      </c>
      <c r="L175" s="366">
        <v>1E-3</v>
      </c>
      <c r="M175" s="287">
        <v>0</v>
      </c>
      <c r="N175" s="353">
        <v>0</v>
      </c>
      <c r="O175" s="354">
        <v>0.129</v>
      </c>
      <c r="P175" s="355">
        <f t="shared" si="23"/>
        <v>1.9120079775122225E-3</v>
      </c>
      <c r="Q175" s="360">
        <f t="shared" si="19"/>
        <v>5.1989120079775111</v>
      </c>
      <c r="R175" s="299"/>
      <c r="S175" s="299"/>
      <c r="T175" s="299"/>
      <c r="U175" s="299"/>
      <c r="V175" s="299"/>
      <c r="W175" s="299">
        <f t="shared" si="20"/>
        <v>5.1989120079775111</v>
      </c>
      <c r="X175" s="287">
        <v>5.5129999999999999</v>
      </c>
      <c r="Y175" s="344">
        <v>3268144.87</v>
      </c>
      <c r="Z175" s="344">
        <v>258227.80885353067</v>
      </c>
      <c r="AB175" s="261">
        <f>+D175-'Data FY23-24 Final'!D175</f>
        <v>-43039100</v>
      </c>
      <c r="AC175" s="261">
        <f>+E175-'Data FY23-24 Final'!E175</f>
        <v>0</v>
      </c>
      <c r="AD175" s="261">
        <f>+F175-'Data FY23-24 Final'!F175</f>
        <v>-43039100</v>
      </c>
      <c r="AE175" s="261">
        <f>+G175-'Data FY23-24 Final'!G175</f>
        <v>332.4</v>
      </c>
      <c r="AF175" s="288">
        <f>+H175-'Data FY23-24 Final'!H175</f>
        <v>0</v>
      </c>
      <c r="AG175" s="288">
        <f>+I175-'Data FY23-24 Final'!I175</f>
        <v>0</v>
      </c>
      <c r="AH175" s="288">
        <f>+J175-'Data FY23-24 Final'!J175</f>
        <v>0</v>
      </c>
      <c r="AI175" s="288">
        <f>+K175-'Data FY23-24 Final'!K175</f>
        <v>-1E-3</v>
      </c>
      <c r="AJ175" s="288">
        <f>+L175-'Data FY23-24 Final'!L175</f>
        <v>1E-3</v>
      </c>
      <c r="AK175" s="288">
        <f>+M175-'Data FY23-24 Final'!M175</f>
        <v>0</v>
      </c>
      <c r="AL175" s="288">
        <f>+N175-'Data FY23-24 Final'!N175</f>
        <v>0</v>
      </c>
      <c r="AM175" s="288">
        <f>+O175-'Data FY23-24 Final'!O175</f>
        <v>0</v>
      </c>
      <c r="AN175" s="288">
        <f>+P175-'Data FY23-24 Final'!P175</f>
        <v>1.9120079775122225E-3</v>
      </c>
      <c r="AO175" s="288">
        <f>+Q175-'Data FY23-24 Final'!Q175</f>
        <v>1.9120079775110099E-3</v>
      </c>
      <c r="AP175" s="288">
        <f>+R175-'Data FY23-24 Final'!R175</f>
        <v>-0.433</v>
      </c>
      <c r="AQ175" s="288">
        <f>+S175-'Data FY23-24 Final'!S175</f>
        <v>0</v>
      </c>
      <c r="AR175" s="288">
        <f>+T175-'Data FY23-24 Final'!T175</f>
        <v>0</v>
      </c>
      <c r="AS175" s="288">
        <f>+U175-'Data FY23-24 Final'!U175</f>
        <v>0</v>
      </c>
      <c r="AT175" s="288">
        <f>+V175-'Data FY23-24 Final'!V175</f>
        <v>0</v>
      </c>
      <c r="AU175" s="288">
        <f>+W175-'Data FY23-24 Final'!W175</f>
        <v>-0.43108799202248882</v>
      </c>
      <c r="AV175" s="288">
        <f>+X175-'Data FY23-24 Final'!X175</f>
        <v>0</v>
      </c>
      <c r="AW175" s="261">
        <f>+Y175-'Data FY23-24 Final'!Y175</f>
        <v>23402.610000000335</v>
      </c>
      <c r="AX175" s="261">
        <f>+Z175-'Data FY23-24 Final'!Z175</f>
        <v>17326.574333530851</v>
      </c>
    </row>
    <row r="176" spans="1:50" s="256" customFormat="1" ht="13" x14ac:dyDescent="0.3">
      <c r="A176" s="289" t="s">
        <v>468</v>
      </c>
      <c r="B176" s="289" t="s">
        <v>446</v>
      </c>
      <c r="C176" s="297" t="s">
        <v>469</v>
      </c>
      <c r="D176" s="378">
        <v>562281430</v>
      </c>
      <c r="E176" s="378">
        <v>0</v>
      </c>
      <c r="F176" s="378">
        <v>562281430</v>
      </c>
      <c r="G176" s="379">
        <v>580.74</v>
      </c>
      <c r="H176" s="348">
        <v>4.2930000000000001</v>
      </c>
      <c r="I176" s="348">
        <v>0</v>
      </c>
      <c r="J176" s="361">
        <f>+H176-K176-L176</f>
        <v>2.1529999999999996</v>
      </c>
      <c r="K176" s="362">
        <v>0.12300000000000001</v>
      </c>
      <c r="L176" s="363">
        <v>2.0170000000000003</v>
      </c>
      <c r="M176" s="287">
        <v>0</v>
      </c>
      <c r="N176" s="353">
        <v>0</v>
      </c>
      <c r="O176" s="354">
        <v>0.22500000000000001</v>
      </c>
      <c r="P176" s="355">
        <f t="shared" si="23"/>
        <v>1.032827991491734E-3</v>
      </c>
      <c r="Q176" s="360">
        <f t="shared" si="19"/>
        <v>4.5190328279914915</v>
      </c>
      <c r="R176" s="299"/>
      <c r="S176" s="299"/>
      <c r="T176" s="299"/>
      <c r="U176" s="299"/>
      <c r="V176" s="299"/>
      <c r="W176" s="299">
        <f t="shared" si="20"/>
        <v>4.5190328279914915</v>
      </c>
      <c r="X176" s="287">
        <v>2.153</v>
      </c>
      <c r="Y176" s="344">
        <v>1330939.6599999999</v>
      </c>
      <c r="Z176" s="344">
        <v>436.75286430312553</v>
      </c>
      <c r="AB176" s="261">
        <f>+D176-'Data FY23-24 Final'!D176</f>
        <v>-16993140</v>
      </c>
      <c r="AC176" s="261">
        <f>+E176-'Data FY23-24 Final'!E176</f>
        <v>0</v>
      </c>
      <c r="AD176" s="261">
        <f>+F176-'Data FY23-24 Final'!F176</f>
        <v>-16993140</v>
      </c>
      <c r="AE176" s="261">
        <f>+G176-'Data FY23-24 Final'!G176</f>
        <v>420.82000000000005</v>
      </c>
      <c r="AF176" s="288">
        <f>+H176-'Data FY23-24 Final'!H176</f>
        <v>0</v>
      </c>
      <c r="AG176" s="288">
        <f>+I176-'Data FY23-24 Final'!I176</f>
        <v>0</v>
      </c>
      <c r="AH176" s="288">
        <f>+J176-'Data FY23-24 Final'!J176</f>
        <v>-7.4000000000000288E-2</v>
      </c>
      <c r="AI176" s="288">
        <f>+K176-'Data FY23-24 Final'!K176</f>
        <v>4.0000000000000174E-3</v>
      </c>
      <c r="AJ176" s="288">
        <f>+L176-'Data FY23-24 Final'!L176</f>
        <v>7.0000000000000284E-2</v>
      </c>
      <c r="AK176" s="288">
        <f>+M176-'Data FY23-24 Final'!M176</f>
        <v>0</v>
      </c>
      <c r="AL176" s="288">
        <f>+N176-'Data FY23-24 Final'!N176</f>
        <v>0</v>
      </c>
      <c r="AM176" s="288">
        <f>+O176-'Data FY23-24 Final'!O176</f>
        <v>-0.47399999999999998</v>
      </c>
      <c r="AN176" s="288">
        <f>+P176-'Data FY23-24 Final'!P176</f>
        <v>1.032827991491734E-3</v>
      </c>
      <c r="AO176" s="288">
        <f>+Q176-'Data FY23-24 Final'!Q176</f>
        <v>-0.47296717200850846</v>
      </c>
      <c r="AP176" s="288">
        <f>+R176-'Data FY23-24 Final'!R176</f>
        <v>0</v>
      </c>
      <c r="AQ176" s="288">
        <f>+S176-'Data FY23-24 Final'!S176</f>
        <v>0</v>
      </c>
      <c r="AR176" s="288">
        <f>+T176-'Data FY23-24 Final'!T176</f>
        <v>0</v>
      </c>
      <c r="AS176" s="288">
        <f>+U176-'Data FY23-24 Final'!U176</f>
        <v>0</v>
      </c>
      <c r="AT176" s="288">
        <f>+V176-'Data FY23-24 Final'!V176</f>
        <v>0</v>
      </c>
      <c r="AU176" s="288">
        <f>+W176-'Data FY23-24 Final'!W176</f>
        <v>-0.47296717200850846</v>
      </c>
      <c r="AV176" s="288">
        <f>+X176-'Data FY23-24 Final'!X176</f>
        <v>0</v>
      </c>
      <c r="AW176" s="261">
        <f>+Y176-'Data FY23-24 Final'!Y176</f>
        <v>-55906.479999999981</v>
      </c>
      <c r="AX176" s="261">
        <f>+Z176-'Data FY23-24 Final'!Z176</f>
        <v>436.74998430337291</v>
      </c>
    </row>
    <row r="177" spans="1:50" s="256" customFormat="1" ht="13" x14ac:dyDescent="0.3">
      <c r="A177" s="289" t="s">
        <v>470</v>
      </c>
      <c r="B177" s="289" t="s">
        <v>471</v>
      </c>
      <c r="C177" s="297" t="s">
        <v>472</v>
      </c>
      <c r="D177" s="378">
        <v>1594743601</v>
      </c>
      <c r="E177" s="378">
        <v>0</v>
      </c>
      <c r="F177" s="378">
        <v>324838360</v>
      </c>
      <c r="G177" s="379">
        <v>71364.81</v>
      </c>
      <c r="H177" s="347">
        <v>27</v>
      </c>
      <c r="I177" s="347">
        <v>4.6550000000000011</v>
      </c>
      <c r="J177" s="353">
        <f>+H177-I177</f>
        <v>22.344999999999999</v>
      </c>
      <c r="K177" s="287">
        <v>0</v>
      </c>
      <c r="L177" s="300">
        <v>0</v>
      </c>
      <c r="M177" s="287">
        <v>0</v>
      </c>
      <c r="N177" s="353">
        <v>0</v>
      </c>
      <c r="O177" s="354">
        <v>7.0510000000000002</v>
      </c>
      <c r="P177" s="355">
        <f t="shared" si="23"/>
        <v>0.21969329607500787</v>
      </c>
      <c r="Q177" s="360">
        <f t="shared" si="19"/>
        <v>29.615693296075008</v>
      </c>
      <c r="R177" s="299"/>
      <c r="S177" s="299"/>
      <c r="T177" s="299"/>
      <c r="U177" s="299"/>
      <c r="V177" s="299"/>
      <c r="W177" s="299">
        <f t="shared" si="20"/>
        <v>29.615693296075008</v>
      </c>
      <c r="X177" s="287">
        <v>57.660999999999994</v>
      </c>
      <c r="Y177" s="344">
        <v>10010630.5</v>
      </c>
      <c r="Z177" s="344">
        <v>6149471.3257999998</v>
      </c>
      <c r="AB177" s="261">
        <f>+D177-'Data FY23-24 Final'!D177</f>
        <v>1429848711</v>
      </c>
      <c r="AC177" s="261">
        <f>+E177-'Data FY23-24 Final'!E177</f>
        <v>0</v>
      </c>
      <c r="AD177" s="261">
        <f>+F177-'Data FY23-24 Final'!F177</f>
        <v>159943470</v>
      </c>
      <c r="AE177" s="261">
        <f>+G177-'Data FY23-24 Final'!G177</f>
        <v>71364.81</v>
      </c>
      <c r="AF177" s="288">
        <f>+H177-'Data FY23-24 Final'!H177</f>
        <v>0</v>
      </c>
      <c r="AG177" s="288">
        <f>+I177-'Data FY23-24 Final'!I177</f>
        <v>4.6550000000000011</v>
      </c>
      <c r="AH177" s="288">
        <f>+J177-'Data FY23-24 Final'!J177</f>
        <v>1</v>
      </c>
      <c r="AI177" s="288">
        <f>+K177-'Data FY23-24 Final'!K177</f>
        <v>0</v>
      </c>
      <c r="AJ177" s="288">
        <f>+L177-'Data FY23-24 Final'!L177</f>
        <v>0</v>
      </c>
      <c r="AK177" s="288">
        <f>+M177-'Data FY23-24 Final'!M177</f>
        <v>0</v>
      </c>
      <c r="AL177" s="288">
        <f>+N177-'Data FY23-24 Final'!N177</f>
        <v>0</v>
      </c>
      <c r="AM177" s="288">
        <f>+O177-'Data FY23-24 Final'!O177</f>
        <v>-0.1899999999999995</v>
      </c>
      <c r="AN177" s="288">
        <f>+P177-'Data FY23-24 Final'!P177</f>
        <v>0.21969329607500787</v>
      </c>
      <c r="AO177" s="288">
        <f>+Q177-'Data FY23-24 Final'!Q177</f>
        <v>1.0296932960750098</v>
      </c>
      <c r="AP177" s="288">
        <f>+R177-'Data FY23-24 Final'!R177</f>
        <v>-8.4819999999999993</v>
      </c>
      <c r="AQ177" s="288">
        <f>+S177-'Data FY23-24 Final'!S177</f>
        <v>0</v>
      </c>
      <c r="AR177" s="288">
        <f>+T177-'Data FY23-24 Final'!T177</f>
        <v>0</v>
      </c>
      <c r="AS177" s="288">
        <f>+U177-'Data FY23-24 Final'!U177</f>
        <v>0</v>
      </c>
      <c r="AT177" s="288">
        <f>+V177-'Data FY23-24 Final'!V177</f>
        <v>0</v>
      </c>
      <c r="AU177" s="288">
        <f>+W177-'Data FY23-24 Final'!W177</f>
        <v>-7.4523067039249895</v>
      </c>
      <c r="AV177" s="288">
        <f>+X177-'Data FY23-24 Final'!X177</f>
        <v>0</v>
      </c>
      <c r="AW177" s="261">
        <f>+Y177-'Data FY23-24 Final'!Y177</f>
        <v>144197.0700000003</v>
      </c>
      <c r="AX177" s="261">
        <f>+Z177-'Data FY23-24 Final'!Z177</f>
        <v>83074.852850000374</v>
      </c>
    </row>
    <row r="178" spans="1:50" ht="13" x14ac:dyDescent="0.3">
      <c r="A178" s="289" t="s">
        <v>473</v>
      </c>
      <c r="B178" s="289" t="s">
        <v>471</v>
      </c>
      <c r="C178" s="297" t="s">
        <v>474</v>
      </c>
      <c r="D178" s="378">
        <v>1594743601</v>
      </c>
      <c r="E178" s="378">
        <v>0</v>
      </c>
      <c r="F178" s="378">
        <v>324838360</v>
      </c>
      <c r="G178" s="379">
        <v>71364.81</v>
      </c>
      <c r="H178" s="347">
        <v>27</v>
      </c>
      <c r="I178" s="347">
        <v>7.968</v>
      </c>
      <c r="J178" s="353">
        <f>+H178-I178</f>
        <v>19.032</v>
      </c>
      <c r="K178" s="287">
        <v>0</v>
      </c>
      <c r="L178" s="300">
        <v>0</v>
      </c>
      <c r="M178" s="287">
        <v>0</v>
      </c>
      <c r="N178" s="353">
        <v>0</v>
      </c>
      <c r="O178" s="354">
        <v>2.786</v>
      </c>
      <c r="P178" s="355">
        <f t="shared" si="23"/>
        <v>0.21969329607500787</v>
      </c>
      <c r="Q178" s="360">
        <f t="shared" si="19"/>
        <v>22.037693296075009</v>
      </c>
      <c r="R178" s="299"/>
      <c r="S178" s="299"/>
      <c r="T178" s="299"/>
      <c r="U178" s="299"/>
      <c r="V178" s="299"/>
      <c r="W178" s="299">
        <f t="shared" si="20"/>
        <v>22.037693296075009</v>
      </c>
      <c r="X178" s="287">
        <v>54.578000000000003</v>
      </c>
      <c r="Y178" s="344">
        <v>8076351</v>
      </c>
      <c r="Z178" s="344">
        <v>5246775.0118800001</v>
      </c>
      <c r="AB178" s="261">
        <f>+D178-'Data FY23-24 Final'!D178</f>
        <v>1455006921</v>
      </c>
      <c r="AC178" s="261">
        <f>+E178-'Data FY23-24 Final'!E178</f>
        <v>0</v>
      </c>
      <c r="AD178" s="261">
        <f>+F178-'Data FY23-24 Final'!F178</f>
        <v>185101680</v>
      </c>
      <c r="AE178" s="261">
        <f>+G178-'Data FY23-24 Final'!G178</f>
        <v>71364.75</v>
      </c>
      <c r="AF178" s="288">
        <f>+H178-'Data FY23-24 Final'!H178</f>
        <v>0</v>
      </c>
      <c r="AG178" s="288">
        <f>+I178-'Data FY23-24 Final'!I178</f>
        <v>-1</v>
      </c>
      <c r="AH178" s="288">
        <f>+J178-'Data FY23-24 Final'!J178</f>
        <v>1</v>
      </c>
      <c r="AI178" s="288">
        <f>+K178-'Data FY23-24 Final'!K178</f>
        <v>0</v>
      </c>
      <c r="AJ178" s="288">
        <f>+L178-'Data FY23-24 Final'!L178</f>
        <v>0</v>
      </c>
      <c r="AK178" s="288">
        <f>+M178-'Data FY23-24 Final'!M178</f>
        <v>0</v>
      </c>
      <c r="AL178" s="288">
        <f>+N178-'Data FY23-24 Final'!N178</f>
        <v>0</v>
      </c>
      <c r="AM178" s="288">
        <f>+O178-'Data FY23-24 Final'!O178</f>
        <v>-8.7680000000000007</v>
      </c>
      <c r="AN178" s="288">
        <f>+P178-'Data FY23-24 Final'!P178</f>
        <v>0.15569329607500787</v>
      </c>
      <c r="AO178" s="288">
        <f>+Q178-'Data FY23-24 Final'!Q178</f>
        <v>-7.6123067039249896</v>
      </c>
      <c r="AP178" s="288">
        <f>+R178-'Data FY23-24 Final'!R178</f>
        <v>-8.11</v>
      </c>
      <c r="AQ178" s="288">
        <f>+S178-'Data FY23-24 Final'!S178</f>
        <v>0</v>
      </c>
      <c r="AR178" s="288">
        <f>+T178-'Data FY23-24 Final'!T178</f>
        <v>0</v>
      </c>
      <c r="AS178" s="288">
        <f>+U178-'Data FY23-24 Final'!U178</f>
        <v>0</v>
      </c>
      <c r="AT178" s="288">
        <f>+V178-'Data FY23-24 Final'!V178</f>
        <v>0</v>
      </c>
      <c r="AU178" s="288">
        <f>+W178-'Data FY23-24 Final'!W178</f>
        <v>-15.722306703924989</v>
      </c>
      <c r="AV178" s="288">
        <f>+X178-'Data FY23-24 Final'!X178</f>
        <v>0</v>
      </c>
      <c r="AW178" s="261">
        <f>+Y178-'Data FY23-24 Final'!Y178</f>
        <v>5494.4199999999255</v>
      </c>
      <c r="AX178" s="261">
        <f>+Z178-'Data FY23-24 Final'!Z178</f>
        <v>-120522.08436000068</v>
      </c>
    </row>
    <row r="179" spans="1:50" x14ac:dyDescent="0.25">
      <c r="A179" s="289" t="s">
        <v>475</v>
      </c>
      <c r="B179" s="289" t="s">
        <v>471</v>
      </c>
      <c r="C179" s="297" t="s">
        <v>476</v>
      </c>
      <c r="D179" s="344">
        <v>20958957</v>
      </c>
      <c r="E179" s="344">
        <v>0</v>
      </c>
      <c r="F179" s="344">
        <f t="shared" si="18"/>
        <v>20958957</v>
      </c>
      <c r="G179" s="343">
        <v>6402.78</v>
      </c>
      <c r="H179" s="347">
        <v>27</v>
      </c>
      <c r="I179" s="347">
        <v>1.5019999999999989</v>
      </c>
      <c r="J179" s="353">
        <f>+H179-I179</f>
        <v>25.498000000000001</v>
      </c>
      <c r="K179" s="287">
        <v>0</v>
      </c>
      <c r="L179" s="300">
        <v>0</v>
      </c>
      <c r="M179" s="287">
        <v>0</v>
      </c>
      <c r="N179" s="353">
        <v>0</v>
      </c>
      <c r="O179" s="354">
        <v>0</v>
      </c>
      <c r="P179" s="355">
        <f t="shared" si="23"/>
        <v>0.30549134673066031</v>
      </c>
      <c r="Q179" s="360">
        <f t="shared" si="19"/>
        <v>25.803491346730663</v>
      </c>
      <c r="R179" s="299"/>
      <c r="S179" s="299"/>
      <c r="T179" s="299"/>
      <c r="U179" s="299"/>
      <c r="V179" s="299"/>
      <c r="W179" s="299">
        <f t="shared" si="20"/>
        <v>25.803491346730663</v>
      </c>
      <c r="X179" s="287">
        <v>149.54400000000001</v>
      </c>
      <c r="Y179" s="344">
        <v>3179506.48</v>
      </c>
      <c r="Z179" s="344">
        <v>2620835.0356140002</v>
      </c>
      <c r="AB179" s="261">
        <f>+D179-'Data FY23-24 Final'!D179</f>
        <v>465202</v>
      </c>
      <c r="AC179" s="261">
        <f>+E179-'Data FY23-24 Final'!E179</f>
        <v>0</v>
      </c>
      <c r="AD179" s="261">
        <f>+F179-'Data FY23-24 Final'!F179</f>
        <v>465202</v>
      </c>
      <c r="AE179" s="261">
        <f>+G179-'Data FY23-24 Final'!G179</f>
        <v>6402.78</v>
      </c>
      <c r="AF179" s="288">
        <f>+H179-'Data FY23-24 Final'!H179</f>
        <v>0</v>
      </c>
      <c r="AG179" s="288">
        <f>+I179-'Data FY23-24 Final'!I179</f>
        <v>-1.0000000000000009</v>
      </c>
      <c r="AH179" s="288">
        <f>+J179-'Data FY23-24 Final'!J179</f>
        <v>1</v>
      </c>
      <c r="AI179" s="288">
        <f>+K179-'Data FY23-24 Final'!K179</f>
        <v>0</v>
      </c>
      <c r="AJ179" s="288">
        <f>+L179-'Data FY23-24 Final'!L179</f>
        <v>0</v>
      </c>
      <c r="AK179" s="288">
        <f>+M179-'Data FY23-24 Final'!M179</f>
        <v>0</v>
      </c>
      <c r="AL179" s="288">
        <f>+N179-'Data FY23-24 Final'!N179</f>
        <v>0</v>
      </c>
      <c r="AM179" s="288">
        <f>+O179-'Data FY23-24 Final'!O179</f>
        <v>0</v>
      </c>
      <c r="AN179" s="288">
        <f>+P179-'Data FY23-24 Final'!P179</f>
        <v>0.30549134673066031</v>
      </c>
      <c r="AO179" s="288">
        <f>+Q179-'Data FY23-24 Final'!Q179</f>
        <v>1.3054913467306619</v>
      </c>
      <c r="AP179" s="288">
        <f>+R179-'Data FY23-24 Final'!R179</f>
        <v>-13</v>
      </c>
      <c r="AQ179" s="288">
        <f>+S179-'Data FY23-24 Final'!S179</f>
        <v>0</v>
      </c>
      <c r="AR179" s="288">
        <f>+T179-'Data FY23-24 Final'!T179</f>
        <v>0</v>
      </c>
      <c r="AS179" s="288">
        <f>+U179-'Data FY23-24 Final'!U179</f>
        <v>0</v>
      </c>
      <c r="AT179" s="288">
        <f>+V179-'Data FY23-24 Final'!V179</f>
        <v>0</v>
      </c>
      <c r="AU179" s="288">
        <f>+W179-'Data FY23-24 Final'!W179</f>
        <v>-11.694508653269335</v>
      </c>
      <c r="AV179" s="288">
        <f>+X179-'Data FY23-24 Final'!X179</f>
        <v>0</v>
      </c>
      <c r="AW179" s="261">
        <f>+Y179-'Data FY23-24 Final'!Y179</f>
        <v>73015.229999999981</v>
      </c>
      <c r="AX179" s="261">
        <f>+Z179-'Data FY23-24 Final'!Z179</f>
        <v>62050.395604000427</v>
      </c>
    </row>
    <row r="180" spans="1:50" x14ac:dyDescent="0.25">
      <c r="A180" s="289" t="s">
        <v>477</v>
      </c>
      <c r="B180" s="289" t="s">
        <v>471</v>
      </c>
      <c r="C180" s="297" t="s">
        <v>478</v>
      </c>
      <c r="D180" s="344">
        <v>17072212</v>
      </c>
      <c r="E180" s="344">
        <v>0</v>
      </c>
      <c r="F180" s="344">
        <f t="shared" si="18"/>
        <v>17072212</v>
      </c>
      <c r="G180" s="343">
        <v>63.49</v>
      </c>
      <c r="H180" s="347">
        <v>27</v>
      </c>
      <c r="I180" s="347">
        <v>3.3249999999999993</v>
      </c>
      <c r="J180" s="353">
        <f>+H180-I180</f>
        <v>23.675000000000001</v>
      </c>
      <c r="K180" s="287">
        <v>0</v>
      </c>
      <c r="L180" s="300">
        <v>0</v>
      </c>
      <c r="M180" s="287">
        <v>0</v>
      </c>
      <c r="N180" s="353">
        <v>0</v>
      </c>
      <c r="O180" s="354">
        <v>17.125999999999998</v>
      </c>
      <c r="P180" s="355">
        <f t="shared" si="23"/>
        <v>3.7189088326691354E-3</v>
      </c>
      <c r="Q180" s="360">
        <f t="shared" si="19"/>
        <v>40.804718908832669</v>
      </c>
      <c r="R180" s="299"/>
      <c r="S180" s="299"/>
      <c r="T180" s="299"/>
      <c r="U180" s="299"/>
      <c r="V180" s="299"/>
      <c r="W180" s="299">
        <f t="shared" si="20"/>
        <v>40.804718908832669</v>
      </c>
      <c r="X180" s="287">
        <v>80.775000000000006</v>
      </c>
      <c r="Y180" s="344">
        <v>1417195.71</v>
      </c>
      <c r="Z180" s="344">
        <v>991901.45010000002</v>
      </c>
      <c r="AB180" s="261">
        <f>+D180-'Data FY23-24 Final'!D180</f>
        <v>499951</v>
      </c>
      <c r="AC180" s="261">
        <f>+E180-'Data FY23-24 Final'!E180</f>
        <v>0</v>
      </c>
      <c r="AD180" s="261">
        <f>+F180-'Data FY23-24 Final'!F180</f>
        <v>499951</v>
      </c>
      <c r="AE180" s="261">
        <f>+G180-'Data FY23-24 Final'!G180</f>
        <v>0</v>
      </c>
      <c r="AF180" s="288">
        <f>+H180-'Data FY23-24 Final'!H180</f>
        <v>0</v>
      </c>
      <c r="AG180" s="288">
        <f>+I180-'Data FY23-24 Final'!I180</f>
        <v>-1.0000000000000009</v>
      </c>
      <c r="AH180" s="288">
        <f>+J180-'Data FY23-24 Final'!J180</f>
        <v>1</v>
      </c>
      <c r="AI180" s="288">
        <f>+K180-'Data FY23-24 Final'!K180</f>
        <v>0</v>
      </c>
      <c r="AJ180" s="288">
        <f>+L180-'Data FY23-24 Final'!L180</f>
        <v>0</v>
      </c>
      <c r="AK180" s="288">
        <f>+M180-'Data FY23-24 Final'!M180</f>
        <v>0</v>
      </c>
      <c r="AL180" s="288">
        <f>+N180-'Data FY23-24 Final'!N180</f>
        <v>0</v>
      </c>
      <c r="AM180" s="288">
        <f>+O180-'Data FY23-24 Final'!O180</f>
        <v>-3.4000000000002473E-2</v>
      </c>
      <c r="AN180" s="288">
        <f>+P180-'Data FY23-24 Final'!P180</f>
        <v>-2.8109116733086468E-4</v>
      </c>
      <c r="AO180" s="288">
        <f>+Q180-'Data FY23-24 Final'!Q180</f>
        <v>0.96571890883267031</v>
      </c>
      <c r="AP180" s="288">
        <f>+R180-'Data FY23-24 Final'!R180</f>
        <v>0</v>
      </c>
      <c r="AQ180" s="288">
        <f>+S180-'Data FY23-24 Final'!S180</f>
        <v>0</v>
      </c>
      <c r="AR180" s="288">
        <f>+T180-'Data FY23-24 Final'!T180</f>
        <v>0</v>
      </c>
      <c r="AS180" s="288">
        <f>+U180-'Data FY23-24 Final'!U180</f>
        <v>0</v>
      </c>
      <c r="AT180" s="288">
        <f>+V180-'Data FY23-24 Final'!V180</f>
        <v>0</v>
      </c>
      <c r="AU180" s="288">
        <f>+W180-'Data FY23-24 Final'!W180</f>
        <v>0.96571890883267031</v>
      </c>
      <c r="AV180" s="288">
        <f>+X180-'Data FY23-24 Final'!X180</f>
        <v>0</v>
      </c>
      <c r="AW180" s="261">
        <f>+Y180-'Data FY23-24 Final'!Y180</f>
        <v>93164.889999999898</v>
      </c>
      <c r="AX180" s="261">
        <f>+Z180-'Data FY23-24 Final'!Z180</f>
        <v>80508.848274999997</v>
      </c>
    </row>
    <row r="181" spans="1:50" x14ac:dyDescent="0.25">
      <c r="D181" s="344">
        <f>SUM(D3:D180)</f>
        <v>186448036477</v>
      </c>
      <c r="E181" s="344">
        <f>SUM(E3:E180)</f>
        <v>5715063012</v>
      </c>
      <c r="F181" s="344">
        <f>SUM(F3:F180)</f>
        <v>174664036417.45999</v>
      </c>
      <c r="G181" s="344">
        <f t="shared" ref="G181:AD181" si="24">SUM(G3:G180)</f>
        <v>44805394.425999999</v>
      </c>
      <c r="H181" s="287">
        <f t="shared" si="24"/>
        <v>4136.2529999999988</v>
      </c>
      <c r="I181" s="287">
        <v>4134.2529999999988</v>
      </c>
      <c r="J181" s="357">
        <f t="shared" si="24"/>
        <v>3830.273999999999</v>
      </c>
      <c r="K181" s="287">
        <f t="shared" si="24"/>
        <v>5.641</v>
      </c>
      <c r="L181" s="287">
        <f t="shared" si="24"/>
        <v>33.207000000000001</v>
      </c>
      <c r="M181" s="287">
        <f t="shared" si="24"/>
        <v>37.440999999999981</v>
      </c>
      <c r="N181" s="357">
        <f t="shared" si="24"/>
        <v>4.1000000000000002E-2</v>
      </c>
      <c r="O181" s="357">
        <f t="shared" si="24"/>
        <v>433.9190000000001</v>
      </c>
      <c r="P181" s="357">
        <f t="shared" si="24"/>
        <v>1077.5347238122515</v>
      </c>
      <c r="Q181" s="258">
        <f>SUM(Q3:Q180)</f>
        <v>5418.0577238122542</v>
      </c>
      <c r="R181" s="287">
        <f t="shared" si="24"/>
        <v>0</v>
      </c>
      <c r="S181" s="287">
        <f t="shared" si="24"/>
        <v>0</v>
      </c>
      <c r="T181" s="287">
        <f t="shared" si="24"/>
        <v>0</v>
      </c>
      <c r="U181" s="287">
        <f t="shared" si="24"/>
        <v>0</v>
      </c>
      <c r="V181" s="287">
        <f t="shared" si="24"/>
        <v>0</v>
      </c>
      <c r="W181" s="287">
        <f t="shared" si="24"/>
        <v>5418.0577238122542</v>
      </c>
      <c r="X181" s="298">
        <f t="shared" si="24"/>
        <v>14642.691000000001</v>
      </c>
      <c r="Y181" s="344">
        <f t="shared" si="24"/>
        <v>9245575920.5600014</v>
      </c>
      <c r="Z181" s="344">
        <f t="shared" si="24"/>
        <v>4873334995.7059946</v>
      </c>
      <c r="AA181" s="257">
        <f t="shared" si="24"/>
        <v>0</v>
      </c>
      <c r="AB181" s="257">
        <f t="shared" si="24"/>
        <v>-867623277</v>
      </c>
      <c r="AC181" s="257">
        <f t="shared" si="24"/>
        <v>-165259819</v>
      </c>
      <c r="AD181" s="257">
        <f t="shared" si="24"/>
        <v>-6771300505.54</v>
      </c>
    </row>
    <row r="182" spans="1:50" x14ac:dyDescent="0.25">
      <c r="C182" s="289" t="s">
        <v>756</v>
      </c>
      <c r="D182" s="344" t="e">
        <f>+#REF!</f>
        <v>#REF!</v>
      </c>
      <c r="E182" s="344" t="e">
        <f>-#REF!</f>
        <v>#REF!</v>
      </c>
      <c r="F182" s="344" t="e">
        <f>+#REF!</f>
        <v>#REF!</v>
      </c>
      <c r="G182" s="344" t="e">
        <f>+#REF!</f>
        <v>#REF!</v>
      </c>
      <c r="H182" s="287" t="e">
        <f>+#REF!</f>
        <v>#REF!</v>
      </c>
      <c r="I182" s="287" t="e">
        <v>#REF!</v>
      </c>
      <c r="J182" s="357" t="e">
        <f>+#REF!</f>
        <v>#REF!</v>
      </c>
      <c r="K182" s="287" t="e">
        <f>+#REF!</f>
        <v>#REF!</v>
      </c>
      <c r="L182" s="287" t="e">
        <f>+#REF!</f>
        <v>#REF!</v>
      </c>
      <c r="M182" s="287" t="e">
        <f>+#REF!</f>
        <v>#REF!</v>
      </c>
      <c r="N182" s="357" t="e">
        <f>+#REF!</f>
        <v>#REF!</v>
      </c>
      <c r="O182" s="357" t="e">
        <f>+#REF!</f>
        <v>#REF!</v>
      </c>
      <c r="P182" s="357" t="e">
        <f>+#REF!</f>
        <v>#REF!</v>
      </c>
      <c r="Q182" s="357" t="e">
        <f>+#REF!</f>
        <v>#REF!</v>
      </c>
      <c r="R182" s="287" t="e">
        <f>+#REF!</f>
        <v>#REF!</v>
      </c>
      <c r="S182" s="287" t="e">
        <f>+#REF!</f>
        <v>#REF!</v>
      </c>
      <c r="T182" s="287" t="e">
        <f>+#REF!</f>
        <v>#REF!</v>
      </c>
      <c r="U182" s="287" t="e">
        <f>+#REF!</f>
        <v>#REF!</v>
      </c>
      <c r="V182" s="287" t="e">
        <f>+#REF!</f>
        <v>#REF!</v>
      </c>
      <c r="W182" s="287" t="e">
        <f>+#REF!</f>
        <v>#REF!</v>
      </c>
      <c r="X182" s="287"/>
      <c r="AA182" s="258"/>
      <c r="AB182" s="258"/>
      <c r="AC182" s="258"/>
      <c r="AD182" s="258"/>
    </row>
    <row r="183" spans="1:50" x14ac:dyDescent="0.25">
      <c r="D183" s="350" t="e">
        <f t="shared" ref="D183:AD183" si="25">+D181-D182</f>
        <v>#REF!</v>
      </c>
      <c r="E183" s="344" t="e">
        <f t="shared" si="25"/>
        <v>#REF!</v>
      </c>
      <c r="F183" s="344" t="e">
        <f t="shared" si="25"/>
        <v>#REF!</v>
      </c>
      <c r="G183" s="350" t="e">
        <f t="shared" si="25"/>
        <v>#REF!</v>
      </c>
      <c r="H183" s="287" t="e">
        <f t="shared" si="25"/>
        <v>#REF!</v>
      </c>
      <c r="I183" s="287" t="e">
        <v>#REF!</v>
      </c>
      <c r="J183" s="357" t="e">
        <f t="shared" si="25"/>
        <v>#REF!</v>
      </c>
      <c r="K183" s="287" t="e">
        <f t="shared" si="25"/>
        <v>#REF!</v>
      </c>
      <c r="L183" s="287" t="e">
        <f t="shared" si="25"/>
        <v>#REF!</v>
      </c>
      <c r="M183" s="287" t="e">
        <f t="shared" si="25"/>
        <v>#REF!</v>
      </c>
      <c r="N183" s="357" t="e">
        <f t="shared" si="25"/>
        <v>#REF!</v>
      </c>
      <c r="O183" s="357" t="e">
        <f t="shared" si="25"/>
        <v>#REF!</v>
      </c>
      <c r="P183" s="357" t="e">
        <f t="shared" si="25"/>
        <v>#REF!</v>
      </c>
      <c r="Q183" s="357" t="e">
        <f t="shared" si="25"/>
        <v>#REF!</v>
      </c>
      <c r="R183" s="287" t="e">
        <f t="shared" si="25"/>
        <v>#REF!</v>
      </c>
      <c r="S183" s="287" t="e">
        <f t="shared" si="25"/>
        <v>#REF!</v>
      </c>
      <c r="T183" s="287" t="e">
        <f t="shared" si="25"/>
        <v>#REF!</v>
      </c>
      <c r="U183" s="287" t="e">
        <f t="shared" si="25"/>
        <v>#REF!</v>
      </c>
      <c r="V183" s="287" t="e">
        <f t="shared" si="25"/>
        <v>#REF!</v>
      </c>
      <c r="W183" s="287" t="e">
        <f t="shared" si="25"/>
        <v>#REF!</v>
      </c>
      <c r="X183" s="298">
        <f t="shared" si="25"/>
        <v>14642.691000000001</v>
      </c>
      <c r="Y183" s="344">
        <f t="shared" si="25"/>
        <v>9245575920.5600014</v>
      </c>
      <c r="Z183" s="344">
        <f t="shared" si="25"/>
        <v>4873334995.7059946</v>
      </c>
      <c r="AA183" s="257">
        <f t="shared" si="25"/>
        <v>0</v>
      </c>
      <c r="AB183" s="257">
        <f t="shared" si="25"/>
        <v>-867623277</v>
      </c>
      <c r="AC183" s="257">
        <f t="shared" si="25"/>
        <v>-165259819</v>
      </c>
      <c r="AD183" s="257">
        <f t="shared" si="25"/>
        <v>-6771300505.54</v>
      </c>
    </row>
    <row r="184" spans="1:50" s="260" customFormat="1" x14ac:dyDescent="0.25">
      <c r="A184" s="280"/>
      <c r="B184" s="280"/>
      <c r="C184" s="280"/>
      <c r="D184" s="344"/>
      <c r="E184" s="344"/>
      <c r="F184" s="344"/>
      <c r="G184" s="344"/>
      <c r="H184" s="299"/>
      <c r="I184" s="280"/>
      <c r="J184" s="358"/>
      <c r="K184" s="280"/>
      <c r="L184" s="280"/>
      <c r="M184" s="280"/>
      <c r="N184" s="358"/>
      <c r="O184" s="358"/>
      <c r="P184" s="358"/>
      <c r="Q184" s="358"/>
      <c r="R184" s="280"/>
      <c r="S184" s="280"/>
      <c r="T184" s="280"/>
      <c r="U184" s="280"/>
      <c r="V184" s="280"/>
      <c r="W184" s="280"/>
      <c r="X184" s="280"/>
      <c r="Y184" s="344"/>
      <c r="Z184" s="344"/>
      <c r="AA184" s="256"/>
    </row>
    <row r="186" spans="1:50" x14ac:dyDescent="0.25">
      <c r="A186" s="320"/>
      <c r="J186" s="358"/>
      <c r="K186" s="280"/>
      <c r="L186" s="280"/>
      <c r="M186" s="280"/>
      <c r="N186" s="358"/>
      <c r="O186" s="358"/>
      <c r="P186" s="358"/>
      <c r="Q186" s="358"/>
      <c r="R186" s="280"/>
      <c r="S186" s="280"/>
      <c r="T186" s="280"/>
      <c r="U186" s="280"/>
      <c r="V186" s="280"/>
      <c r="W186" s="280"/>
      <c r="X186" s="280"/>
    </row>
    <row r="187" spans="1:50" x14ac:dyDescent="0.25">
      <c r="H187" s="287"/>
      <c r="I187" s="369"/>
      <c r="J187" s="367"/>
      <c r="K187" s="362" t="s">
        <v>861</v>
      </c>
      <c r="L187" s="362"/>
      <c r="M187" s="362"/>
      <c r="N187" s="367"/>
      <c r="O187" s="367"/>
      <c r="P187" s="357"/>
      <c r="Q187" s="357"/>
      <c r="R187" s="287"/>
      <c r="S187" s="287"/>
      <c r="T187" s="287"/>
      <c r="U187" s="287"/>
      <c r="V187" s="287"/>
      <c r="W187" s="287"/>
      <c r="X187" s="298"/>
    </row>
    <row r="188" spans="1:50" x14ac:dyDescent="0.25">
      <c r="E188" s="368"/>
      <c r="H188" s="287"/>
      <c r="I188" s="369" t="s">
        <v>862</v>
      </c>
      <c r="J188" s="367"/>
      <c r="K188" s="362"/>
      <c r="L188" s="362"/>
      <c r="M188" s="362"/>
      <c r="N188" s="367"/>
      <c r="O188" s="367"/>
      <c r="P188" s="357"/>
      <c r="Q188" s="357"/>
      <c r="R188" s="287"/>
      <c r="S188" s="287"/>
      <c r="T188" s="287"/>
      <c r="U188" s="287"/>
      <c r="V188" s="287"/>
      <c r="W188" s="287"/>
      <c r="X188" s="298"/>
    </row>
    <row r="365" spans="4:26" x14ac:dyDescent="0.25">
      <c r="D365" s="344">
        <f>SUM(D187:D364)</f>
        <v>0</v>
      </c>
      <c r="E365" s="344">
        <f t="shared" ref="E365:N365" si="26">SUM(E187:E364)</f>
        <v>0</v>
      </c>
      <c r="F365" s="344">
        <f t="shared" si="26"/>
        <v>0</v>
      </c>
      <c r="G365" s="344">
        <f t="shared" si="26"/>
        <v>0</v>
      </c>
      <c r="H365" s="287">
        <f t="shared" si="26"/>
        <v>0</v>
      </c>
      <c r="I365" s="287">
        <f t="shared" si="26"/>
        <v>0</v>
      </c>
      <c r="J365" s="357">
        <f t="shared" si="26"/>
        <v>0</v>
      </c>
      <c r="K365" s="287">
        <f t="shared" si="26"/>
        <v>0</v>
      </c>
      <c r="L365" s="287">
        <f t="shared" si="26"/>
        <v>0</v>
      </c>
      <c r="M365" s="287">
        <f t="shared" si="26"/>
        <v>0</v>
      </c>
      <c r="N365" s="357">
        <f t="shared" si="26"/>
        <v>0</v>
      </c>
      <c r="O365" s="357"/>
      <c r="P365" s="357">
        <f>SUM(P187:P364)</f>
        <v>0</v>
      </c>
      <c r="Q365" s="357"/>
      <c r="R365" s="287">
        <f t="shared" ref="R365:V365" si="27">SUM(R187:R364)</f>
        <v>0</v>
      </c>
      <c r="S365" s="287">
        <f t="shared" si="27"/>
        <v>0</v>
      </c>
      <c r="T365" s="287">
        <f t="shared" si="27"/>
        <v>0</v>
      </c>
      <c r="U365" s="287">
        <f t="shared" si="27"/>
        <v>0</v>
      </c>
      <c r="V365" s="287">
        <f t="shared" si="27"/>
        <v>0</v>
      </c>
      <c r="W365" s="287">
        <f t="shared" ref="W365" si="28">SUM(W187:W364)</f>
        <v>0</v>
      </c>
      <c r="X365" s="298">
        <f t="shared" ref="X365" si="29">SUM(X187:X364)</f>
        <v>0</v>
      </c>
      <c r="Y365" s="344">
        <f t="shared" ref="Y365" si="30">SUM(Y187:Y364)</f>
        <v>0</v>
      </c>
      <c r="Z365" s="344">
        <f t="shared" ref="Z365" si="31">SUM(Z187:Z364)</f>
        <v>0</v>
      </c>
    </row>
  </sheetData>
  <sheetProtection algorithmName="SHA-512" hashValue="xvML0YMez0JGONHjKozSXS33uiPCeOmi18CtD3rGupmjgdOdSo2iXPb1ApedhXRALxGBqQ0L0ruKUArO0zGuxA==" saltValue="cfoIeFPQMbr02Ukh2w5BHg==" spinCount="100000" sheet="1" objects="1" scenarios="1"/>
  <autoFilter ref="A2:Z180" xr:uid="{00000000-0001-0000-0100-000000000000}"/>
  <conditionalFormatting sqref="AM1:AM1048576">
    <cfRule type="cellIs" dxfId="0" priority="1" operator="greaterThan">
      <formula>0</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9511E-9FC9-4D8C-B75A-0F823D1BF43D}">
  <dimension ref="A1:F183"/>
  <sheetViews>
    <sheetView workbookViewId="0">
      <selection activeCell="E5" sqref="E5"/>
    </sheetView>
  </sheetViews>
  <sheetFormatPr defaultRowHeight="12.5" x14ac:dyDescent="0.25"/>
  <cols>
    <col min="1" max="1" width="4.75" bestFit="1" customWidth="1"/>
    <col min="2" max="2" width="11.75" bestFit="1" customWidth="1"/>
    <col min="3" max="3" width="19.08203125" bestFit="1" customWidth="1"/>
    <col min="5" max="5" width="11.75" bestFit="1" customWidth="1"/>
    <col min="6" max="6" width="14" bestFit="1" customWidth="1"/>
  </cols>
  <sheetData>
    <row r="1" spans="1:6" x14ac:dyDescent="0.25">
      <c r="A1">
        <v>1</v>
      </c>
      <c r="B1">
        <v>2</v>
      </c>
      <c r="C1">
        <v>3</v>
      </c>
      <c r="E1" t="s">
        <v>991</v>
      </c>
      <c r="F1" t="s">
        <v>990</v>
      </c>
    </row>
    <row r="2" spans="1:6" x14ac:dyDescent="0.25">
      <c r="E2" t="s">
        <v>989</v>
      </c>
      <c r="F2" t="s">
        <v>988</v>
      </c>
    </row>
    <row r="3" spans="1:6" x14ac:dyDescent="0.25">
      <c r="E3" t="s">
        <v>987</v>
      </c>
      <c r="F3" t="s">
        <v>590</v>
      </c>
    </row>
    <row r="4" spans="1:6" x14ac:dyDescent="0.25">
      <c r="A4" t="s">
        <v>66</v>
      </c>
      <c r="B4" t="s">
        <v>67</v>
      </c>
      <c r="C4" t="s">
        <v>68</v>
      </c>
    </row>
    <row r="5" spans="1:6" x14ac:dyDescent="0.25">
      <c r="A5" t="s">
        <v>34</v>
      </c>
      <c r="B5" t="s">
        <v>90</v>
      </c>
      <c r="C5" t="s">
        <v>91</v>
      </c>
      <c r="E5">
        <v>214049.99</v>
      </c>
      <c r="F5">
        <v>0</v>
      </c>
    </row>
    <row r="6" spans="1:6" x14ac:dyDescent="0.25">
      <c r="A6" t="s">
        <v>92</v>
      </c>
      <c r="B6" t="s">
        <v>90</v>
      </c>
      <c r="C6" t="s">
        <v>93</v>
      </c>
      <c r="E6">
        <v>0</v>
      </c>
      <c r="F6">
        <v>0</v>
      </c>
    </row>
    <row r="7" spans="1:6" x14ac:dyDescent="0.25">
      <c r="A7" t="s">
        <v>94</v>
      </c>
      <c r="B7" t="s">
        <v>90</v>
      </c>
      <c r="C7" t="s">
        <v>95</v>
      </c>
      <c r="E7">
        <v>0</v>
      </c>
      <c r="F7">
        <v>0</v>
      </c>
    </row>
    <row r="8" spans="1:6" x14ac:dyDescent="0.25">
      <c r="A8" t="s">
        <v>96</v>
      </c>
      <c r="B8" t="s">
        <v>90</v>
      </c>
      <c r="C8" t="s">
        <v>97</v>
      </c>
      <c r="E8">
        <v>0</v>
      </c>
      <c r="F8">
        <v>0</v>
      </c>
    </row>
    <row r="9" spans="1:6" x14ac:dyDescent="0.25">
      <c r="A9" t="s">
        <v>98</v>
      </c>
      <c r="B9" t="s">
        <v>90</v>
      </c>
      <c r="C9" t="s">
        <v>99</v>
      </c>
      <c r="E9">
        <v>0</v>
      </c>
      <c r="F9">
        <v>0</v>
      </c>
    </row>
    <row r="10" spans="1:6" x14ac:dyDescent="0.25">
      <c r="A10" t="s">
        <v>100</v>
      </c>
      <c r="B10" t="s">
        <v>90</v>
      </c>
      <c r="C10" t="s">
        <v>101</v>
      </c>
      <c r="E10">
        <v>0</v>
      </c>
      <c r="F10">
        <v>0</v>
      </c>
    </row>
    <row r="11" spans="1:6" x14ac:dyDescent="0.25">
      <c r="A11" t="s">
        <v>102</v>
      </c>
      <c r="B11" t="s">
        <v>90</v>
      </c>
      <c r="C11" t="s">
        <v>103</v>
      </c>
      <c r="E11">
        <v>518609.48</v>
      </c>
      <c r="F11">
        <v>0</v>
      </c>
    </row>
    <row r="12" spans="1:6" x14ac:dyDescent="0.25">
      <c r="A12" t="s">
        <v>104</v>
      </c>
      <c r="B12" t="s">
        <v>105</v>
      </c>
      <c r="C12" t="s">
        <v>105</v>
      </c>
      <c r="E12">
        <v>0</v>
      </c>
      <c r="F12">
        <v>0</v>
      </c>
    </row>
    <row r="13" spans="1:6" x14ac:dyDescent="0.25">
      <c r="A13" t="s">
        <v>106</v>
      </c>
      <c r="B13" t="s">
        <v>105</v>
      </c>
      <c r="C13" t="s">
        <v>107</v>
      </c>
      <c r="E13">
        <v>0</v>
      </c>
      <c r="F13">
        <v>0</v>
      </c>
    </row>
    <row r="14" spans="1:6" x14ac:dyDescent="0.25">
      <c r="A14" t="s">
        <v>108</v>
      </c>
      <c r="B14" t="s">
        <v>109</v>
      </c>
      <c r="C14" t="s">
        <v>110</v>
      </c>
      <c r="E14">
        <v>0</v>
      </c>
      <c r="F14">
        <v>0</v>
      </c>
    </row>
    <row r="15" spans="1:6" x14ac:dyDescent="0.25">
      <c r="A15" t="s">
        <v>111</v>
      </c>
      <c r="B15" t="s">
        <v>109</v>
      </c>
      <c r="C15" t="s">
        <v>112</v>
      </c>
      <c r="E15">
        <v>0</v>
      </c>
      <c r="F15">
        <v>0</v>
      </c>
    </row>
    <row r="16" spans="1:6" x14ac:dyDescent="0.25">
      <c r="A16" t="s">
        <v>113</v>
      </c>
      <c r="B16" t="s">
        <v>109</v>
      </c>
      <c r="C16" t="s">
        <v>114</v>
      </c>
      <c r="E16">
        <v>6454001.4400000004</v>
      </c>
      <c r="F16">
        <v>387510</v>
      </c>
    </row>
    <row r="17" spans="1:6" x14ac:dyDescent="0.25">
      <c r="A17" t="s">
        <v>115</v>
      </c>
      <c r="B17" t="s">
        <v>109</v>
      </c>
      <c r="C17" t="s">
        <v>116</v>
      </c>
      <c r="E17">
        <v>2315346.59</v>
      </c>
      <c r="F17">
        <v>0</v>
      </c>
    </row>
    <row r="18" spans="1:6" x14ac:dyDescent="0.25">
      <c r="A18" t="s">
        <v>117</v>
      </c>
      <c r="B18" t="s">
        <v>109</v>
      </c>
      <c r="C18" t="s">
        <v>118</v>
      </c>
      <c r="E18">
        <v>6508.04</v>
      </c>
      <c r="F18">
        <v>0</v>
      </c>
    </row>
    <row r="19" spans="1:6" x14ac:dyDescent="0.25">
      <c r="A19" t="s">
        <v>119</v>
      </c>
      <c r="B19" t="s">
        <v>109</v>
      </c>
      <c r="C19" t="s">
        <v>120</v>
      </c>
      <c r="E19">
        <v>0</v>
      </c>
      <c r="F19">
        <v>0</v>
      </c>
    </row>
    <row r="20" spans="1:6" x14ac:dyDescent="0.25">
      <c r="A20" t="s">
        <v>121</v>
      </c>
      <c r="B20" t="s">
        <v>109</v>
      </c>
      <c r="C20" t="s">
        <v>122</v>
      </c>
      <c r="E20">
        <v>0</v>
      </c>
      <c r="F20">
        <v>0</v>
      </c>
    </row>
    <row r="21" spans="1:6" x14ac:dyDescent="0.25">
      <c r="A21" t="s">
        <v>123</v>
      </c>
      <c r="B21" t="s">
        <v>124</v>
      </c>
      <c r="C21" t="s">
        <v>124</v>
      </c>
      <c r="E21">
        <v>0</v>
      </c>
      <c r="F21">
        <v>0</v>
      </c>
    </row>
    <row r="22" spans="1:6" x14ac:dyDescent="0.25">
      <c r="A22" t="s">
        <v>125</v>
      </c>
      <c r="B22" t="s">
        <v>126</v>
      </c>
      <c r="C22" t="s">
        <v>127</v>
      </c>
      <c r="E22">
        <v>0</v>
      </c>
      <c r="F22">
        <v>0</v>
      </c>
    </row>
    <row r="23" spans="1:6" x14ac:dyDescent="0.25">
      <c r="A23" t="s">
        <v>128</v>
      </c>
      <c r="B23" t="s">
        <v>126</v>
      </c>
      <c r="C23" t="s">
        <v>129</v>
      </c>
      <c r="E23">
        <v>0</v>
      </c>
      <c r="F23">
        <v>0</v>
      </c>
    </row>
    <row r="24" spans="1:6" x14ac:dyDescent="0.25">
      <c r="A24" t="s">
        <v>130</v>
      </c>
      <c r="B24" t="s">
        <v>126</v>
      </c>
      <c r="C24" t="s">
        <v>131</v>
      </c>
      <c r="E24">
        <v>0</v>
      </c>
      <c r="F24">
        <v>0</v>
      </c>
    </row>
    <row r="25" spans="1:6" x14ac:dyDescent="0.25">
      <c r="A25" t="s">
        <v>132</v>
      </c>
      <c r="B25" t="s">
        <v>126</v>
      </c>
      <c r="C25" t="s">
        <v>133</v>
      </c>
      <c r="E25">
        <v>0</v>
      </c>
      <c r="F25">
        <v>0</v>
      </c>
    </row>
    <row r="26" spans="1:6" x14ac:dyDescent="0.25">
      <c r="A26" t="s">
        <v>134</v>
      </c>
      <c r="B26" t="s">
        <v>126</v>
      </c>
      <c r="C26" t="s">
        <v>135</v>
      </c>
      <c r="E26">
        <v>4645.62</v>
      </c>
      <c r="F26">
        <v>0</v>
      </c>
    </row>
    <row r="27" spans="1:6" x14ac:dyDescent="0.25">
      <c r="A27" t="s">
        <v>136</v>
      </c>
      <c r="B27" t="s">
        <v>137</v>
      </c>
      <c r="C27" t="s">
        <v>138</v>
      </c>
      <c r="E27">
        <v>0</v>
      </c>
      <c r="F27">
        <v>0</v>
      </c>
    </row>
    <row r="28" spans="1:6" x14ac:dyDescent="0.25">
      <c r="A28" t="s">
        <v>139</v>
      </c>
      <c r="B28" t="s">
        <v>137</v>
      </c>
      <c r="C28" t="s">
        <v>140</v>
      </c>
      <c r="E28">
        <v>125782.95</v>
      </c>
      <c r="F28">
        <v>0</v>
      </c>
    </row>
    <row r="29" spans="1:6" x14ac:dyDescent="0.25">
      <c r="A29" t="s">
        <v>141</v>
      </c>
      <c r="B29" t="s">
        <v>142</v>
      </c>
      <c r="C29" t="s">
        <v>143</v>
      </c>
      <c r="E29">
        <v>0</v>
      </c>
      <c r="F29">
        <v>0</v>
      </c>
    </row>
    <row r="30" spans="1:6" x14ac:dyDescent="0.25">
      <c r="A30" t="s">
        <v>144</v>
      </c>
      <c r="B30" t="s">
        <v>142</v>
      </c>
      <c r="C30" t="s">
        <v>142</v>
      </c>
      <c r="E30">
        <v>0</v>
      </c>
      <c r="F30">
        <v>0</v>
      </c>
    </row>
    <row r="31" spans="1:6" x14ac:dyDescent="0.25">
      <c r="A31" t="s">
        <v>145</v>
      </c>
      <c r="B31" t="s">
        <v>146</v>
      </c>
      <c r="C31" t="s">
        <v>147</v>
      </c>
      <c r="E31">
        <v>0</v>
      </c>
      <c r="F31">
        <v>0</v>
      </c>
    </row>
    <row r="32" spans="1:6" x14ac:dyDescent="0.25">
      <c r="A32" t="s">
        <v>148</v>
      </c>
      <c r="B32" t="s">
        <v>146</v>
      </c>
      <c r="C32" t="s">
        <v>149</v>
      </c>
      <c r="E32">
        <v>0</v>
      </c>
      <c r="F32">
        <v>0</v>
      </c>
    </row>
    <row r="33" spans="1:6" x14ac:dyDescent="0.25">
      <c r="A33" t="s">
        <v>150</v>
      </c>
      <c r="B33" t="s">
        <v>151</v>
      </c>
      <c r="C33" t="s">
        <v>152</v>
      </c>
      <c r="E33">
        <v>73409.77</v>
      </c>
      <c r="F33">
        <v>0</v>
      </c>
    </row>
    <row r="34" spans="1:6" x14ac:dyDescent="0.25">
      <c r="A34" t="s">
        <v>153</v>
      </c>
      <c r="B34" t="s">
        <v>151</v>
      </c>
      <c r="C34" t="s">
        <v>151</v>
      </c>
      <c r="E34">
        <v>0</v>
      </c>
      <c r="F34">
        <v>0</v>
      </c>
    </row>
    <row r="35" spans="1:6" x14ac:dyDescent="0.25">
      <c r="A35" t="s">
        <v>154</v>
      </c>
      <c r="B35" t="s">
        <v>155</v>
      </c>
      <c r="C35" t="s">
        <v>155</v>
      </c>
      <c r="E35">
        <v>0</v>
      </c>
      <c r="F35">
        <v>0</v>
      </c>
    </row>
    <row r="36" spans="1:6" x14ac:dyDescent="0.25">
      <c r="A36" t="s">
        <v>156</v>
      </c>
      <c r="B36" t="s">
        <v>157</v>
      </c>
      <c r="C36" t="s">
        <v>158</v>
      </c>
      <c r="E36">
        <v>189856.48</v>
      </c>
      <c r="F36">
        <v>0</v>
      </c>
    </row>
    <row r="37" spans="1:6" x14ac:dyDescent="0.25">
      <c r="A37" t="s">
        <v>159</v>
      </c>
      <c r="B37" t="s">
        <v>157</v>
      </c>
      <c r="C37" t="s">
        <v>160</v>
      </c>
      <c r="E37">
        <v>0</v>
      </c>
      <c r="F37">
        <v>0</v>
      </c>
    </row>
    <row r="38" spans="1:6" x14ac:dyDescent="0.25">
      <c r="A38" t="s">
        <v>161</v>
      </c>
      <c r="B38" t="s">
        <v>157</v>
      </c>
      <c r="C38" t="s">
        <v>162</v>
      </c>
      <c r="E38">
        <v>0</v>
      </c>
      <c r="F38">
        <v>0</v>
      </c>
    </row>
    <row r="39" spans="1:6" x14ac:dyDescent="0.25">
      <c r="A39" t="s">
        <v>163</v>
      </c>
      <c r="B39" t="s">
        <v>164</v>
      </c>
      <c r="C39" t="s">
        <v>165</v>
      </c>
      <c r="E39">
        <v>0</v>
      </c>
      <c r="F39">
        <v>0</v>
      </c>
    </row>
    <row r="40" spans="1:6" x14ac:dyDescent="0.25">
      <c r="A40" t="s">
        <v>166</v>
      </c>
      <c r="B40" t="s">
        <v>164</v>
      </c>
      <c r="C40" t="s">
        <v>167</v>
      </c>
      <c r="E40">
        <v>0</v>
      </c>
      <c r="F40">
        <v>0</v>
      </c>
    </row>
    <row r="41" spans="1:6" x14ac:dyDescent="0.25">
      <c r="A41" t="s">
        <v>168</v>
      </c>
      <c r="B41" t="s">
        <v>169</v>
      </c>
      <c r="C41" t="s">
        <v>169</v>
      </c>
      <c r="E41">
        <v>0</v>
      </c>
      <c r="F41">
        <v>0</v>
      </c>
    </row>
    <row r="42" spans="1:6" x14ac:dyDescent="0.25">
      <c r="A42" t="s">
        <v>170</v>
      </c>
      <c r="B42" t="s">
        <v>171</v>
      </c>
      <c r="C42" t="s">
        <v>172</v>
      </c>
      <c r="E42">
        <v>0</v>
      </c>
      <c r="F42">
        <v>0</v>
      </c>
    </row>
    <row r="43" spans="1:6" x14ac:dyDescent="0.25">
      <c r="A43" t="s">
        <v>173</v>
      </c>
      <c r="B43" t="s">
        <v>174</v>
      </c>
      <c r="C43" t="s">
        <v>174</v>
      </c>
      <c r="E43">
        <v>0</v>
      </c>
      <c r="F43">
        <v>0</v>
      </c>
    </row>
    <row r="44" spans="1:6" x14ac:dyDescent="0.25">
      <c r="A44" t="s">
        <v>175</v>
      </c>
      <c r="B44" t="s">
        <v>176</v>
      </c>
      <c r="C44" t="s">
        <v>176</v>
      </c>
      <c r="E44">
        <v>0</v>
      </c>
      <c r="F44">
        <v>0</v>
      </c>
    </row>
    <row r="45" spans="1:6" x14ac:dyDescent="0.25">
      <c r="A45" t="s">
        <v>177</v>
      </c>
      <c r="B45" t="s">
        <v>178</v>
      </c>
      <c r="C45" t="s">
        <v>178</v>
      </c>
      <c r="E45">
        <v>0</v>
      </c>
      <c r="F45">
        <v>0</v>
      </c>
    </row>
    <row r="46" spans="1:6" x14ac:dyDescent="0.25">
      <c r="A46" t="s">
        <v>179</v>
      </c>
      <c r="B46" t="s">
        <v>180</v>
      </c>
      <c r="C46" t="s">
        <v>180</v>
      </c>
      <c r="E46">
        <v>0</v>
      </c>
      <c r="F46">
        <v>0</v>
      </c>
    </row>
    <row r="47" spans="1:6" x14ac:dyDescent="0.25">
      <c r="A47" t="s">
        <v>181</v>
      </c>
      <c r="B47" t="s">
        <v>182</v>
      </c>
      <c r="C47" t="s">
        <v>182</v>
      </c>
      <c r="E47">
        <v>2116980.9</v>
      </c>
      <c r="F47">
        <v>0</v>
      </c>
    </row>
    <row r="48" spans="1:6" x14ac:dyDescent="0.25">
      <c r="A48" t="s">
        <v>183</v>
      </c>
      <c r="B48" t="s">
        <v>184</v>
      </c>
      <c r="C48" t="s">
        <v>185</v>
      </c>
      <c r="E48">
        <v>0</v>
      </c>
      <c r="F48">
        <v>0</v>
      </c>
    </row>
    <row r="49" spans="1:6" x14ac:dyDescent="0.25">
      <c r="A49" t="s">
        <v>186</v>
      </c>
      <c r="B49" t="s">
        <v>184</v>
      </c>
      <c r="C49" t="s">
        <v>187</v>
      </c>
      <c r="E49">
        <v>0</v>
      </c>
      <c r="F49">
        <v>0</v>
      </c>
    </row>
    <row r="50" spans="1:6" x14ac:dyDescent="0.25">
      <c r="A50" t="s">
        <v>188</v>
      </c>
      <c r="B50" t="s">
        <v>184</v>
      </c>
      <c r="C50" t="s">
        <v>189</v>
      </c>
      <c r="E50">
        <v>0</v>
      </c>
      <c r="F50">
        <v>0</v>
      </c>
    </row>
    <row r="51" spans="1:6" x14ac:dyDescent="0.25">
      <c r="A51" t="s">
        <v>190</v>
      </c>
      <c r="B51" t="s">
        <v>184</v>
      </c>
      <c r="C51" t="s">
        <v>184</v>
      </c>
      <c r="E51">
        <v>0</v>
      </c>
      <c r="F51">
        <v>0</v>
      </c>
    </row>
    <row r="52" spans="1:6" x14ac:dyDescent="0.25">
      <c r="A52" t="s">
        <v>191</v>
      </c>
      <c r="B52" t="s">
        <v>184</v>
      </c>
      <c r="C52" t="s">
        <v>192</v>
      </c>
      <c r="E52">
        <v>0</v>
      </c>
      <c r="F52">
        <v>0</v>
      </c>
    </row>
    <row r="53" spans="1:6" x14ac:dyDescent="0.25">
      <c r="A53" t="s">
        <v>193</v>
      </c>
      <c r="B53" t="s">
        <v>194</v>
      </c>
      <c r="C53" t="s">
        <v>195</v>
      </c>
      <c r="E53">
        <v>0</v>
      </c>
      <c r="F53">
        <v>0</v>
      </c>
    </row>
    <row r="54" spans="1:6" x14ac:dyDescent="0.25">
      <c r="A54" t="s">
        <v>196</v>
      </c>
      <c r="B54" t="s">
        <v>194</v>
      </c>
      <c r="C54" t="s">
        <v>197</v>
      </c>
      <c r="E54">
        <v>0</v>
      </c>
      <c r="F54">
        <v>0</v>
      </c>
    </row>
    <row r="55" spans="1:6" x14ac:dyDescent="0.25">
      <c r="A55" t="s">
        <v>198</v>
      </c>
      <c r="B55" t="s">
        <v>194</v>
      </c>
      <c r="C55" t="s">
        <v>199</v>
      </c>
      <c r="E55">
        <v>0</v>
      </c>
      <c r="F55">
        <v>0</v>
      </c>
    </row>
    <row r="56" spans="1:6" x14ac:dyDescent="0.25">
      <c r="A56" t="s">
        <v>200</v>
      </c>
      <c r="B56" t="s">
        <v>194</v>
      </c>
      <c r="C56" t="s">
        <v>201</v>
      </c>
      <c r="E56">
        <v>0</v>
      </c>
      <c r="F56">
        <v>0</v>
      </c>
    </row>
    <row r="57" spans="1:6" x14ac:dyDescent="0.25">
      <c r="A57" t="s">
        <v>202</v>
      </c>
      <c r="B57" t="s">
        <v>194</v>
      </c>
      <c r="C57" t="s">
        <v>203</v>
      </c>
      <c r="E57">
        <v>0</v>
      </c>
      <c r="F57">
        <v>0</v>
      </c>
    </row>
    <row r="58" spans="1:6" x14ac:dyDescent="0.25">
      <c r="A58" t="s">
        <v>204</v>
      </c>
      <c r="B58" t="s">
        <v>194</v>
      </c>
      <c r="C58" t="s">
        <v>205</v>
      </c>
      <c r="E58">
        <v>0</v>
      </c>
      <c r="F58">
        <v>0</v>
      </c>
    </row>
    <row r="59" spans="1:6" x14ac:dyDescent="0.25">
      <c r="A59" t="s">
        <v>206</v>
      </c>
      <c r="B59" t="s">
        <v>194</v>
      </c>
      <c r="C59" t="s">
        <v>207</v>
      </c>
      <c r="E59">
        <v>0</v>
      </c>
      <c r="F59">
        <v>0</v>
      </c>
    </row>
    <row r="60" spans="1:6" x14ac:dyDescent="0.25">
      <c r="A60" t="s">
        <v>208</v>
      </c>
      <c r="B60" t="s">
        <v>194</v>
      </c>
      <c r="C60" t="s">
        <v>209</v>
      </c>
      <c r="E60">
        <v>0</v>
      </c>
      <c r="F60">
        <v>0</v>
      </c>
    </row>
    <row r="61" spans="1:6" x14ac:dyDescent="0.25">
      <c r="A61" t="s">
        <v>210</v>
      </c>
      <c r="B61" t="s">
        <v>194</v>
      </c>
      <c r="C61" t="s">
        <v>211</v>
      </c>
      <c r="E61">
        <v>0</v>
      </c>
      <c r="F61">
        <v>0</v>
      </c>
    </row>
    <row r="62" spans="1:6" x14ac:dyDescent="0.25">
      <c r="A62" t="s">
        <v>212</v>
      </c>
      <c r="B62" t="s">
        <v>194</v>
      </c>
      <c r="C62" t="s">
        <v>213</v>
      </c>
      <c r="E62">
        <v>0</v>
      </c>
      <c r="F62">
        <v>0</v>
      </c>
    </row>
    <row r="63" spans="1:6" x14ac:dyDescent="0.25">
      <c r="A63" t="s">
        <v>214</v>
      </c>
      <c r="B63" t="s">
        <v>194</v>
      </c>
      <c r="C63" t="s">
        <v>215</v>
      </c>
      <c r="E63">
        <v>0</v>
      </c>
      <c r="F63">
        <v>0</v>
      </c>
    </row>
    <row r="64" spans="1:6" x14ac:dyDescent="0.25">
      <c r="A64" t="s">
        <v>216</v>
      </c>
      <c r="B64" t="s">
        <v>194</v>
      </c>
      <c r="C64" t="s">
        <v>217</v>
      </c>
      <c r="E64">
        <v>0</v>
      </c>
      <c r="F64">
        <v>0</v>
      </c>
    </row>
    <row r="65" spans="1:6" x14ac:dyDescent="0.25">
      <c r="A65" t="s">
        <v>218</v>
      </c>
      <c r="B65" t="s">
        <v>194</v>
      </c>
      <c r="C65" t="s">
        <v>219</v>
      </c>
      <c r="E65">
        <v>0</v>
      </c>
      <c r="F65">
        <v>0</v>
      </c>
    </row>
    <row r="66" spans="1:6" x14ac:dyDescent="0.25">
      <c r="A66" t="s">
        <v>220</v>
      </c>
      <c r="B66" t="s">
        <v>194</v>
      </c>
      <c r="C66" t="s">
        <v>221</v>
      </c>
      <c r="E66">
        <v>0</v>
      </c>
      <c r="F66">
        <v>0</v>
      </c>
    </row>
    <row r="67" spans="1:6" x14ac:dyDescent="0.25">
      <c r="A67" t="s">
        <v>222</v>
      </c>
      <c r="B67" t="s">
        <v>194</v>
      </c>
      <c r="C67" t="s">
        <v>223</v>
      </c>
      <c r="E67">
        <v>40575.480000000003</v>
      </c>
      <c r="F67">
        <v>0</v>
      </c>
    </row>
    <row r="68" spans="1:6" x14ac:dyDescent="0.25">
      <c r="A68" t="s">
        <v>224</v>
      </c>
      <c r="B68" t="s">
        <v>225</v>
      </c>
      <c r="C68" t="s">
        <v>226</v>
      </c>
      <c r="E68">
        <v>0</v>
      </c>
      <c r="F68">
        <v>0</v>
      </c>
    </row>
    <row r="69" spans="1:6" x14ac:dyDescent="0.25">
      <c r="A69" t="s">
        <v>227</v>
      </c>
      <c r="B69" t="s">
        <v>225</v>
      </c>
      <c r="C69" t="s">
        <v>228</v>
      </c>
      <c r="E69">
        <v>0</v>
      </c>
      <c r="F69">
        <v>0</v>
      </c>
    </row>
    <row r="70" spans="1:6" x14ac:dyDescent="0.25">
      <c r="A70" t="s">
        <v>229</v>
      </c>
      <c r="B70" t="s">
        <v>225</v>
      </c>
      <c r="C70" t="s">
        <v>230</v>
      </c>
      <c r="E70">
        <v>0</v>
      </c>
      <c r="F70">
        <v>0</v>
      </c>
    </row>
    <row r="71" spans="1:6" x14ac:dyDescent="0.25">
      <c r="A71" t="s">
        <v>231</v>
      </c>
      <c r="B71" t="s">
        <v>232</v>
      </c>
      <c r="C71" t="s">
        <v>233</v>
      </c>
      <c r="E71">
        <v>0</v>
      </c>
      <c r="F71">
        <v>0</v>
      </c>
    </row>
    <row r="72" spans="1:6" x14ac:dyDescent="0.25">
      <c r="A72" t="s">
        <v>234</v>
      </c>
      <c r="B72" t="s">
        <v>232</v>
      </c>
      <c r="C72" t="s">
        <v>235</v>
      </c>
      <c r="E72">
        <v>0</v>
      </c>
      <c r="F72">
        <v>0</v>
      </c>
    </row>
    <row r="73" spans="1:6" x14ac:dyDescent="0.25">
      <c r="A73" t="s">
        <v>236</v>
      </c>
      <c r="B73" t="s">
        <v>232</v>
      </c>
      <c r="C73" t="s">
        <v>237</v>
      </c>
      <c r="E73">
        <v>0</v>
      </c>
      <c r="F73">
        <v>0</v>
      </c>
    </row>
    <row r="74" spans="1:6" x14ac:dyDescent="0.25">
      <c r="A74" t="s">
        <v>238</v>
      </c>
      <c r="B74" t="s">
        <v>239</v>
      </c>
      <c r="C74" t="s">
        <v>239</v>
      </c>
      <c r="E74">
        <v>0</v>
      </c>
      <c r="F74">
        <v>0</v>
      </c>
    </row>
    <row r="75" spans="1:6" x14ac:dyDescent="0.25">
      <c r="A75" t="s">
        <v>240</v>
      </c>
      <c r="B75" t="s">
        <v>241</v>
      </c>
      <c r="C75" t="s">
        <v>242</v>
      </c>
      <c r="E75">
        <v>0</v>
      </c>
      <c r="F75">
        <v>0</v>
      </c>
    </row>
    <row r="76" spans="1:6" x14ac:dyDescent="0.25">
      <c r="A76" t="s">
        <v>243</v>
      </c>
      <c r="B76" t="s">
        <v>241</v>
      </c>
      <c r="C76" t="s">
        <v>244</v>
      </c>
      <c r="E76">
        <v>784125.51</v>
      </c>
      <c r="F76">
        <v>0</v>
      </c>
    </row>
    <row r="77" spans="1:6" x14ac:dyDescent="0.25">
      <c r="A77" t="s">
        <v>245</v>
      </c>
      <c r="B77" t="s">
        <v>246</v>
      </c>
      <c r="C77" t="s">
        <v>246</v>
      </c>
      <c r="E77">
        <v>0</v>
      </c>
      <c r="F77">
        <v>0</v>
      </c>
    </row>
    <row r="78" spans="1:6" x14ac:dyDescent="0.25">
      <c r="A78" t="s">
        <v>247</v>
      </c>
      <c r="B78" t="s">
        <v>248</v>
      </c>
      <c r="C78" t="s">
        <v>248</v>
      </c>
      <c r="E78">
        <v>0</v>
      </c>
      <c r="F78">
        <v>0</v>
      </c>
    </row>
    <row r="79" spans="1:6" x14ac:dyDescent="0.25">
      <c r="A79" t="s">
        <v>249</v>
      </c>
      <c r="B79" t="s">
        <v>250</v>
      </c>
      <c r="C79" t="s">
        <v>250</v>
      </c>
      <c r="E79">
        <v>0</v>
      </c>
      <c r="F79">
        <v>0</v>
      </c>
    </row>
    <row r="80" spans="1:6" x14ac:dyDescent="0.25">
      <c r="A80" t="s">
        <v>251</v>
      </c>
      <c r="B80" t="s">
        <v>250</v>
      </c>
      <c r="C80" t="s">
        <v>252</v>
      </c>
      <c r="E80">
        <v>0</v>
      </c>
      <c r="F80">
        <v>0</v>
      </c>
    </row>
    <row r="81" spans="1:6" x14ac:dyDescent="0.25">
      <c r="A81" t="s">
        <v>253</v>
      </c>
      <c r="B81" t="s">
        <v>254</v>
      </c>
      <c r="C81" t="s">
        <v>255</v>
      </c>
      <c r="E81">
        <v>0</v>
      </c>
      <c r="F81">
        <v>0</v>
      </c>
    </row>
    <row r="82" spans="1:6" x14ac:dyDescent="0.25">
      <c r="A82" t="s">
        <v>256</v>
      </c>
      <c r="B82" t="s">
        <v>257</v>
      </c>
      <c r="C82" t="s">
        <v>257</v>
      </c>
      <c r="E82">
        <v>0</v>
      </c>
      <c r="F82">
        <v>0</v>
      </c>
    </row>
    <row r="83" spans="1:6" x14ac:dyDescent="0.25">
      <c r="A83" t="s">
        <v>258</v>
      </c>
      <c r="B83" t="s">
        <v>187</v>
      </c>
      <c r="C83" t="s">
        <v>259</v>
      </c>
      <c r="E83">
        <v>0</v>
      </c>
      <c r="F83">
        <v>0</v>
      </c>
    </row>
    <row r="84" spans="1:6" x14ac:dyDescent="0.25">
      <c r="A84" t="s">
        <v>260</v>
      </c>
      <c r="B84" t="s">
        <v>187</v>
      </c>
      <c r="C84" t="s">
        <v>261</v>
      </c>
      <c r="E84">
        <v>64538.16</v>
      </c>
      <c r="F84">
        <v>0</v>
      </c>
    </row>
    <row r="85" spans="1:6" x14ac:dyDescent="0.25">
      <c r="A85" t="s">
        <v>262</v>
      </c>
      <c r="B85" t="s">
        <v>152</v>
      </c>
      <c r="C85" t="s">
        <v>263</v>
      </c>
      <c r="E85">
        <v>0</v>
      </c>
      <c r="F85">
        <v>0</v>
      </c>
    </row>
    <row r="86" spans="1:6" x14ac:dyDescent="0.25">
      <c r="A86" t="s">
        <v>264</v>
      </c>
      <c r="B86" t="s">
        <v>152</v>
      </c>
      <c r="C86" t="s">
        <v>265</v>
      </c>
      <c r="E86">
        <v>139360.24</v>
      </c>
      <c r="F86">
        <v>0</v>
      </c>
    </row>
    <row r="87" spans="1:6" x14ac:dyDescent="0.25">
      <c r="A87" t="s">
        <v>266</v>
      </c>
      <c r="B87" t="s">
        <v>152</v>
      </c>
      <c r="C87" t="s">
        <v>267</v>
      </c>
      <c r="E87">
        <v>0</v>
      </c>
      <c r="F87">
        <v>0</v>
      </c>
    </row>
    <row r="88" spans="1:6" x14ac:dyDescent="0.25">
      <c r="A88" t="s">
        <v>268</v>
      </c>
      <c r="B88" t="s">
        <v>152</v>
      </c>
      <c r="C88" t="s">
        <v>269</v>
      </c>
      <c r="E88">
        <v>0</v>
      </c>
      <c r="F88">
        <v>0</v>
      </c>
    </row>
    <row r="89" spans="1:6" x14ac:dyDescent="0.25">
      <c r="A89" t="s">
        <v>270</v>
      </c>
      <c r="B89" t="s">
        <v>152</v>
      </c>
      <c r="C89" t="s">
        <v>271</v>
      </c>
      <c r="E89">
        <v>0</v>
      </c>
      <c r="F89">
        <v>0</v>
      </c>
    </row>
    <row r="90" spans="1:6" x14ac:dyDescent="0.25">
      <c r="A90" t="s">
        <v>272</v>
      </c>
      <c r="B90" t="s">
        <v>273</v>
      </c>
      <c r="C90" t="s">
        <v>273</v>
      </c>
      <c r="E90">
        <v>0</v>
      </c>
      <c r="F90">
        <v>0</v>
      </c>
    </row>
    <row r="91" spans="1:6" x14ac:dyDescent="0.25">
      <c r="A91" t="s">
        <v>274</v>
      </c>
      <c r="B91" t="s">
        <v>275</v>
      </c>
      <c r="C91" t="s">
        <v>276</v>
      </c>
      <c r="E91">
        <v>2621262.39</v>
      </c>
      <c r="F91">
        <v>0</v>
      </c>
    </row>
    <row r="92" spans="1:6" x14ac:dyDescent="0.25">
      <c r="A92" t="s">
        <v>277</v>
      </c>
      <c r="B92" t="s">
        <v>275</v>
      </c>
      <c r="C92" t="s">
        <v>278</v>
      </c>
      <c r="E92">
        <v>34407.54</v>
      </c>
      <c r="F92">
        <v>0</v>
      </c>
    </row>
    <row r="93" spans="1:6" x14ac:dyDescent="0.25">
      <c r="A93" t="s">
        <v>279</v>
      </c>
      <c r="B93" t="s">
        <v>275</v>
      </c>
      <c r="C93" t="s">
        <v>280</v>
      </c>
      <c r="E93">
        <v>0</v>
      </c>
      <c r="F93">
        <v>0</v>
      </c>
    </row>
    <row r="94" spans="1:6" x14ac:dyDescent="0.25">
      <c r="A94" t="s">
        <v>281</v>
      </c>
      <c r="B94" t="s">
        <v>282</v>
      </c>
      <c r="C94" t="s">
        <v>283</v>
      </c>
      <c r="E94">
        <v>0</v>
      </c>
      <c r="F94">
        <v>0</v>
      </c>
    </row>
    <row r="95" spans="1:6" x14ac:dyDescent="0.25">
      <c r="A95" t="s">
        <v>284</v>
      </c>
      <c r="B95" t="s">
        <v>282</v>
      </c>
      <c r="C95" t="s">
        <v>285</v>
      </c>
      <c r="E95">
        <v>0</v>
      </c>
      <c r="F95">
        <v>0</v>
      </c>
    </row>
    <row r="96" spans="1:6" x14ac:dyDescent="0.25">
      <c r="A96" t="s">
        <v>286</v>
      </c>
      <c r="B96" t="s">
        <v>282</v>
      </c>
      <c r="C96" t="s">
        <v>287</v>
      </c>
      <c r="E96">
        <v>0</v>
      </c>
      <c r="F96">
        <v>0</v>
      </c>
    </row>
    <row r="97" spans="1:6" x14ac:dyDescent="0.25">
      <c r="A97" t="s">
        <v>288</v>
      </c>
      <c r="B97" t="s">
        <v>138</v>
      </c>
      <c r="C97" t="s">
        <v>289</v>
      </c>
      <c r="E97">
        <v>0</v>
      </c>
      <c r="F97">
        <v>0</v>
      </c>
    </row>
    <row r="98" spans="1:6" x14ac:dyDescent="0.25">
      <c r="A98" t="s">
        <v>290</v>
      </c>
      <c r="B98" t="s">
        <v>138</v>
      </c>
      <c r="C98" t="s">
        <v>291</v>
      </c>
      <c r="E98">
        <v>78694.86</v>
      </c>
      <c r="F98">
        <v>0</v>
      </c>
    </row>
    <row r="99" spans="1:6" x14ac:dyDescent="0.25">
      <c r="A99" t="s">
        <v>292</v>
      </c>
      <c r="B99" t="s">
        <v>138</v>
      </c>
      <c r="C99" t="s">
        <v>293</v>
      </c>
      <c r="E99">
        <v>0</v>
      </c>
      <c r="F99">
        <v>0</v>
      </c>
    </row>
    <row r="100" spans="1:6" x14ac:dyDescent="0.25">
      <c r="A100" t="s">
        <v>294</v>
      </c>
      <c r="B100" t="s">
        <v>138</v>
      </c>
      <c r="C100" t="s">
        <v>295</v>
      </c>
      <c r="E100">
        <v>29636.04</v>
      </c>
      <c r="F100">
        <v>0</v>
      </c>
    </row>
    <row r="101" spans="1:6" x14ac:dyDescent="0.25">
      <c r="A101" t="s">
        <v>296</v>
      </c>
      <c r="B101" t="s">
        <v>138</v>
      </c>
      <c r="C101" t="s">
        <v>297</v>
      </c>
      <c r="E101">
        <v>0</v>
      </c>
      <c r="F101">
        <v>0</v>
      </c>
    </row>
    <row r="102" spans="1:6" x14ac:dyDescent="0.25">
      <c r="A102" t="s">
        <v>298</v>
      </c>
      <c r="B102" t="s">
        <v>138</v>
      </c>
      <c r="C102" t="s">
        <v>299</v>
      </c>
      <c r="E102">
        <v>28341.66</v>
      </c>
      <c r="F102">
        <v>0</v>
      </c>
    </row>
    <row r="103" spans="1:6" x14ac:dyDescent="0.25">
      <c r="A103" t="s">
        <v>300</v>
      </c>
      <c r="B103" t="s">
        <v>301</v>
      </c>
      <c r="C103" t="s">
        <v>302</v>
      </c>
      <c r="E103">
        <v>0</v>
      </c>
      <c r="F103">
        <v>0</v>
      </c>
    </row>
    <row r="104" spans="1:6" x14ac:dyDescent="0.25">
      <c r="A104" t="s">
        <v>303</v>
      </c>
      <c r="B104" t="s">
        <v>301</v>
      </c>
      <c r="C104" t="s">
        <v>304</v>
      </c>
      <c r="E104">
        <v>0</v>
      </c>
      <c r="F104">
        <v>0</v>
      </c>
    </row>
    <row r="105" spans="1:6" x14ac:dyDescent="0.25">
      <c r="A105" t="s">
        <v>305</v>
      </c>
      <c r="B105" t="s">
        <v>301</v>
      </c>
      <c r="C105" t="s">
        <v>306</v>
      </c>
      <c r="E105">
        <v>0</v>
      </c>
      <c r="F105">
        <v>0</v>
      </c>
    </row>
    <row r="106" spans="1:6" x14ac:dyDescent="0.25">
      <c r="A106" t="s">
        <v>307</v>
      </c>
      <c r="B106" t="s">
        <v>308</v>
      </c>
      <c r="C106" t="s">
        <v>309</v>
      </c>
      <c r="E106">
        <v>0</v>
      </c>
      <c r="F106">
        <v>0</v>
      </c>
    </row>
    <row r="107" spans="1:6" x14ac:dyDescent="0.25">
      <c r="A107" t="s">
        <v>310</v>
      </c>
      <c r="B107" t="s">
        <v>308</v>
      </c>
      <c r="C107" t="s">
        <v>311</v>
      </c>
      <c r="E107">
        <v>18622.72</v>
      </c>
      <c r="F107">
        <v>0</v>
      </c>
    </row>
    <row r="108" spans="1:6" x14ac:dyDescent="0.25">
      <c r="A108" t="s">
        <v>312</v>
      </c>
      <c r="B108" t="s">
        <v>308</v>
      </c>
      <c r="C108" t="s">
        <v>313</v>
      </c>
      <c r="E108">
        <v>0</v>
      </c>
      <c r="F108">
        <v>0</v>
      </c>
    </row>
    <row r="109" spans="1:6" x14ac:dyDescent="0.25">
      <c r="A109" t="s">
        <v>314</v>
      </c>
      <c r="B109" t="s">
        <v>308</v>
      </c>
      <c r="C109" t="s">
        <v>315</v>
      </c>
      <c r="E109">
        <v>36496.36</v>
      </c>
      <c r="F109">
        <v>0</v>
      </c>
    </row>
    <row r="110" spans="1:6" x14ac:dyDescent="0.25">
      <c r="A110" t="s">
        <v>316</v>
      </c>
      <c r="B110" t="s">
        <v>317</v>
      </c>
      <c r="C110" t="s">
        <v>318</v>
      </c>
      <c r="E110">
        <v>5221.7700000000004</v>
      </c>
      <c r="F110">
        <v>0</v>
      </c>
    </row>
    <row r="111" spans="1:6" x14ac:dyDescent="0.25">
      <c r="A111" t="s">
        <v>319</v>
      </c>
      <c r="B111" t="s">
        <v>317</v>
      </c>
      <c r="C111" t="s">
        <v>320</v>
      </c>
      <c r="E111">
        <v>0</v>
      </c>
      <c r="F111">
        <v>0</v>
      </c>
    </row>
    <row r="112" spans="1:6" x14ac:dyDescent="0.25">
      <c r="A112" t="s">
        <v>321</v>
      </c>
      <c r="B112" t="s">
        <v>317</v>
      </c>
      <c r="C112" t="s">
        <v>322</v>
      </c>
      <c r="E112">
        <v>0</v>
      </c>
      <c r="F112">
        <v>0</v>
      </c>
    </row>
    <row r="113" spans="1:6" x14ac:dyDescent="0.25">
      <c r="A113" t="s">
        <v>323</v>
      </c>
      <c r="B113" t="s">
        <v>324</v>
      </c>
      <c r="C113" t="s">
        <v>325</v>
      </c>
      <c r="E113">
        <v>0</v>
      </c>
      <c r="F113">
        <v>0</v>
      </c>
    </row>
    <row r="114" spans="1:6" x14ac:dyDescent="0.25">
      <c r="A114" t="s">
        <v>326</v>
      </c>
      <c r="B114" t="s">
        <v>327</v>
      </c>
      <c r="C114" t="s">
        <v>327</v>
      </c>
      <c r="E114">
        <v>277847.37</v>
      </c>
      <c r="F114">
        <v>0</v>
      </c>
    </row>
    <row r="115" spans="1:6" x14ac:dyDescent="0.25">
      <c r="A115" t="s">
        <v>328</v>
      </c>
      <c r="B115" t="s">
        <v>329</v>
      </c>
      <c r="C115" t="s">
        <v>329</v>
      </c>
      <c r="E115">
        <v>0</v>
      </c>
      <c r="F115">
        <v>0</v>
      </c>
    </row>
    <row r="116" spans="1:6" x14ac:dyDescent="0.25">
      <c r="A116" t="s">
        <v>330</v>
      </c>
      <c r="B116" t="s">
        <v>329</v>
      </c>
      <c r="C116" t="s">
        <v>178</v>
      </c>
      <c r="E116">
        <v>0</v>
      </c>
      <c r="F116">
        <v>0</v>
      </c>
    </row>
    <row r="117" spans="1:6" x14ac:dyDescent="0.25">
      <c r="A117" t="s">
        <v>331</v>
      </c>
      <c r="B117" t="s">
        <v>329</v>
      </c>
      <c r="C117" t="s">
        <v>332</v>
      </c>
      <c r="E117">
        <v>0</v>
      </c>
      <c r="F117">
        <v>0</v>
      </c>
    </row>
    <row r="118" spans="1:6" x14ac:dyDescent="0.25">
      <c r="A118" t="s">
        <v>333</v>
      </c>
      <c r="B118" t="s">
        <v>334</v>
      </c>
      <c r="C118" t="s">
        <v>334</v>
      </c>
      <c r="E118">
        <v>0</v>
      </c>
      <c r="F118">
        <v>0</v>
      </c>
    </row>
    <row r="119" spans="1:6" x14ac:dyDescent="0.25">
      <c r="A119" t="s">
        <v>335</v>
      </c>
      <c r="B119" t="s">
        <v>334</v>
      </c>
      <c r="C119" t="s">
        <v>336</v>
      </c>
      <c r="E119">
        <v>0</v>
      </c>
      <c r="F119">
        <v>0</v>
      </c>
    </row>
    <row r="120" spans="1:6" x14ac:dyDescent="0.25">
      <c r="A120" t="s">
        <v>337</v>
      </c>
      <c r="B120" t="s">
        <v>338</v>
      </c>
      <c r="C120" t="s">
        <v>339</v>
      </c>
      <c r="E120">
        <v>0</v>
      </c>
      <c r="F120">
        <v>0</v>
      </c>
    </row>
    <row r="121" spans="1:6" x14ac:dyDescent="0.25">
      <c r="A121" t="s">
        <v>340</v>
      </c>
      <c r="B121" t="s">
        <v>338</v>
      </c>
      <c r="C121" t="s">
        <v>341</v>
      </c>
      <c r="E121">
        <v>0</v>
      </c>
      <c r="F121">
        <v>0</v>
      </c>
    </row>
    <row r="122" spans="1:6" x14ac:dyDescent="0.25">
      <c r="A122" t="s">
        <v>342</v>
      </c>
      <c r="B122" t="s">
        <v>338</v>
      </c>
      <c r="C122" t="s">
        <v>343</v>
      </c>
      <c r="E122">
        <v>9617.9</v>
      </c>
      <c r="F122">
        <v>0</v>
      </c>
    </row>
    <row r="123" spans="1:6" x14ac:dyDescent="0.25">
      <c r="A123" t="s">
        <v>344</v>
      </c>
      <c r="B123" t="s">
        <v>338</v>
      </c>
      <c r="C123" t="s">
        <v>345</v>
      </c>
      <c r="E123">
        <v>0</v>
      </c>
      <c r="F123">
        <v>0</v>
      </c>
    </row>
    <row r="124" spans="1:6" x14ac:dyDescent="0.25">
      <c r="A124" t="s">
        <v>346</v>
      </c>
      <c r="B124" t="s">
        <v>347</v>
      </c>
      <c r="C124" t="s">
        <v>348</v>
      </c>
      <c r="E124">
        <v>0</v>
      </c>
      <c r="F124">
        <v>0</v>
      </c>
    </row>
    <row r="125" spans="1:6" x14ac:dyDescent="0.25">
      <c r="A125" t="s">
        <v>349</v>
      </c>
      <c r="B125" t="s">
        <v>347</v>
      </c>
      <c r="C125" t="s">
        <v>350</v>
      </c>
      <c r="E125">
        <v>0</v>
      </c>
      <c r="F125">
        <v>0</v>
      </c>
    </row>
    <row r="126" spans="1:6" x14ac:dyDescent="0.25">
      <c r="A126" t="s">
        <v>351</v>
      </c>
      <c r="B126" t="s">
        <v>347</v>
      </c>
      <c r="C126" t="s">
        <v>352</v>
      </c>
      <c r="E126">
        <v>0</v>
      </c>
      <c r="F126">
        <v>0</v>
      </c>
    </row>
    <row r="127" spans="1:6" x14ac:dyDescent="0.25">
      <c r="A127" t="s">
        <v>353</v>
      </c>
      <c r="B127" t="s">
        <v>347</v>
      </c>
      <c r="C127" t="s">
        <v>354</v>
      </c>
      <c r="E127">
        <v>0</v>
      </c>
      <c r="F127">
        <v>0</v>
      </c>
    </row>
    <row r="128" spans="1:6" x14ac:dyDescent="0.25">
      <c r="A128" t="s">
        <v>355</v>
      </c>
      <c r="B128" t="s">
        <v>347</v>
      </c>
      <c r="C128" t="s">
        <v>356</v>
      </c>
      <c r="E128">
        <v>0</v>
      </c>
      <c r="F128">
        <v>0</v>
      </c>
    </row>
    <row r="129" spans="1:6" x14ac:dyDescent="0.25">
      <c r="A129" t="s">
        <v>357</v>
      </c>
      <c r="B129" t="s">
        <v>347</v>
      </c>
      <c r="C129" t="s">
        <v>358</v>
      </c>
      <c r="E129">
        <v>0</v>
      </c>
      <c r="F129">
        <v>0</v>
      </c>
    </row>
    <row r="130" spans="1:6" x14ac:dyDescent="0.25">
      <c r="A130" t="s">
        <v>359</v>
      </c>
      <c r="B130" t="s">
        <v>360</v>
      </c>
      <c r="C130" t="s">
        <v>360</v>
      </c>
      <c r="E130">
        <v>0</v>
      </c>
      <c r="F130">
        <v>0</v>
      </c>
    </row>
    <row r="131" spans="1:6" x14ac:dyDescent="0.25">
      <c r="A131" t="s">
        <v>361</v>
      </c>
      <c r="B131" t="s">
        <v>360</v>
      </c>
      <c r="C131" t="s">
        <v>362</v>
      </c>
      <c r="E131">
        <v>0</v>
      </c>
      <c r="F131">
        <v>0</v>
      </c>
    </row>
    <row r="132" spans="1:6" x14ac:dyDescent="0.25">
      <c r="A132" t="s">
        <v>363</v>
      </c>
      <c r="B132" t="s">
        <v>364</v>
      </c>
      <c r="C132" t="s">
        <v>365</v>
      </c>
      <c r="E132">
        <v>0</v>
      </c>
      <c r="F132">
        <v>0</v>
      </c>
    </row>
    <row r="133" spans="1:6" x14ac:dyDescent="0.25">
      <c r="A133" t="s">
        <v>366</v>
      </c>
      <c r="B133" t="s">
        <v>364</v>
      </c>
      <c r="C133" t="s">
        <v>364</v>
      </c>
      <c r="E133">
        <v>550952.78</v>
      </c>
      <c r="F133">
        <v>0</v>
      </c>
    </row>
    <row r="134" spans="1:6" x14ac:dyDescent="0.25">
      <c r="A134" t="s">
        <v>367</v>
      </c>
      <c r="B134" t="s">
        <v>368</v>
      </c>
      <c r="C134" t="s">
        <v>369</v>
      </c>
      <c r="E134">
        <v>0</v>
      </c>
      <c r="F134">
        <v>0</v>
      </c>
    </row>
    <row r="135" spans="1:6" x14ac:dyDescent="0.25">
      <c r="A135" t="s">
        <v>370</v>
      </c>
      <c r="B135" t="s">
        <v>368</v>
      </c>
      <c r="C135" t="s">
        <v>371</v>
      </c>
      <c r="E135">
        <v>0</v>
      </c>
      <c r="F135">
        <v>0</v>
      </c>
    </row>
    <row r="136" spans="1:6" x14ac:dyDescent="0.25">
      <c r="A136" t="s">
        <v>372</v>
      </c>
      <c r="B136" t="s">
        <v>373</v>
      </c>
      <c r="C136" t="s">
        <v>374</v>
      </c>
      <c r="E136">
        <v>710551.13</v>
      </c>
      <c r="F136">
        <v>0</v>
      </c>
    </row>
    <row r="137" spans="1:6" x14ac:dyDescent="0.25">
      <c r="A137" t="s">
        <v>375</v>
      </c>
      <c r="B137" t="s">
        <v>376</v>
      </c>
      <c r="C137" t="s">
        <v>377</v>
      </c>
      <c r="E137">
        <v>0</v>
      </c>
      <c r="F137">
        <v>0</v>
      </c>
    </row>
    <row r="138" spans="1:6" x14ac:dyDescent="0.25">
      <c r="A138" t="s">
        <v>378</v>
      </c>
      <c r="B138" t="s">
        <v>376</v>
      </c>
      <c r="C138" t="s">
        <v>379</v>
      </c>
      <c r="E138">
        <v>0</v>
      </c>
      <c r="F138">
        <v>0</v>
      </c>
    </row>
    <row r="139" spans="1:6" x14ac:dyDescent="0.25">
      <c r="A139" t="s">
        <v>380</v>
      </c>
      <c r="B139" t="s">
        <v>376</v>
      </c>
      <c r="C139" t="s">
        <v>381</v>
      </c>
      <c r="E139">
        <v>0</v>
      </c>
      <c r="F139">
        <v>0</v>
      </c>
    </row>
    <row r="140" spans="1:6" x14ac:dyDescent="0.25">
      <c r="A140" t="s">
        <v>382</v>
      </c>
      <c r="B140" t="s">
        <v>376</v>
      </c>
      <c r="C140" t="s">
        <v>383</v>
      </c>
      <c r="E140">
        <v>0</v>
      </c>
      <c r="F140">
        <v>0</v>
      </c>
    </row>
    <row r="141" spans="1:6" x14ac:dyDescent="0.25">
      <c r="A141" t="s">
        <v>384</v>
      </c>
      <c r="B141" t="s">
        <v>385</v>
      </c>
      <c r="C141" t="s">
        <v>386</v>
      </c>
      <c r="E141">
        <v>0</v>
      </c>
      <c r="F141">
        <v>0</v>
      </c>
    </row>
    <row r="142" spans="1:6" x14ac:dyDescent="0.25">
      <c r="A142" t="s">
        <v>387</v>
      </c>
      <c r="B142" t="s">
        <v>385</v>
      </c>
      <c r="C142" t="s">
        <v>388</v>
      </c>
      <c r="E142">
        <v>0</v>
      </c>
      <c r="F142">
        <v>0</v>
      </c>
    </row>
    <row r="143" spans="1:6" x14ac:dyDescent="0.25">
      <c r="A143" t="s">
        <v>389</v>
      </c>
      <c r="B143" t="s">
        <v>390</v>
      </c>
      <c r="C143" t="s">
        <v>391</v>
      </c>
      <c r="E143">
        <v>0</v>
      </c>
      <c r="F143">
        <v>0</v>
      </c>
    </row>
    <row r="144" spans="1:6" x14ac:dyDescent="0.25">
      <c r="A144" t="s">
        <v>392</v>
      </c>
      <c r="B144" t="s">
        <v>390</v>
      </c>
      <c r="C144" t="s">
        <v>393</v>
      </c>
      <c r="E144">
        <v>671262.95</v>
      </c>
      <c r="F144">
        <v>0</v>
      </c>
    </row>
    <row r="145" spans="1:6" x14ac:dyDescent="0.25">
      <c r="A145" t="s">
        <v>394</v>
      </c>
      <c r="B145" t="s">
        <v>395</v>
      </c>
      <c r="C145" t="s">
        <v>396</v>
      </c>
      <c r="E145">
        <v>0</v>
      </c>
      <c r="F145">
        <v>0</v>
      </c>
    </row>
    <row r="146" spans="1:6" x14ac:dyDescent="0.25">
      <c r="A146" t="s">
        <v>397</v>
      </c>
      <c r="B146" t="s">
        <v>395</v>
      </c>
      <c r="C146" t="s">
        <v>398</v>
      </c>
      <c r="E146">
        <v>0</v>
      </c>
      <c r="F146">
        <v>0</v>
      </c>
    </row>
    <row r="147" spans="1:6" x14ac:dyDescent="0.25">
      <c r="A147" t="s">
        <v>399</v>
      </c>
      <c r="B147" t="s">
        <v>395</v>
      </c>
      <c r="C147" t="s">
        <v>400</v>
      </c>
      <c r="E147">
        <v>0</v>
      </c>
      <c r="F147">
        <v>0</v>
      </c>
    </row>
    <row r="148" spans="1:6" x14ac:dyDescent="0.25">
      <c r="A148" t="s">
        <v>401</v>
      </c>
      <c r="B148" t="s">
        <v>402</v>
      </c>
      <c r="C148" t="s">
        <v>403</v>
      </c>
      <c r="E148">
        <v>0</v>
      </c>
      <c r="F148">
        <v>0</v>
      </c>
    </row>
    <row r="149" spans="1:6" x14ac:dyDescent="0.25">
      <c r="A149" t="s">
        <v>404</v>
      </c>
      <c r="B149" t="s">
        <v>402</v>
      </c>
      <c r="C149" t="s">
        <v>405</v>
      </c>
      <c r="E149">
        <v>1064161.06</v>
      </c>
      <c r="F149">
        <v>0</v>
      </c>
    </row>
    <row r="150" spans="1:6" x14ac:dyDescent="0.25">
      <c r="A150" t="s">
        <v>406</v>
      </c>
      <c r="B150" t="s">
        <v>402</v>
      </c>
      <c r="C150" t="s">
        <v>407</v>
      </c>
      <c r="E150">
        <v>0</v>
      </c>
      <c r="F150">
        <v>0</v>
      </c>
    </row>
    <row r="151" spans="1:6" x14ac:dyDescent="0.25">
      <c r="A151" t="s">
        <v>408</v>
      </c>
      <c r="B151" t="s">
        <v>409</v>
      </c>
      <c r="C151" t="s">
        <v>410</v>
      </c>
      <c r="E151">
        <v>0</v>
      </c>
      <c r="F151">
        <v>0</v>
      </c>
    </row>
    <row r="152" spans="1:6" x14ac:dyDescent="0.25">
      <c r="A152" t="s">
        <v>411</v>
      </c>
      <c r="B152" t="s">
        <v>409</v>
      </c>
      <c r="C152" t="s">
        <v>327</v>
      </c>
      <c r="E152">
        <v>0</v>
      </c>
      <c r="F152">
        <v>0</v>
      </c>
    </row>
    <row r="153" spans="1:6" x14ac:dyDescent="0.25">
      <c r="A153" t="s">
        <v>412</v>
      </c>
      <c r="B153" t="s">
        <v>409</v>
      </c>
      <c r="C153" t="s">
        <v>413</v>
      </c>
      <c r="E153">
        <v>0</v>
      </c>
      <c r="F153">
        <v>0</v>
      </c>
    </row>
    <row r="154" spans="1:6" x14ac:dyDescent="0.25">
      <c r="A154" t="s">
        <v>414</v>
      </c>
      <c r="B154" t="s">
        <v>415</v>
      </c>
      <c r="C154" t="s">
        <v>416</v>
      </c>
      <c r="E154">
        <v>19817.919999999998</v>
      </c>
      <c r="F154">
        <v>0</v>
      </c>
    </row>
    <row r="155" spans="1:6" x14ac:dyDescent="0.25">
      <c r="A155" t="s">
        <v>417</v>
      </c>
      <c r="B155" t="s">
        <v>418</v>
      </c>
      <c r="C155" t="s">
        <v>419</v>
      </c>
      <c r="E155">
        <v>0</v>
      </c>
      <c r="F155">
        <v>0</v>
      </c>
    </row>
    <row r="156" spans="1:6" x14ac:dyDescent="0.25">
      <c r="A156" t="s">
        <v>420</v>
      </c>
      <c r="B156" t="s">
        <v>418</v>
      </c>
      <c r="C156" t="s">
        <v>421</v>
      </c>
      <c r="E156">
        <v>0</v>
      </c>
      <c r="F156">
        <v>0</v>
      </c>
    </row>
    <row r="157" spans="1:6" x14ac:dyDescent="0.25">
      <c r="A157" t="s">
        <v>422</v>
      </c>
      <c r="B157" t="s">
        <v>423</v>
      </c>
      <c r="C157" t="s">
        <v>424</v>
      </c>
      <c r="E157">
        <v>0</v>
      </c>
      <c r="F157">
        <v>0</v>
      </c>
    </row>
    <row r="158" spans="1:6" x14ac:dyDescent="0.25">
      <c r="A158" t="s">
        <v>425</v>
      </c>
      <c r="B158" t="s">
        <v>423</v>
      </c>
      <c r="C158" t="s">
        <v>426</v>
      </c>
      <c r="E158">
        <v>74228.81</v>
      </c>
      <c r="F158">
        <v>0</v>
      </c>
    </row>
    <row r="159" spans="1:6" x14ac:dyDescent="0.25">
      <c r="A159" t="s">
        <v>427</v>
      </c>
      <c r="B159" t="s">
        <v>428</v>
      </c>
      <c r="C159" t="s">
        <v>428</v>
      </c>
      <c r="E159">
        <v>1475032.01</v>
      </c>
      <c r="F159">
        <v>0</v>
      </c>
    </row>
    <row r="160" spans="1:6" x14ac:dyDescent="0.25">
      <c r="A160" t="s">
        <v>429</v>
      </c>
      <c r="B160" t="s">
        <v>430</v>
      </c>
      <c r="C160" t="s">
        <v>431</v>
      </c>
      <c r="E160">
        <v>0</v>
      </c>
      <c r="F160">
        <v>0</v>
      </c>
    </row>
    <row r="161" spans="1:6" x14ac:dyDescent="0.25">
      <c r="A161" t="s">
        <v>432</v>
      </c>
      <c r="B161" t="s">
        <v>430</v>
      </c>
      <c r="C161" t="s">
        <v>433</v>
      </c>
      <c r="E161">
        <v>0</v>
      </c>
      <c r="F161">
        <v>0</v>
      </c>
    </row>
    <row r="162" spans="1:6" x14ac:dyDescent="0.25">
      <c r="A162" t="s">
        <v>434</v>
      </c>
      <c r="B162" t="s">
        <v>435</v>
      </c>
      <c r="C162" t="s">
        <v>436</v>
      </c>
      <c r="E162">
        <v>0</v>
      </c>
      <c r="F162">
        <v>0</v>
      </c>
    </row>
    <row r="163" spans="1:6" x14ac:dyDescent="0.25">
      <c r="A163" t="s">
        <v>437</v>
      </c>
      <c r="B163" t="s">
        <v>435</v>
      </c>
      <c r="C163" t="s">
        <v>438</v>
      </c>
      <c r="E163">
        <v>7823.44</v>
      </c>
      <c r="F163">
        <v>0</v>
      </c>
    </row>
    <row r="164" spans="1:6" x14ac:dyDescent="0.25">
      <c r="A164" t="s">
        <v>439</v>
      </c>
      <c r="B164" t="s">
        <v>435</v>
      </c>
      <c r="C164" t="s">
        <v>440</v>
      </c>
      <c r="E164">
        <v>0</v>
      </c>
      <c r="F164">
        <v>0</v>
      </c>
    </row>
    <row r="165" spans="1:6" x14ac:dyDescent="0.25">
      <c r="A165" t="s">
        <v>441</v>
      </c>
      <c r="B165" t="s">
        <v>435</v>
      </c>
      <c r="C165" t="s">
        <v>442</v>
      </c>
      <c r="E165">
        <v>0</v>
      </c>
      <c r="F165">
        <v>0</v>
      </c>
    </row>
    <row r="166" spans="1:6" x14ac:dyDescent="0.25">
      <c r="A166" t="s">
        <v>443</v>
      </c>
      <c r="B166" t="s">
        <v>435</v>
      </c>
      <c r="C166" t="s">
        <v>444</v>
      </c>
      <c r="E166">
        <v>76952.78</v>
      </c>
      <c r="F166">
        <v>0</v>
      </c>
    </row>
    <row r="167" spans="1:6" x14ac:dyDescent="0.25">
      <c r="A167" t="s">
        <v>445</v>
      </c>
      <c r="B167" t="s">
        <v>446</v>
      </c>
      <c r="C167" t="s">
        <v>447</v>
      </c>
      <c r="E167">
        <v>0</v>
      </c>
      <c r="F167">
        <v>0</v>
      </c>
    </row>
    <row r="168" spans="1:6" x14ac:dyDescent="0.25">
      <c r="A168" t="s">
        <v>448</v>
      </c>
      <c r="B168" t="s">
        <v>446</v>
      </c>
      <c r="C168" t="s">
        <v>449</v>
      </c>
      <c r="E168">
        <v>0</v>
      </c>
      <c r="F168">
        <v>0</v>
      </c>
    </row>
    <row r="169" spans="1:6" x14ac:dyDescent="0.25">
      <c r="A169" t="s">
        <v>450</v>
      </c>
      <c r="B169" t="s">
        <v>446</v>
      </c>
      <c r="C169" t="s">
        <v>451</v>
      </c>
      <c r="E169">
        <v>46526.37</v>
      </c>
      <c r="F169">
        <v>0</v>
      </c>
    </row>
    <row r="170" spans="1:6" x14ac:dyDescent="0.25">
      <c r="A170" t="s">
        <v>452</v>
      </c>
      <c r="B170" t="s">
        <v>446</v>
      </c>
      <c r="C170" t="s">
        <v>453</v>
      </c>
      <c r="E170">
        <v>0</v>
      </c>
      <c r="F170">
        <v>0</v>
      </c>
    </row>
    <row r="171" spans="1:6" x14ac:dyDescent="0.25">
      <c r="A171" t="s">
        <v>454</v>
      </c>
      <c r="B171" t="s">
        <v>446</v>
      </c>
      <c r="C171" t="s">
        <v>455</v>
      </c>
      <c r="E171">
        <v>0</v>
      </c>
      <c r="F171">
        <v>0</v>
      </c>
    </row>
    <row r="172" spans="1:6" x14ac:dyDescent="0.25">
      <c r="A172" t="s">
        <v>456</v>
      </c>
      <c r="B172" t="s">
        <v>446</v>
      </c>
      <c r="C172" t="s">
        <v>457</v>
      </c>
      <c r="E172">
        <v>0</v>
      </c>
      <c r="F172">
        <v>0</v>
      </c>
    </row>
    <row r="173" spans="1:6" x14ac:dyDescent="0.25">
      <c r="A173" t="s">
        <v>458</v>
      </c>
      <c r="B173" t="s">
        <v>446</v>
      </c>
      <c r="C173" t="s">
        <v>459</v>
      </c>
      <c r="E173">
        <v>0</v>
      </c>
      <c r="F173">
        <v>0</v>
      </c>
    </row>
    <row r="174" spans="1:6" x14ac:dyDescent="0.25">
      <c r="A174" t="s">
        <v>460</v>
      </c>
      <c r="B174" t="s">
        <v>446</v>
      </c>
      <c r="C174" t="s">
        <v>461</v>
      </c>
      <c r="E174">
        <v>0</v>
      </c>
      <c r="F174">
        <v>0</v>
      </c>
    </row>
    <row r="175" spans="1:6" x14ac:dyDescent="0.25">
      <c r="A175" t="s">
        <v>462</v>
      </c>
      <c r="B175" t="s">
        <v>446</v>
      </c>
      <c r="C175" t="s">
        <v>463</v>
      </c>
      <c r="E175">
        <v>0</v>
      </c>
      <c r="F175">
        <v>0</v>
      </c>
    </row>
    <row r="176" spans="1:6" x14ac:dyDescent="0.25">
      <c r="A176" t="s">
        <v>464</v>
      </c>
      <c r="B176" t="s">
        <v>446</v>
      </c>
      <c r="C176" t="s">
        <v>465</v>
      </c>
      <c r="E176">
        <v>0</v>
      </c>
      <c r="F176">
        <v>0</v>
      </c>
    </row>
    <row r="177" spans="1:6" x14ac:dyDescent="0.25">
      <c r="A177" t="s">
        <v>466</v>
      </c>
      <c r="B177" t="s">
        <v>446</v>
      </c>
      <c r="C177" t="s">
        <v>467</v>
      </c>
      <c r="E177">
        <v>0</v>
      </c>
      <c r="F177">
        <v>0</v>
      </c>
    </row>
    <row r="178" spans="1:6" x14ac:dyDescent="0.25">
      <c r="A178" t="s">
        <v>468</v>
      </c>
      <c r="B178" t="s">
        <v>446</v>
      </c>
      <c r="C178" t="s">
        <v>469</v>
      </c>
      <c r="E178">
        <v>0</v>
      </c>
      <c r="F178">
        <v>0</v>
      </c>
    </row>
    <row r="179" spans="1:6" x14ac:dyDescent="0.25">
      <c r="A179" t="s">
        <v>470</v>
      </c>
      <c r="B179" t="s">
        <v>471</v>
      </c>
      <c r="C179" t="s">
        <v>472</v>
      </c>
      <c r="E179">
        <v>0</v>
      </c>
      <c r="F179">
        <v>0</v>
      </c>
    </row>
    <row r="180" spans="1:6" x14ac:dyDescent="0.25">
      <c r="A180" t="s">
        <v>473</v>
      </c>
      <c r="B180" t="s">
        <v>471</v>
      </c>
      <c r="C180" t="s">
        <v>474</v>
      </c>
      <c r="E180">
        <v>0</v>
      </c>
      <c r="F180">
        <v>0</v>
      </c>
    </row>
    <row r="181" spans="1:6" x14ac:dyDescent="0.25">
      <c r="A181" t="s">
        <v>475</v>
      </c>
      <c r="B181" t="s">
        <v>471</v>
      </c>
      <c r="C181" t="s">
        <v>476</v>
      </c>
      <c r="E181">
        <v>0</v>
      </c>
      <c r="F181">
        <v>0</v>
      </c>
    </row>
    <row r="182" spans="1:6" x14ac:dyDescent="0.25">
      <c r="A182" t="s">
        <v>477</v>
      </c>
      <c r="B182" t="s">
        <v>471</v>
      </c>
      <c r="C182" t="s">
        <v>478</v>
      </c>
      <c r="E182">
        <v>0</v>
      </c>
      <c r="F182">
        <v>0</v>
      </c>
    </row>
    <row r="183" spans="1:6" x14ac:dyDescent="0.25">
      <c r="E183">
        <v>20885248.509999998</v>
      </c>
      <c r="F183">
        <v>387510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B04A7-C468-43FF-A507-717E2D1CA91B}">
  <dimension ref="A5:G21"/>
  <sheetViews>
    <sheetView workbookViewId="0">
      <selection activeCell="G15" sqref="G15"/>
    </sheetView>
  </sheetViews>
  <sheetFormatPr defaultColWidth="8.75" defaultRowHeight="14" x14ac:dyDescent="0.3"/>
  <cols>
    <col min="1" max="1" width="6.33203125" style="309" customWidth="1"/>
    <col min="2" max="2" width="17.08203125" style="309" bestFit="1" customWidth="1"/>
    <col min="3" max="3" width="29.08203125" style="309" bestFit="1" customWidth="1"/>
    <col min="4" max="4" width="11.75" style="309" bestFit="1" customWidth="1"/>
    <col min="5" max="5" width="17.75" style="309" bestFit="1" customWidth="1"/>
    <col min="6" max="6" width="11.75" style="310" bestFit="1" customWidth="1"/>
    <col min="7" max="16384" width="8.75" style="309"/>
  </cols>
  <sheetData>
    <row r="5" spans="1:7" x14ac:dyDescent="0.3">
      <c r="F5" s="310" t="s">
        <v>766</v>
      </c>
    </row>
    <row r="6" spans="1:7" x14ac:dyDescent="0.3">
      <c r="F6" s="310" t="s">
        <v>767</v>
      </c>
    </row>
    <row r="7" spans="1:7" x14ac:dyDescent="0.3">
      <c r="A7" s="309">
        <v>1</v>
      </c>
      <c r="B7" s="309" t="s">
        <v>768</v>
      </c>
      <c r="C7" s="311" t="s">
        <v>769</v>
      </c>
      <c r="D7" s="309" t="s">
        <v>770</v>
      </c>
      <c r="E7" s="309" t="s">
        <v>771</v>
      </c>
      <c r="F7" s="310">
        <v>1500</v>
      </c>
      <c r="G7" s="309" t="s">
        <v>819</v>
      </c>
    </row>
    <row r="8" spans="1:7" x14ac:dyDescent="0.3">
      <c r="A8" s="309">
        <f>+A7+1</f>
        <v>2</v>
      </c>
      <c r="B8" s="309" t="s">
        <v>772</v>
      </c>
      <c r="C8" s="311" t="s">
        <v>773</v>
      </c>
      <c r="D8" s="309" t="s">
        <v>774</v>
      </c>
      <c r="E8" s="309" t="s">
        <v>775</v>
      </c>
      <c r="F8" s="310">
        <v>1070</v>
      </c>
      <c r="G8" s="309" t="s">
        <v>819</v>
      </c>
    </row>
    <row r="9" spans="1:7" x14ac:dyDescent="0.3">
      <c r="A9" s="309">
        <f t="shared" ref="A9:A21" si="0">+A8+1</f>
        <v>3</v>
      </c>
      <c r="B9" s="309" t="s">
        <v>776</v>
      </c>
      <c r="C9" s="311" t="s">
        <v>777</v>
      </c>
      <c r="D9" s="309" t="s">
        <v>778</v>
      </c>
      <c r="E9" s="309" t="s">
        <v>779</v>
      </c>
      <c r="F9" s="310">
        <v>1980</v>
      </c>
      <c r="G9" s="309" t="s">
        <v>819</v>
      </c>
    </row>
    <row r="10" spans="1:7" x14ac:dyDescent="0.3">
      <c r="A10" s="309">
        <f t="shared" si="0"/>
        <v>4</v>
      </c>
      <c r="B10" s="309" t="s">
        <v>780</v>
      </c>
      <c r="C10" s="311" t="s">
        <v>781</v>
      </c>
      <c r="D10" s="309" t="s">
        <v>782</v>
      </c>
      <c r="E10" s="309" t="s">
        <v>783</v>
      </c>
      <c r="F10" s="310">
        <v>2010</v>
      </c>
    </row>
    <row r="11" spans="1:7" x14ac:dyDescent="0.3">
      <c r="A11" s="309">
        <f t="shared" si="0"/>
        <v>5</v>
      </c>
      <c r="B11" s="309" t="s">
        <v>784</v>
      </c>
      <c r="C11" s="311" t="s">
        <v>785</v>
      </c>
      <c r="D11" s="309" t="s">
        <v>786</v>
      </c>
      <c r="E11" s="309" t="s">
        <v>787</v>
      </c>
      <c r="F11" s="310">
        <v>1360</v>
      </c>
      <c r="G11" s="309" t="s">
        <v>819</v>
      </c>
    </row>
    <row r="12" spans="1:7" x14ac:dyDescent="0.3">
      <c r="A12" s="309">
        <f t="shared" si="0"/>
        <v>6</v>
      </c>
      <c r="B12" s="309" t="s">
        <v>788</v>
      </c>
      <c r="C12" s="311" t="s">
        <v>789</v>
      </c>
      <c r="D12" s="309" t="s">
        <v>790</v>
      </c>
      <c r="E12" s="309" t="s">
        <v>791</v>
      </c>
      <c r="F12" s="312" t="s">
        <v>198</v>
      </c>
      <c r="G12" s="309" t="s">
        <v>819</v>
      </c>
    </row>
    <row r="13" spans="1:7" x14ac:dyDescent="0.3">
      <c r="A13" s="309">
        <f t="shared" si="0"/>
        <v>7</v>
      </c>
      <c r="B13" s="309" t="s">
        <v>792</v>
      </c>
      <c r="C13" s="311" t="s">
        <v>793</v>
      </c>
      <c r="D13" s="309" t="s">
        <v>794</v>
      </c>
      <c r="E13" s="309" t="s">
        <v>795</v>
      </c>
      <c r="F13" s="310">
        <v>1040</v>
      </c>
      <c r="G13" s="309" t="s">
        <v>819</v>
      </c>
    </row>
    <row r="14" spans="1:7" x14ac:dyDescent="0.3">
      <c r="A14" s="309">
        <f t="shared" si="0"/>
        <v>8</v>
      </c>
      <c r="B14" s="309" t="s">
        <v>796</v>
      </c>
      <c r="C14" s="311" t="s">
        <v>797</v>
      </c>
      <c r="D14" s="309" t="s">
        <v>798</v>
      </c>
      <c r="E14" s="309" t="s">
        <v>799</v>
      </c>
      <c r="F14" s="310">
        <v>1130</v>
      </c>
      <c r="G14" s="309" t="s">
        <v>819</v>
      </c>
    </row>
    <row r="15" spans="1:7" x14ac:dyDescent="0.3">
      <c r="A15" s="313">
        <f t="shared" si="0"/>
        <v>9</v>
      </c>
      <c r="B15" s="309" t="s">
        <v>800</v>
      </c>
      <c r="C15" s="311" t="s">
        <v>801</v>
      </c>
      <c r="D15" s="309" t="s">
        <v>802</v>
      </c>
      <c r="E15" s="309" t="s">
        <v>803</v>
      </c>
      <c r="F15" s="312" t="s">
        <v>196</v>
      </c>
      <c r="G15" s="309" t="s">
        <v>819</v>
      </c>
    </row>
    <row r="16" spans="1:7" x14ac:dyDescent="0.3">
      <c r="A16" s="309">
        <f t="shared" si="0"/>
        <v>10</v>
      </c>
      <c r="B16" s="311" t="s">
        <v>804</v>
      </c>
      <c r="C16" s="311" t="s">
        <v>805</v>
      </c>
      <c r="D16" s="309" t="s">
        <v>806</v>
      </c>
      <c r="E16" s="309" t="s">
        <v>807</v>
      </c>
      <c r="F16" s="310">
        <v>2780</v>
      </c>
      <c r="G16" s="309" t="s">
        <v>819</v>
      </c>
    </row>
    <row r="17" spans="1:7" x14ac:dyDescent="0.3">
      <c r="A17" s="309">
        <f t="shared" si="0"/>
        <v>11</v>
      </c>
      <c r="B17" s="309" t="s">
        <v>808</v>
      </c>
      <c r="C17" s="311" t="s">
        <v>809</v>
      </c>
      <c r="D17" s="309" t="s">
        <v>810</v>
      </c>
      <c r="E17" s="309" t="s">
        <v>811</v>
      </c>
      <c r="F17" s="312" t="s">
        <v>144</v>
      </c>
      <c r="G17" s="309" t="s">
        <v>819</v>
      </c>
    </row>
    <row r="18" spans="1:7" x14ac:dyDescent="0.3">
      <c r="A18" s="313">
        <f t="shared" si="0"/>
        <v>12</v>
      </c>
      <c r="B18" s="309" t="s">
        <v>812</v>
      </c>
      <c r="C18" s="309" t="s">
        <v>813</v>
      </c>
      <c r="D18" s="309" t="s">
        <v>814</v>
      </c>
      <c r="E18" s="309" t="s">
        <v>815</v>
      </c>
      <c r="F18" s="310">
        <v>2405</v>
      </c>
      <c r="G18" s="309" t="s">
        <v>819</v>
      </c>
    </row>
    <row r="19" spans="1:7" x14ac:dyDescent="0.3">
      <c r="A19" s="313">
        <f t="shared" si="0"/>
        <v>13</v>
      </c>
      <c r="B19" s="309" t="s">
        <v>816</v>
      </c>
      <c r="G19" s="309" t="s">
        <v>819</v>
      </c>
    </row>
    <row r="20" spans="1:7" x14ac:dyDescent="0.3">
      <c r="A20" s="313">
        <f t="shared" si="0"/>
        <v>14</v>
      </c>
      <c r="B20" s="309" t="s">
        <v>817</v>
      </c>
      <c r="G20" s="309" t="s">
        <v>819</v>
      </c>
    </row>
    <row r="21" spans="1:7" x14ac:dyDescent="0.3">
      <c r="A21" s="309">
        <f t="shared" si="0"/>
        <v>15</v>
      </c>
      <c r="B21" s="309" t="s">
        <v>818</v>
      </c>
    </row>
  </sheetData>
  <hyperlinks>
    <hyperlink ref="C8" r:id="rId1" xr:uid="{5A824BD1-AB8B-4649-BF09-4F057DBC49C5}"/>
    <hyperlink ref="C7" r:id="rId2" xr:uid="{DEBD7B1A-1724-4B39-BB00-820BE0AC6412}"/>
    <hyperlink ref="C9" r:id="rId3" xr:uid="{4063436A-EB50-4C43-9FD6-2BA7A8EAC7F0}"/>
    <hyperlink ref="C10" r:id="rId4" xr:uid="{8A09676F-BA99-46D2-9CA6-706180ED41A9}"/>
    <hyperlink ref="C11" r:id="rId5" xr:uid="{471EF6A1-888A-4F64-80F7-AFDAE6D24AA8}"/>
    <hyperlink ref="C12" r:id="rId6" xr:uid="{E52247EA-2429-4E1C-96A9-7230F3DF04F1}"/>
    <hyperlink ref="C13" r:id="rId7" display="mailto:cathy.watts@asd20.org" xr:uid="{0AF3DCBA-43F4-4ABD-923E-17EDCC5582A3}"/>
    <hyperlink ref="C15" r:id="rId8" display="mailto:sbecker@hsd2.org" xr:uid="{873AF2A8-B7F0-435A-B131-49AFE7D6084A}"/>
    <hyperlink ref="C14" r:id="rId9" xr:uid="{8C30760A-398B-49BF-937F-6480605FE05D}"/>
    <hyperlink ref="B16" r:id="rId10" display="mailto:cbartholomew@southrouttk12.org" xr:uid="{BB3CB9F9-553D-49B9-AD16-B9B3CD88339F}"/>
    <hyperlink ref="C16" r:id="rId11" xr:uid="{BD46A8CB-F6C9-4F83-B35F-011A3F2F48CB}"/>
    <hyperlink ref="C17" r:id="rId12" xr:uid="{97198A74-A0D4-481E-A782-B576F0BE82B7}"/>
  </hyperlinks>
  <pageMargins left="0.7" right="0.7" top="0.75" bottom="0.75" header="0.3" footer="0.3"/>
  <pageSetup orientation="portrait" horizontalDpi="1200" verticalDpi="12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7D8FB-ABB5-475B-9FD0-784652B8797C}">
  <sheetPr>
    <pageSetUpPr fitToPage="1"/>
  </sheetPr>
  <dimension ref="B1:L38"/>
  <sheetViews>
    <sheetView topLeftCell="A14" zoomScale="102" zoomScaleNormal="100" workbookViewId="0">
      <selection activeCell="D36" sqref="D36"/>
    </sheetView>
  </sheetViews>
  <sheetFormatPr defaultRowHeight="12.5" x14ac:dyDescent="0.25"/>
  <cols>
    <col min="1" max="1" width="1.75" style="196" customWidth="1"/>
    <col min="2" max="12" width="7.75" style="196" customWidth="1"/>
    <col min="13" max="13" width="1.4140625" style="196" customWidth="1"/>
    <col min="14" max="256" width="8.75" style="196"/>
    <col min="257" max="257" width="1.75" style="196" customWidth="1"/>
    <col min="258" max="258" width="8.75" style="196"/>
    <col min="259" max="259" width="10.25" style="196" bestFit="1" customWidth="1"/>
    <col min="260" max="268" width="8.75" style="196"/>
    <col min="269" max="269" width="1.4140625" style="196" customWidth="1"/>
    <col min="270" max="512" width="8.75" style="196"/>
    <col min="513" max="513" width="1.75" style="196" customWidth="1"/>
    <col min="514" max="514" width="8.75" style="196"/>
    <col min="515" max="515" width="10.25" style="196" bestFit="1" customWidth="1"/>
    <col min="516" max="524" width="8.75" style="196"/>
    <col min="525" max="525" width="1.4140625" style="196" customWidth="1"/>
    <col min="526" max="768" width="8.75" style="196"/>
    <col min="769" max="769" width="1.75" style="196" customWidth="1"/>
    <col min="770" max="770" width="8.75" style="196"/>
    <col min="771" max="771" width="10.25" style="196" bestFit="1" customWidth="1"/>
    <col min="772" max="780" width="8.75" style="196"/>
    <col min="781" max="781" width="1.4140625" style="196" customWidth="1"/>
    <col min="782" max="1024" width="8.75" style="196"/>
    <col min="1025" max="1025" width="1.75" style="196" customWidth="1"/>
    <col min="1026" max="1026" width="8.75" style="196"/>
    <col min="1027" max="1027" width="10.25" style="196" bestFit="1" customWidth="1"/>
    <col min="1028" max="1036" width="8.75" style="196"/>
    <col min="1037" max="1037" width="1.4140625" style="196" customWidth="1"/>
    <col min="1038" max="1280" width="8.75" style="196"/>
    <col min="1281" max="1281" width="1.75" style="196" customWidth="1"/>
    <col min="1282" max="1282" width="8.75" style="196"/>
    <col min="1283" max="1283" width="10.25" style="196" bestFit="1" customWidth="1"/>
    <col min="1284" max="1292" width="8.75" style="196"/>
    <col min="1293" max="1293" width="1.4140625" style="196" customWidth="1"/>
    <col min="1294" max="1536" width="8.75" style="196"/>
    <col min="1537" max="1537" width="1.75" style="196" customWidth="1"/>
    <col min="1538" max="1538" width="8.75" style="196"/>
    <col min="1539" max="1539" width="10.25" style="196" bestFit="1" customWidth="1"/>
    <col min="1540" max="1548" width="8.75" style="196"/>
    <col min="1549" max="1549" width="1.4140625" style="196" customWidth="1"/>
    <col min="1550" max="1792" width="8.75" style="196"/>
    <col min="1793" max="1793" width="1.75" style="196" customWidth="1"/>
    <col min="1794" max="1794" width="8.75" style="196"/>
    <col min="1795" max="1795" width="10.25" style="196" bestFit="1" customWidth="1"/>
    <col min="1796" max="1804" width="8.75" style="196"/>
    <col min="1805" max="1805" width="1.4140625" style="196" customWidth="1"/>
    <col min="1806" max="2048" width="8.75" style="196"/>
    <col min="2049" max="2049" width="1.75" style="196" customWidth="1"/>
    <col min="2050" max="2050" width="8.75" style="196"/>
    <col min="2051" max="2051" width="10.25" style="196" bestFit="1" customWidth="1"/>
    <col min="2052" max="2060" width="8.75" style="196"/>
    <col min="2061" max="2061" width="1.4140625" style="196" customWidth="1"/>
    <col min="2062" max="2304" width="8.75" style="196"/>
    <col min="2305" max="2305" width="1.75" style="196" customWidth="1"/>
    <col min="2306" max="2306" width="8.75" style="196"/>
    <col min="2307" max="2307" width="10.25" style="196" bestFit="1" customWidth="1"/>
    <col min="2308" max="2316" width="8.75" style="196"/>
    <col min="2317" max="2317" width="1.4140625" style="196" customWidth="1"/>
    <col min="2318" max="2560" width="8.75" style="196"/>
    <col min="2561" max="2561" width="1.75" style="196" customWidth="1"/>
    <col min="2562" max="2562" width="8.75" style="196"/>
    <col min="2563" max="2563" width="10.25" style="196" bestFit="1" customWidth="1"/>
    <col min="2564" max="2572" width="8.75" style="196"/>
    <col min="2573" max="2573" width="1.4140625" style="196" customWidth="1"/>
    <col min="2574" max="2816" width="8.75" style="196"/>
    <col min="2817" max="2817" width="1.75" style="196" customWidth="1"/>
    <col min="2818" max="2818" width="8.75" style="196"/>
    <col min="2819" max="2819" width="10.25" style="196" bestFit="1" customWidth="1"/>
    <col min="2820" max="2828" width="8.75" style="196"/>
    <col min="2829" max="2829" width="1.4140625" style="196" customWidth="1"/>
    <col min="2830" max="3072" width="8.75" style="196"/>
    <col min="3073" max="3073" width="1.75" style="196" customWidth="1"/>
    <col min="3074" max="3074" width="8.75" style="196"/>
    <col min="3075" max="3075" width="10.25" style="196" bestFit="1" customWidth="1"/>
    <col min="3076" max="3084" width="8.75" style="196"/>
    <col min="3085" max="3085" width="1.4140625" style="196" customWidth="1"/>
    <col min="3086" max="3328" width="8.75" style="196"/>
    <col min="3329" max="3329" width="1.75" style="196" customWidth="1"/>
    <col min="3330" max="3330" width="8.75" style="196"/>
    <col min="3331" max="3331" width="10.25" style="196" bestFit="1" customWidth="1"/>
    <col min="3332" max="3340" width="8.75" style="196"/>
    <col min="3341" max="3341" width="1.4140625" style="196" customWidth="1"/>
    <col min="3342" max="3584" width="8.75" style="196"/>
    <col min="3585" max="3585" width="1.75" style="196" customWidth="1"/>
    <col min="3586" max="3586" width="8.75" style="196"/>
    <col min="3587" max="3587" width="10.25" style="196" bestFit="1" customWidth="1"/>
    <col min="3588" max="3596" width="8.75" style="196"/>
    <col min="3597" max="3597" width="1.4140625" style="196" customWidth="1"/>
    <col min="3598" max="3840" width="8.75" style="196"/>
    <col min="3841" max="3841" width="1.75" style="196" customWidth="1"/>
    <col min="3842" max="3842" width="8.75" style="196"/>
    <col min="3843" max="3843" width="10.25" style="196" bestFit="1" customWidth="1"/>
    <col min="3844" max="3852" width="8.75" style="196"/>
    <col min="3853" max="3853" width="1.4140625" style="196" customWidth="1"/>
    <col min="3854" max="4096" width="8.75" style="196"/>
    <col min="4097" max="4097" width="1.75" style="196" customWidth="1"/>
    <col min="4098" max="4098" width="8.75" style="196"/>
    <col min="4099" max="4099" width="10.25" style="196" bestFit="1" customWidth="1"/>
    <col min="4100" max="4108" width="8.75" style="196"/>
    <col min="4109" max="4109" width="1.4140625" style="196" customWidth="1"/>
    <col min="4110" max="4352" width="8.75" style="196"/>
    <col min="4353" max="4353" width="1.75" style="196" customWidth="1"/>
    <col min="4354" max="4354" width="8.75" style="196"/>
    <col min="4355" max="4355" width="10.25" style="196" bestFit="1" customWidth="1"/>
    <col min="4356" max="4364" width="8.75" style="196"/>
    <col min="4365" max="4365" width="1.4140625" style="196" customWidth="1"/>
    <col min="4366" max="4608" width="8.75" style="196"/>
    <col min="4609" max="4609" width="1.75" style="196" customWidth="1"/>
    <col min="4610" max="4610" width="8.75" style="196"/>
    <col min="4611" max="4611" width="10.25" style="196" bestFit="1" customWidth="1"/>
    <col min="4612" max="4620" width="8.75" style="196"/>
    <col min="4621" max="4621" width="1.4140625" style="196" customWidth="1"/>
    <col min="4622" max="4864" width="8.75" style="196"/>
    <col min="4865" max="4865" width="1.75" style="196" customWidth="1"/>
    <col min="4866" max="4866" width="8.75" style="196"/>
    <col min="4867" max="4867" width="10.25" style="196" bestFit="1" customWidth="1"/>
    <col min="4868" max="4876" width="8.75" style="196"/>
    <col min="4877" max="4877" width="1.4140625" style="196" customWidth="1"/>
    <col min="4878" max="5120" width="8.75" style="196"/>
    <col min="5121" max="5121" width="1.75" style="196" customWidth="1"/>
    <col min="5122" max="5122" width="8.75" style="196"/>
    <col min="5123" max="5123" width="10.25" style="196" bestFit="1" customWidth="1"/>
    <col min="5124" max="5132" width="8.75" style="196"/>
    <col min="5133" max="5133" width="1.4140625" style="196" customWidth="1"/>
    <col min="5134" max="5376" width="8.75" style="196"/>
    <col min="5377" max="5377" width="1.75" style="196" customWidth="1"/>
    <col min="5378" max="5378" width="8.75" style="196"/>
    <col min="5379" max="5379" width="10.25" style="196" bestFit="1" customWidth="1"/>
    <col min="5380" max="5388" width="8.75" style="196"/>
    <col min="5389" max="5389" width="1.4140625" style="196" customWidth="1"/>
    <col min="5390" max="5632" width="8.75" style="196"/>
    <col min="5633" max="5633" width="1.75" style="196" customWidth="1"/>
    <col min="5634" max="5634" width="8.75" style="196"/>
    <col min="5635" max="5635" width="10.25" style="196" bestFit="1" customWidth="1"/>
    <col min="5636" max="5644" width="8.75" style="196"/>
    <col min="5645" max="5645" width="1.4140625" style="196" customWidth="1"/>
    <col min="5646" max="5888" width="8.75" style="196"/>
    <col min="5889" max="5889" width="1.75" style="196" customWidth="1"/>
    <col min="5890" max="5890" width="8.75" style="196"/>
    <col min="5891" max="5891" width="10.25" style="196" bestFit="1" customWidth="1"/>
    <col min="5892" max="5900" width="8.75" style="196"/>
    <col min="5901" max="5901" width="1.4140625" style="196" customWidth="1"/>
    <col min="5902" max="6144" width="8.75" style="196"/>
    <col min="6145" max="6145" width="1.75" style="196" customWidth="1"/>
    <col min="6146" max="6146" width="8.75" style="196"/>
    <col min="6147" max="6147" width="10.25" style="196" bestFit="1" customWidth="1"/>
    <col min="6148" max="6156" width="8.75" style="196"/>
    <col min="6157" max="6157" width="1.4140625" style="196" customWidth="1"/>
    <col min="6158" max="6400" width="8.75" style="196"/>
    <col min="6401" max="6401" width="1.75" style="196" customWidth="1"/>
    <col min="6402" max="6402" width="8.75" style="196"/>
    <col min="6403" max="6403" width="10.25" style="196" bestFit="1" customWidth="1"/>
    <col min="6404" max="6412" width="8.75" style="196"/>
    <col min="6413" max="6413" width="1.4140625" style="196" customWidth="1"/>
    <col min="6414" max="6656" width="8.75" style="196"/>
    <col min="6657" max="6657" width="1.75" style="196" customWidth="1"/>
    <col min="6658" max="6658" width="8.75" style="196"/>
    <col min="6659" max="6659" width="10.25" style="196" bestFit="1" customWidth="1"/>
    <col min="6660" max="6668" width="8.75" style="196"/>
    <col min="6669" max="6669" width="1.4140625" style="196" customWidth="1"/>
    <col min="6670" max="6912" width="8.75" style="196"/>
    <col min="6913" max="6913" width="1.75" style="196" customWidth="1"/>
    <col min="6914" max="6914" width="8.75" style="196"/>
    <col min="6915" max="6915" width="10.25" style="196" bestFit="1" customWidth="1"/>
    <col min="6916" max="6924" width="8.75" style="196"/>
    <col min="6925" max="6925" width="1.4140625" style="196" customWidth="1"/>
    <col min="6926" max="7168" width="8.75" style="196"/>
    <col min="7169" max="7169" width="1.75" style="196" customWidth="1"/>
    <col min="7170" max="7170" width="8.75" style="196"/>
    <col min="7171" max="7171" width="10.25" style="196" bestFit="1" customWidth="1"/>
    <col min="7172" max="7180" width="8.75" style="196"/>
    <col min="7181" max="7181" width="1.4140625" style="196" customWidth="1"/>
    <col min="7182" max="7424" width="8.75" style="196"/>
    <col min="7425" max="7425" width="1.75" style="196" customWidth="1"/>
    <col min="7426" max="7426" width="8.75" style="196"/>
    <col min="7427" max="7427" width="10.25" style="196" bestFit="1" customWidth="1"/>
    <col min="7428" max="7436" width="8.75" style="196"/>
    <col min="7437" max="7437" width="1.4140625" style="196" customWidth="1"/>
    <col min="7438" max="7680" width="8.75" style="196"/>
    <col min="7681" max="7681" width="1.75" style="196" customWidth="1"/>
    <col min="7682" max="7682" width="8.75" style="196"/>
    <col min="7683" max="7683" width="10.25" style="196" bestFit="1" customWidth="1"/>
    <col min="7684" max="7692" width="8.75" style="196"/>
    <col min="7693" max="7693" width="1.4140625" style="196" customWidth="1"/>
    <col min="7694" max="7936" width="8.75" style="196"/>
    <col min="7937" max="7937" width="1.75" style="196" customWidth="1"/>
    <col min="7938" max="7938" width="8.75" style="196"/>
    <col min="7939" max="7939" width="10.25" style="196" bestFit="1" customWidth="1"/>
    <col min="7940" max="7948" width="8.75" style="196"/>
    <col min="7949" max="7949" width="1.4140625" style="196" customWidth="1"/>
    <col min="7950" max="8192" width="8.75" style="196"/>
    <col min="8193" max="8193" width="1.75" style="196" customWidth="1"/>
    <col min="8194" max="8194" width="8.75" style="196"/>
    <col min="8195" max="8195" width="10.25" style="196" bestFit="1" customWidth="1"/>
    <col min="8196" max="8204" width="8.75" style="196"/>
    <col min="8205" max="8205" width="1.4140625" style="196" customWidth="1"/>
    <col min="8206" max="8448" width="8.75" style="196"/>
    <col min="8449" max="8449" width="1.75" style="196" customWidth="1"/>
    <col min="8450" max="8450" width="8.75" style="196"/>
    <col min="8451" max="8451" width="10.25" style="196" bestFit="1" customWidth="1"/>
    <col min="8452" max="8460" width="8.75" style="196"/>
    <col min="8461" max="8461" width="1.4140625" style="196" customWidth="1"/>
    <col min="8462" max="8704" width="8.75" style="196"/>
    <col min="8705" max="8705" width="1.75" style="196" customWidth="1"/>
    <col min="8706" max="8706" width="8.75" style="196"/>
    <col min="8707" max="8707" width="10.25" style="196" bestFit="1" customWidth="1"/>
    <col min="8708" max="8716" width="8.75" style="196"/>
    <col min="8717" max="8717" width="1.4140625" style="196" customWidth="1"/>
    <col min="8718" max="8960" width="8.75" style="196"/>
    <col min="8961" max="8961" width="1.75" style="196" customWidth="1"/>
    <col min="8962" max="8962" width="8.75" style="196"/>
    <col min="8963" max="8963" width="10.25" style="196" bestFit="1" customWidth="1"/>
    <col min="8964" max="8972" width="8.75" style="196"/>
    <col min="8973" max="8973" width="1.4140625" style="196" customWidth="1"/>
    <col min="8974" max="9216" width="8.75" style="196"/>
    <col min="9217" max="9217" width="1.75" style="196" customWidth="1"/>
    <col min="9218" max="9218" width="8.75" style="196"/>
    <col min="9219" max="9219" width="10.25" style="196" bestFit="1" customWidth="1"/>
    <col min="9220" max="9228" width="8.75" style="196"/>
    <col min="9229" max="9229" width="1.4140625" style="196" customWidth="1"/>
    <col min="9230" max="9472" width="8.75" style="196"/>
    <col min="9473" max="9473" width="1.75" style="196" customWidth="1"/>
    <col min="9474" max="9474" width="8.75" style="196"/>
    <col min="9475" max="9475" width="10.25" style="196" bestFit="1" customWidth="1"/>
    <col min="9476" max="9484" width="8.75" style="196"/>
    <col min="9485" max="9485" width="1.4140625" style="196" customWidth="1"/>
    <col min="9486" max="9728" width="8.75" style="196"/>
    <col min="9729" max="9729" width="1.75" style="196" customWidth="1"/>
    <col min="9730" max="9730" width="8.75" style="196"/>
    <col min="9731" max="9731" width="10.25" style="196" bestFit="1" customWidth="1"/>
    <col min="9732" max="9740" width="8.75" style="196"/>
    <col min="9741" max="9741" width="1.4140625" style="196" customWidth="1"/>
    <col min="9742" max="9984" width="8.75" style="196"/>
    <col min="9985" max="9985" width="1.75" style="196" customWidth="1"/>
    <col min="9986" max="9986" width="8.75" style="196"/>
    <col min="9987" max="9987" width="10.25" style="196" bestFit="1" customWidth="1"/>
    <col min="9988" max="9996" width="8.75" style="196"/>
    <col min="9997" max="9997" width="1.4140625" style="196" customWidth="1"/>
    <col min="9998" max="10240" width="8.75" style="196"/>
    <col min="10241" max="10241" width="1.75" style="196" customWidth="1"/>
    <col min="10242" max="10242" width="8.75" style="196"/>
    <col min="10243" max="10243" width="10.25" style="196" bestFit="1" customWidth="1"/>
    <col min="10244" max="10252" width="8.75" style="196"/>
    <col min="10253" max="10253" width="1.4140625" style="196" customWidth="1"/>
    <col min="10254" max="10496" width="8.75" style="196"/>
    <col min="10497" max="10497" width="1.75" style="196" customWidth="1"/>
    <col min="10498" max="10498" width="8.75" style="196"/>
    <col min="10499" max="10499" width="10.25" style="196" bestFit="1" customWidth="1"/>
    <col min="10500" max="10508" width="8.75" style="196"/>
    <col min="10509" max="10509" width="1.4140625" style="196" customWidth="1"/>
    <col min="10510" max="10752" width="8.75" style="196"/>
    <col min="10753" max="10753" width="1.75" style="196" customWidth="1"/>
    <col min="10754" max="10754" width="8.75" style="196"/>
    <col min="10755" max="10755" width="10.25" style="196" bestFit="1" customWidth="1"/>
    <col min="10756" max="10764" width="8.75" style="196"/>
    <col min="10765" max="10765" width="1.4140625" style="196" customWidth="1"/>
    <col min="10766" max="11008" width="8.75" style="196"/>
    <col min="11009" max="11009" width="1.75" style="196" customWidth="1"/>
    <col min="11010" max="11010" width="8.75" style="196"/>
    <col min="11011" max="11011" width="10.25" style="196" bestFit="1" customWidth="1"/>
    <col min="11012" max="11020" width="8.75" style="196"/>
    <col min="11021" max="11021" width="1.4140625" style="196" customWidth="1"/>
    <col min="11022" max="11264" width="8.75" style="196"/>
    <col min="11265" max="11265" width="1.75" style="196" customWidth="1"/>
    <col min="11266" max="11266" width="8.75" style="196"/>
    <col min="11267" max="11267" width="10.25" style="196" bestFit="1" customWidth="1"/>
    <col min="11268" max="11276" width="8.75" style="196"/>
    <col min="11277" max="11277" width="1.4140625" style="196" customWidth="1"/>
    <col min="11278" max="11520" width="8.75" style="196"/>
    <col min="11521" max="11521" width="1.75" style="196" customWidth="1"/>
    <col min="11522" max="11522" width="8.75" style="196"/>
    <col min="11523" max="11523" width="10.25" style="196" bestFit="1" customWidth="1"/>
    <col min="11524" max="11532" width="8.75" style="196"/>
    <col min="11533" max="11533" width="1.4140625" style="196" customWidth="1"/>
    <col min="11534" max="11776" width="8.75" style="196"/>
    <col min="11777" max="11777" width="1.75" style="196" customWidth="1"/>
    <col min="11778" max="11778" width="8.75" style="196"/>
    <col min="11779" max="11779" width="10.25" style="196" bestFit="1" customWidth="1"/>
    <col min="11780" max="11788" width="8.75" style="196"/>
    <col min="11789" max="11789" width="1.4140625" style="196" customWidth="1"/>
    <col min="11790" max="12032" width="8.75" style="196"/>
    <col min="12033" max="12033" width="1.75" style="196" customWidth="1"/>
    <col min="12034" max="12034" width="8.75" style="196"/>
    <col min="12035" max="12035" width="10.25" style="196" bestFit="1" customWidth="1"/>
    <col min="12036" max="12044" width="8.75" style="196"/>
    <col min="12045" max="12045" width="1.4140625" style="196" customWidth="1"/>
    <col min="12046" max="12288" width="8.75" style="196"/>
    <col min="12289" max="12289" width="1.75" style="196" customWidth="1"/>
    <col min="12290" max="12290" width="8.75" style="196"/>
    <col min="12291" max="12291" width="10.25" style="196" bestFit="1" customWidth="1"/>
    <col min="12292" max="12300" width="8.75" style="196"/>
    <col min="12301" max="12301" width="1.4140625" style="196" customWidth="1"/>
    <col min="12302" max="12544" width="8.75" style="196"/>
    <col min="12545" max="12545" width="1.75" style="196" customWidth="1"/>
    <col min="12546" max="12546" width="8.75" style="196"/>
    <col min="12547" max="12547" width="10.25" style="196" bestFit="1" customWidth="1"/>
    <col min="12548" max="12556" width="8.75" style="196"/>
    <col min="12557" max="12557" width="1.4140625" style="196" customWidth="1"/>
    <col min="12558" max="12800" width="8.75" style="196"/>
    <col min="12801" max="12801" width="1.75" style="196" customWidth="1"/>
    <col min="12802" max="12802" width="8.75" style="196"/>
    <col min="12803" max="12803" width="10.25" style="196" bestFit="1" customWidth="1"/>
    <col min="12804" max="12812" width="8.75" style="196"/>
    <col min="12813" max="12813" width="1.4140625" style="196" customWidth="1"/>
    <col min="12814" max="13056" width="8.75" style="196"/>
    <col min="13057" max="13057" width="1.75" style="196" customWidth="1"/>
    <col min="13058" max="13058" width="8.75" style="196"/>
    <col min="13059" max="13059" width="10.25" style="196" bestFit="1" customWidth="1"/>
    <col min="13060" max="13068" width="8.75" style="196"/>
    <col min="13069" max="13069" width="1.4140625" style="196" customWidth="1"/>
    <col min="13070" max="13312" width="8.75" style="196"/>
    <col min="13313" max="13313" width="1.75" style="196" customWidth="1"/>
    <col min="13314" max="13314" width="8.75" style="196"/>
    <col min="13315" max="13315" width="10.25" style="196" bestFit="1" customWidth="1"/>
    <col min="13316" max="13324" width="8.75" style="196"/>
    <col min="13325" max="13325" width="1.4140625" style="196" customWidth="1"/>
    <col min="13326" max="13568" width="8.75" style="196"/>
    <col min="13569" max="13569" width="1.75" style="196" customWidth="1"/>
    <col min="13570" max="13570" width="8.75" style="196"/>
    <col min="13571" max="13571" width="10.25" style="196" bestFit="1" customWidth="1"/>
    <col min="13572" max="13580" width="8.75" style="196"/>
    <col min="13581" max="13581" width="1.4140625" style="196" customWidth="1"/>
    <col min="13582" max="13824" width="8.75" style="196"/>
    <col min="13825" max="13825" width="1.75" style="196" customWidth="1"/>
    <col min="13826" max="13826" width="8.75" style="196"/>
    <col min="13827" max="13827" width="10.25" style="196" bestFit="1" customWidth="1"/>
    <col min="13828" max="13836" width="8.75" style="196"/>
    <col min="13837" max="13837" width="1.4140625" style="196" customWidth="1"/>
    <col min="13838" max="14080" width="8.75" style="196"/>
    <col min="14081" max="14081" width="1.75" style="196" customWidth="1"/>
    <col min="14082" max="14082" width="8.75" style="196"/>
    <col min="14083" max="14083" width="10.25" style="196" bestFit="1" customWidth="1"/>
    <col min="14084" max="14092" width="8.75" style="196"/>
    <col min="14093" max="14093" width="1.4140625" style="196" customWidth="1"/>
    <col min="14094" max="14336" width="8.75" style="196"/>
    <col min="14337" max="14337" width="1.75" style="196" customWidth="1"/>
    <col min="14338" max="14338" width="8.75" style="196"/>
    <col min="14339" max="14339" width="10.25" style="196" bestFit="1" customWidth="1"/>
    <col min="14340" max="14348" width="8.75" style="196"/>
    <col min="14349" max="14349" width="1.4140625" style="196" customWidth="1"/>
    <col min="14350" max="14592" width="8.75" style="196"/>
    <col min="14593" max="14593" width="1.75" style="196" customWidth="1"/>
    <col min="14594" max="14594" width="8.75" style="196"/>
    <col min="14595" max="14595" width="10.25" style="196" bestFit="1" customWidth="1"/>
    <col min="14596" max="14604" width="8.75" style="196"/>
    <col min="14605" max="14605" width="1.4140625" style="196" customWidth="1"/>
    <col min="14606" max="14848" width="8.75" style="196"/>
    <col min="14849" max="14849" width="1.75" style="196" customWidth="1"/>
    <col min="14850" max="14850" width="8.75" style="196"/>
    <col min="14851" max="14851" width="10.25" style="196" bestFit="1" customWidth="1"/>
    <col min="14852" max="14860" width="8.75" style="196"/>
    <col min="14861" max="14861" width="1.4140625" style="196" customWidth="1"/>
    <col min="14862" max="15104" width="8.75" style="196"/>
    <col min="15105" max="15105" width="1.75" style="196" customWidth="1"/>
    <col min="15106" max="15106" width="8.75" style="196"/>
    <col min="15107" max="15107" width="10.25" style="196" bestFit="1" customWidth="1"/>
    <col min="15108" max="15116" width="8.75" style="196"/>
    <col min="15117" max="15117" width="1.4140625" style="196" customWidth="1"/>
    <col min="15118" max="15360" width="8.75" style="196"/>
    <col min="15361" max="15361" width="1.75" style="196" customWidth="1"/>
    <col min="15362" max="15362" width="8.75" style="196"/>
    <col min="15363" max="15363" width="10.25" style="196" bestFit="1" customWidth="1"/>
    <col min="15364" max="15372" width="8.75" style="196"/>
    <col min="15373" max="15373" width="1.4140625" style="196" customWidth="1"/>
    <col min="15374" max="15616" width="8.75" style="196"/>
    <col min="15617" max="15617" width="1.75" style="196" customWidth="1"/>
    <col min="15618" max="15618" width="8.75" style="196"/>
    <col min="15619" max="15619" width="10.25" style="196" bestFit="1" customWidth="1"/>
    <col min="15620" max="15628" width="8.75" style="196"/>
    <col min="15629" max="15629" width="1.4140625" style="196" customWidth="1"/>
    <col min="15630" max="15872" width="8.75" style="196"/>
    <col min="15873" max="15873" width="1.75" style="196" customWidth="1"/>
    <col min="15874" max="15874" width="8.75" style="196"/>
    <col min="15875" max="15875" width="10.25" style="196" bestFit="1" customWidth="1"/>
    <col min="15876" max="15884" width="8.75" style="196"/>
    <col min="15885" max="15885" width="1.4140625" style="196" customWidth="1"/>
    <col min="15886" max="16128" width="8.75" style="196"/>
    <col min="16129" max="16129" width="1.75" style="196" customWidth="1"/>
    <col min="16130" max="16130" width="8.75" style="196"/>
    <col min="16131" max="16131" width="10.25" style="196" bestFit="1" customWidth="1"/>
    <col min="16132" max="16140" width="8.75" style="196"/>
    <col min="16141" max="16141" width="1.4140625" style="196" customWidth="1"/>
    <col min="16142" max="16384" width="8.75" style="196"/>
  </cols>
  <sheetData>
    <row r="1" spans="2:12" ht="45" customHeight="1" x14ac:dyDescent="0.25">
      <c r="B1" s="692" t="s">
        <v>904</v>
      </c>
      <c r="C1" s="692"/>
      <c r="D1" s="692"/>
      <c r="E1" s="692"/>
      <c r="F1" s="692"/>
      <c r="G1" s="692"/>
      <c r="H1" s="692"/>
      <c r="I1" s="692"/>
      <c r="J1" s="692"/>
      <c r="K1" s="692"/>
      <c r="L1" s="564"/>
    </row>
    <row r="14" spans="2:12" ht="27.5" x14ac:dyDescent="0.55000000000000004">
      <c r="C14" s="697" t="s">
        <v>488</v>
      </c>
      <c r="D14" s="697"/>
      <c r="E14" s="697"/>
      <c r="F14" s="697"/>
      <c r="G14" s="697"/>
      <c r="H14" s="697"/>
      <c r="I14" s="697"/>
      <c r="J14" s="697"/>
    </row>
    <row r="16" spans="2:12" ht="30" x14ac:dyDescent="0.6">
      <c r="C16" s="696" t="s">
        <v>658</v>
      </c>
      <c r="D16" s="696"/>
      <c r="E16" s="696"/>
      <c r="F16" s="696"/>
      <c r="G16" s="696"/>
      <c r="H16" s="696"/>
      <c r="I16" s="696"/>
      <c r="J16" s="696"/>
      <c r="K16" s="236"/>
    </row>
    <row r="17" spans="3:10" ht="13" x14ac:dyDescent="0.3">
      <c r="C17" s="233"/>
      <c r="D17" s="233"/>
      <c r="E17" s="233"/>
      <c r="F17" s="233"/>
      <c r="G17" s="233"/>
      <c r="H17" s="233"/>
      <c r="I17" s="233"/>
      <c r="J17" s="233"/>
    </row>
    <row r="18" spans="3:10" ht="13" x14ac:dyDescent="0.3">
      <c r="C18" s="233"/>
      <c r="D18" s="233"/>
      <c r="E18" s="233"/>
      <c r="F18" s="233"/>
      <c r="G18" s="233"/>
      <c r="H18" s="233"/>
      <c r="I18" s="233"/>
      <c r="J18" s="233"/>
    </row>
    <row r="19" spans="3:10" ht="29.25" customHeight="1" x14ac:dyDescent="0.25">
      <c r="C19" s="694" t="s">
        <v>879</v>
      </c>
      <c r="D19" s="694"/>
      <c r="E19" s="694"/>
      <c r="F19" s="694"/>
      <c r="G19" s="694"/>
      <c r="H19" s="694"/>
      <c r="I19" s="694"/>
      <c r="J19" s="694"/>
    </row>
    <row r="20" spans="3:10" ht="13" x14ac:dyDescent="0.3">
      <c r="C20" s="233"/>
      <c r="D20" s="233"/>
      <c r="E20" s="233"/>
      <c r="F20" s="233"/>
      <c r="G20" s="233"/>
      <c r="H20" s="233"/>
      <c r="I20" s="233"/>
      <c r="J20" s="233"/>
    </row>
    <row r="21" spans="3:10" ht="20" x14ac:dyDescent="0.4">
      <c r="C21" s="695" t="s">
        <v>659</v>
      </c>
      <c r="D21" s="695"/>
      <c r="E21" s="695"/>
      <c r="F21" s="695"/>
      <c r="G21" s="695"/>
      <c r="H21" s="695"/>
      <c r="I21" s="695"/>
      <c r="J21" s="695"/>
    </row>
    <row r="22" spans="3:10" ht="13" x14ac:dyDescent="0.3">
      <c r="C22" s="233"/>
      <c r="D22" s="233"/>
      <c r="E22" s="233"/>
      <c r="F22" s="233"/>
      <c r="G22" s="233"/>
      <c r="H22" s="233"/>
      <c r="I22" s="233"/>
      <c r="J22" s="233"/>
    </row>
    <row r="23" spans="3:10" ht="13" x14ac:dyDescent="0.3">
      <c r="C23" s="233"/>
      <c r="D23" s="233"/>
      <c r="E23" s="233"/>
      <c r="F23" s="233"/>
      <c r="G23" s="233"/>
      <c r="H23" s="233"/>
      <c r="I23" s="233"/>
      <c r="J23" s="233"/>
    </row>
    <row r="24" spans="3:10" ht="13" x14ac:dyDescent="0.3">
      <c r="C24" s="233"/>
      <c r="D24" s="233"/>
      <c r="E24" s="233"/>
      <c r="F24" s="233"/>
      <c r="G24" s="233"/>
      <c r="H24" s="233"/>
      <c r="I24" s="233"/>
      <c r="J24" s="233"/>
    </row>
    <row r="25" spans="3:10" ht="13" x14ac:dyDescent="0.3">
      <c r="C25" s="233"/>
      <c r="D25" s="233"/>
      <c r="E25" s="233"/>
      <c r="F25" s="233"/>
      <c r="G25" s="233"/>
      <c r="H25" s="233"/>
      <c r="I25" s="233"/>
      <c r="J25" s="233"/>
    </row>
    <row r="26" spans="3:10" ht="13" x14ac:dyDescent="0.3">
      <c r="C26" s="233"/>
      <c r="D26" s="233"/>
      <c r="E26" s="233"/>
      <c r="F26" s="233"/>
      <c r="G26" s="233"/>
      <c r="H26" s="233"/>
      <c r="I26" s="233"/>
      <c r="J26" s="233"/>
    </row>
    <row r="27" spans="3:10" ht="13" x14ac:dyDescent="0.3">
      <c r="C27" s="233"/>
      <c r="D27" s="233"/>
      <c r="E27" s="233"/>
      <c r="F27" s="233"/>
      <c r="G27" s="233"/>
      <c r="H27" s="233"/>
      <c r="I27" s="233"/>
      <c r="J27" s="233"/>
    </row>
    <row r="28" spans="3:10" ht="13" x14ac:dyDescent="0.3">
      <c r="C28" s="233"/>
      <c r="D28" s="233"/>
      <c r="E28" s="233"/>
      <c r="F28" s="233"/>
      <c r="G28" s="233"/>
      <c r="H28" s="233"/>
      <c r="I28" s="233"/>
      <c r="J28" s="233"/>
    </row>
    <row r="29" spans="3:10" ht="13" x14ac:dyDescent="0.3">
      <c r="C29" s="233"/>
      <c r="D29" s="233"/>
      <c r="E29" s="233"/>
      <c r="F29" s="233"/>
      <c r="G29" s="233"/>
      <c r="H29" s="233"/>
      <c r="I29" s="233"/>
      <c r="J29" s="233"/>
    </row>
    <row r="30" spans="3:10" ht="14" x14ac:dyDescent="0.3">
      <c r="C30" s="335" t="s">
        <v>488</v>
      </c>
      <c r="D30" s="336"/>
      <c r="E30" s="336"/>
      <c r="F30" s="336"/>
      <c r="G30" s="336"/>
      <c r="H30" s="337"/>
      <c r="I30" s="233"/>
      <c r="J30" s="233"/>
    </row>
    <row r="31" spans="3:10" ht="14" x14ac:dyDescent="0.3">
      <c r="C31" s="335" t="s">
        <v>620</v>
      </c>
      <c r="D31" s="336"/>
      <c r="E31" s="336"/>
      <c r="F31" s="336"/>
      <c r="G31" s="336"/>
      <c r="H31" s="337"/>
      <c r="I31" s="233"/>
      <c r="J31" s="233"/>
    </row>
    <row r="32" spans="3:10" ht="14" x14ac:dyDescent="0.3">
      <c r="C32" s="335" t="s">
        <v>621</v>
      </c>
      <c r="D32" s="336"/>
      <c r="E32" s="336"/>
      <c r="F32" s="336"/>
      <c r="G32" s="336"/>
      <c r="H32" s="337"/>
      <c r="I32" s="233"/>
      <c r="J32" s="233"/>
    </row>
    <row r="33" spans="3:10" ht="14" x14ac:dyDescent="0.3">
      <c r="C33" s="338"/>
      <c r="D33" s="338"/>
      <c r="E33" s="338"/>
      <c r="F33" s="338"/>
      <c r="G33" s="338"/>
      <c r="H33" s="233"/>
      <c r="I33" s="233"/>
      <c r="J33" s="233"/>
    </row>
    <row r="34" spans="3:10" ht="14" x14ac:dyDescent="0.3">
      <c r="C34" s="339" t="s">
        <v>622</v>
      </c>
      <c r="D34" s="338"/>
      <c r="E34" s="338"/>
      <c r="F34" s="339"/>
      <c r="G34" s="339" t="s">
        <v>622</v>
      </c>
      <c r="H34" s="233"/>
      <c r="I34" s="233"/>
      <c r="J34" s="233"/>
    </row>
    <row r="35" spans="3:10" ht="14" x14ac:dyDescent="0.3">
      <c r="C35" s="339" t="s">
        <v>623</v>
      </c>
      <c r="D35" s="338"/>
      <c r="E35" s="338"/>
      <c r="G35" s="339" t="s">
        <v>624</v>
      </c>
      <c r="H35" s="233"/>
      <c r="I35" s="233"/>
      <c r="J35" s="233"/>
    </row>
    <row r="36" spans="3:10" ht="14" x14ac:dyDescent="0.3">
      <c r="C36" s="234"/>
      <c r="D36" s="234"/>
      <c r="E36" s="234"/>
      <c r="F36" s="234"/>
      <c r="G36" s="234"/>
      <c r="H36" s="233"/>
      <c r="I36" s="233"/>
      <c r="J36" s="233"/>
    </row>
    <row r="37" spans="3:10" ht="14" x14ac:dyDescent="0.3">
      <c r="C37" s="234"/>
      <c r="D37" s="234"/>
      <c r="E37" s="234"/>
      <c r="F37" s="234"/>
      <c r="G37" s="234"/>
      <c r="H37" s="233"/>
      <c r="I37" s="233"/>
      <c r="J37" s="233"/>
    </row>
    <row r="38" spans="3:10" ht="14" x14ac:dyDescent="0.3">
      <c r="C38" s="235"/>
      <c r="D38" s="234"/>
      <c r="E38" s="234"/>
      <c r="F38" s="234"/>
      <c r="G38" s="234"/>
      <c r="H38" s="233"/>
      <c r="I38" s="233"/>
      <c r="J38" s="233"/>
    </row>
  </sheetData>
  <mergeCells count="5">
    <mergeCell ref="B1:K1"/>
    <mergeCell ref="C19:J19"/>
    <mergeCell ref="C21:J21"/>
    <mergeCell ref="C16:J16"/>
    <mergeCell ref="C14:J14"/>
  </mergeCells>
  <pageMargins left="1" right="1"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07052-9DF5-40DE-8991-00839DA6086D}">
  <sheetPr>
    <pageSetUpPr fitToPage="1"/>
  </sheetPr>
  <dimension ref="A2:U52"/>
  <sheetViews>
    <sheetView zoomScale="96" zoomScaleNormal="100" workbookViewId="0">
      <selection activeCell="C40" sqref="C40"/>
    </sheetView>
  </sheetViews>
  <sheetFormatPr defaultColWidth="8.75" defaultRowHeight="15.5" x14ac:dyDescent="0.25"/>
  <cols>
    <col min="1" max="1" width="47.75" style="625" customWidth="1"/>
    <col min="2" max="2" width="23.58203125" style="625" customWidth="1"/>
    <col min="3" max="3" width="19.4140625" style="625" customWidth="1"/>
    <col min="4" max="5" width="8.75" style="625"/>
    <col min="6" max="6" width="28.9140625" style="625" customWidth="1"/>
    <col min="7" max="16384" width="8.75" style="625"/>
  </cols>
  <sheetData>
    <row r="2" spans="1:21" ht="20" x14ac:dyDescent="0.4">
      <c r="A2" s="623" t="s">
        <v>631</v>
      </c>
      <c r="B2" s="624" t="s">
        <v>870</v>
      </c>
    </row>
    <row r="3" spans="1:21" ht="17.5" x14ac:dyDescent="0.35">
      <c r="B3" s="626" t="s">
        <v>847</v>
      </c>
    </row>
    <row r="4" spans="1:21" ht="18" thickBot="1" x14ac:dyDescent="0.4">
      <c r="B4" s="627"/>
    </row>
    <row r="5" spans="1:21" ht="18" x14ac:dyDescent="0.4">
      <c r="A5" s="628" t="s">
        <v>868</v>
      </c>
      <c r="B5" s="621"/>
    </row>
    <row r="6" spans="1:21" ht="18.5" thickBot="1" x14ac:dyDescent="0.45">
      <c r="A6" s="628" t="s">
        <v>869</v>
      </c>
      <c r="B6" s="622"/>
    </row>
    <row r="7" spans="1:21" ht="20.5" x14ac:dyDescent="0.45">
      <c r="B7" s="629"/>
    </row>
    <row r="8" spans="1:21" ht="51" customHeight="1" x14ac:dyDescent="0.5">
      <c r="A8" s="700" t="s">
        <v>656</v>
      </c>
      <c r="B8" s="701"/>
      <c r="C8" s="701"/>
    </row>
    <row r="9" spans="1:21" s="630" customFormat="1" ht="20" x14ac:dyDescent="0.35">
      <c r="A9" s="699" t="s">
        <v>872</v>
      </c>
      <c r="B9" s="699"/>
      <c r="C9" s="699"/>
    </row>
    <row r="10" spans="1:21" s="630" customFormat="1" ht="20" x14ac:dyDescent="0.35">
      <c r="A10" s="699" t="s">
        <v>871</v>
      </c>
      <c r="B10" s="699"/>
      <c r="C10" s="699"/>
    </row>
    <row r="11" spans="1:21" s="630" customFormat="1" ht="20" x14ac:dyDescent="0.35">
      <c r="A11" s="699" t="s">
        <v>875</v>
      </c>
      <c r="B11" s="699"/>
      <c r="C11" s="699"/>
    </row>
    <row r="12" spans="1:21" ht="23" customHeight="1" x14ac:dyDescent="0.25">
      <c r="A12" s="698" t="s">
        <v>873</v>
      </c>
      <c r="B12" s="693"/>
      <c r="C12" s="693"/>
      <c r="D12" s="631"/>
      <c r="E12" s="631"/>
      <c r="F12" s="631"/>
      <c r="G12" s="631"/>
      <c r="H12" s="631"/>
      <c r="I12" s="631"/>
      <c r="J12" s="631"/>
      <c r="K12" s="631"/>
      <c r="L12" s="631"/>
      <c r="M12" s="631"/>
      <c r="N12" s="631"/>
      <c r="O12" s="631"/>
      <c r="P12" s="631"/>
      <c r="Q12" s="631"/>
      <c r="R12" s="631"/>
      <c r="S12" s="631"/>
      <c r="T12" s="631"/>
      <c r="U12" s="631"/>
    </row>
    <row r="13" spans="1:21" ht="28.75" customHeight="1" x14ac:dyDescent="0.25">
      <c r="A13" s="702">
        <f>B5</f>
        <v>0</v>
      </c>
      <c r="B13" s="702"/>
      <c r="C13" s="702"/>
    </row>
    <row r="14" spans="1:21" ht="20" x14ac:dyDescent="0.25">
      <c r="A14" s="703" t="s">
        <v>584</v>
      </c>
      <c r="B14" s="703"/>
      <c r="C14" s="703"/>
    </row>
    <row r="15" spans="1:21" ht="18" x14ac:dyDescent="0.25">
      <c r="A15" s="632"/>
    </row>
    <row r="16" spans="1:21" ht="25" customHeight="1" x14ac:dyDescent="0.4">
      <c r="A16" s="633" t="s">
        <v>585</v>
      </c>
    </row>
    <row r="17" spans="1:3" ht="25" customHeight="1" x14ac:dyDescent="0.4">
      <c r="A17" s="633" t="str">
        <f>B5&amp;" Board of Education met in a business session on"</f>
        <v xml:space="preserve"> Board of Education met in a business session on</v>
      </c>
    </row>
    <row r="18" spans="1:3" ht="25" customHeight="1" x14ac:dyDescent="0.4">
      <c r="A18" s="633" t="str">
        <f>"December "&amp;B6&amp;", 2024, and took action, recorded on the official minutes thereof,"</f>
        <v>December , 2024, and took action, recorded on the official minutes thereof,</v>
      </c>
    </row>
    <row r="19" spans="1:3" ht="25" customHeight="1" x14ac:dyDescent="0.4">
      <c r="A19" s="633" t="str">
        <f>"to establish the total "&amp;B5&amp;" mill levy for property"</f>
        <v>to establish the total  mill levy for property</v>
      </c>
    </row>
    <row r="20" spans="1:3" ht="25" customHeight="1" x14ac:dyDescent="0.4">
      <c r="A20" s="633" t="s">
        <v>878</v>
      </c>
      <c r="C20" s="634" t="e">
        <f>+C39</f>
        <v>#N/A</v>
      </c>
    </row>
    <row r="21" spans="1:3" ht="25" customHeight="1" x14ac:dyDescent="0.4">
      <c r="A21" s="633" t="s">
        <v>650</v>
      </c>
      <c r="C21" s="635">
        <f>+'Calculation Worksheet'!E12</f>
        <v>0</v>
      </c>
    </row>
    <row r="22" spans="1:3" ht="25" customHeight="1" x14ac:dyDescent="0.4">
      <c r="A22" s="633" t="s">
        <v>586</v>
      </c>
    </row>
    <row r="23" spans="1:3" ht="18" x14ac:dyDescent="0.25">
      <c r="A23" s="636"/>
    </row>
    <row r="24" spans="1:3" ht="17.5" x14ac:dyDescent="0.25">
      <c r="A24" s="637" t="s">
        <v>587</v>
      </c>
      <c r="B24" s="638" t="s">
        <v>19</v>
      </c>
      <c r="C24" s="638" t="s">
        <v>588</v>
      </c>
    </row>
    <row r="25" spans="1:3" ht="17.5" x14ac:dyDescent="0.25">
      <c r="A25" s="639" t="s">
        <v>3</v>
      </c>
    </row>
    <row r="26" spans="1:3" ht="18" x14ac:dyDescent="0.25">
      <c r="A26" s="640" t="s">
        <v>589</v>
      </c>
      <c r="B26" s="641" t="e">
        <f>+'Calculation Worksheet'!E35</f>
        <v>#N/A</v>
      </c>
      <c r="C26" s="642" t="e">
        <f>+'Calculation Worksheet'!F35</f>
        <v>#N/A</v>
      </c>
    </row>
    <row r="27" spans="1:3" ht="18" x14ac:dyDescent="0.25">
      <c r="A27" s="640" t="s">
        <v>590</v>
      </c>
      <c r="B27" s="641" t="e">
        <f>+'Calculation Worksheet'!E40+'Calculation Worksheet'!E41</f>
        <v>#N/A</v>
      </c>
      <c r="C27" s="642" t="e">
        <f>+'Calculation Worksheet'!F40+'Calculation Worksheet'!F41</f>
        <v>#N/A</v>
      </c>
    </row>
    <row r="28" spans="1:3" ht="18" x14ac:dyDescent="0.25">
      <c r="A28" s="643" t="s">
        <v>595</v>
      </c>
      <c r="B28" s="641">
        <f>+'Calculation Worksheet'!E43+'Calculation Worksheet'!E44+'Calculation Worksheet'!E45+'Calculation Worksheet'!E46+'Calculation Worksheet'!E47</f>
        <v>0</v>
      </c>
      <c r="C28" s="642">
        <f>+'Calculation Worksheet'!F43+'Calculation Worksheet'!F44+'Calculation Worksheet'!F45+'Calculation Worksheet'!F46+'Calculation Worksheet'!F47</f>
        <v>0</v>
      </c>
    </row>
    <row r="29" spans="1:3" ht="18" x14ac:dyDescent="0.25">
      <c r="A29" s="640" t="s">
        <v>591</v>
      </c>
      <c r="B29" s="641" t="e">
        <f>+'Calculation Worksheet'!E51</f>
        <v>#DIV/0!</v>
      </c>
      <c r="C29" s="642" t="e">
        <f>+'Calculation Worksheet'!F51</f>
        <v>#DIV/0!</v>
      </c>
    </row>
    <row r="30" spans="1:3" ht="17.5" x14ac:dyDescent="0.25">
      <c r="A30" s="644" t="s">
        <v>20</v>
      </c>
      <c r="B30" s="645" t="e">
        <f>SUM(B26:B29)</f>
        <v>#N/A</v>
      </c>
      <c r="C30" s="646" t="e">
        <f>SUM(C26:C29)</f>
        <v>#N/A</v>
      </c>
    </row>
    <row r="31" spans="1:3" ht="18" x14ac:dyDescent="0.25">
      <c r="A31" s="647"/>
      <c r="B31" s="648"/>
      <c r="C31" s="649"/>
    </row>
    <row r="32" spans="1:3" ht="17.5" x14ac:dyDescent="0.25">
      <c r="A32" s="637" t="s">
        <v>21</v>
      </c>
      <c r="B32" s="641">
        <f>+'Calculation Worksheet'!E60</f>
        <v>0</v>
      </c>
      <c r="C32" s="642">
        <f>+'Calculation Worksheet'!F60</f>
        <v>0</v>
      </c>
    </row>
    <row r="33" spans="1:3" ht="17.5" x14ac:dyDescent="0.25">
      <c r="A33" s="637" t="s">
        <v>479</v>
      </c>
      <c r="B33" s="641">
        <f>+'Calculation Worksheet'!E67</f>
        <v>0</v>
      </c>
      <c r="C33" s="642">
        <f>+'Calculation Worksheet'!F67</f>
        <v>0</v>
      </c>
    </row>
    <row r="34" spans="1:3" ht="17.5" x14ac:dyDescent="0.25">
      <c r="A34" s="637" t="s">
        <v>592</v>
      </c>
      <c r="B34" s="641">
        <f>+'Calculation Worksheet'!E74</f>
        <v>0</v>
      </c>
      <c r="C34" s="642">
        <f>+'Calculation Worksheet'!F74</f>
        <v>0</v>
      </c>
    </row>
    <row r="35" spans="1:3" ht="35" x14ac:dyDescent="0.25">
      <c r="A35" s="650" t="s">
        <v>593</v>
      </c>
      <c r="B35" s="641">
        <f>+'Calculation Worksheet'!E82</f>
        <v>0</v>
      </c>
      <c r="C35" s="642">
        <f>+'Calculation Worksheet'!F81</f>
        <v>0</v>
      </c>
    </row>
    <row r="36" spans="1:3" ht="17.5" x14ac:dyDescent="0.25">
      <c r="A36" s="637" t="s">
        <v>85</v>
      </c>
      <c r="B36" s="641">
        <f>+'Calculation Worksheet'!E88</f>
        <v>0</v>
      </c>
      <c r="C36" s="642">
        <f>+'Calculation Worksheet'!F88</f>
        <v>0</v>
      </c>
    </row>
    <row r="37" spans="1:3" ht="17.5" x14ac:dyDescent="0.25">
      <c r="A37" s="644" t="s">
        <v>594</v>
      </c>
      <c r="B37" s="645">
        <f>SUM(B32:B35)</f>
        <v>0</v>
      </c>
      <c r="C37" s="646">
        <f>SUM(C32:C35)</f>
        <v>0</v>
      </c>
    </row>
    <row r="38" spans="1:3" ht="18" x14ac:dyDescent="0.25">
      <c r="A38" s="647"/>
      <c r="B38" s="651"/>
      <c r="C38" s="651"/>
    </row>
    <row r="39" spans="1:3" ht="17.5" x14ac:dyDescent="0.25">
      <c r="A39" s="644" t="str">
        <f>B5&amp;" TOTAL"</f>
        <v xml:space="preserve"> TOTAL</v>
      </c>
      <c r="B39" s="645" t="e">
        <f>+B37+B30</f>
        <v>#N/A</v>
      </c>
      <c r="C39" s="646" t="e">
        <f>+C37+C30</f>
        <v>#N/A</v>
      </c>
    </row>
    <row r="40" spans="1:3" ht="17.5" x14ac:dyDescent="0.25">
      <c r="A40" s="644" t="s">
        <v>628</v>
      </c>
      <c r="B40" s="641" t="e">
        <f>+B39-'Calculation Worksheet'!E101</f>
        <v>#N/A</v>
      </c>
      <c r="C40" s="641" t="e">
        <f>+C39-'Calculation Worksheet'!E100</f>
        <v>#N/A</v>
      </c>
    </row>
    <row r="41" spans="1:3" ht="31.25" customHeight="1" x14ac:dyDescent="0.25">
      <c r="A41" s="644"/>
      <c r="B41" s="638"/>
      <c r="C41" s="652"/>
    </row>
    <row r="42" spans="1:3" ht="33.65" customHeight="1" x14ac:dyDescent="0.4">
      <c r="A42" s="653" t="s">
        <v>874</v>
      </c>
      <c r="B42" s="654"/>
      <c r="C42" s="654"/>
    </row>
    <row r="43" spans="1:3" ht="21" customHeight="1" thickBot="1" x14ac:dyDescent="0.3"/>
    <row r="44" spans="1:3" ht="17.5" x14ac:dyDescent="0.25">
      <c r="B44" s="655" t="s">
        <v>876</v>
      </c>
      <c r="C44" s="656" t="e">
        <f>+'CDE Mill Levy Certify Form'!E71</f>
        <v>#N/A</v>
      </c>
    </row>
    <row r="45" spans="1:3" ht="18.5" thickBot="1" x14ac:dyDescent="0.3">
      <c r="A45" s="647"/>
      <c r="B45" s="655" t="s">
        <v>877</v>
      </c>
      <c r="C45" s="657" t="e">
        <f>+'CDE Mill Levy Certify Form'!E73</f>
        <v>#N/A</v>
      </c>
    </row>
    <row r="46" spans="1:3" ht="18" x14ac:dyDescent="0.25">
      <c r="A46" s="647"/>
    </row>
    <row r="47" spans="1:3" ht="18" x14ac:dyDescent="0.25">
      <c r="A47" s="647"/>
    </row>
    <row r="48" spans="1:3" ht="18" x14ac:dyDescent="0.25">
      <c r="A48" s="647"/>
    </row>
    <row r="49" spans="1:1" ht="18" x14ac:dyDescent="0.25">
      <c r="A49" s="647"/>
    </row>
    <row r="50" spans="1:1" ht="18" x14ac:dyDescent="0.25">
      <c r="A50" s="647"/>
    </row>
    <row r="51" spans="1:1" ht="18" x14ac:dyDescent="0.25">
      <c r="A51" s="647"/>
    </row>
    <row r="52" spans="1:1" ht="18" x14ac:dyDescent="0.25">
      <c r="A52" s="647"/>
    </row>
  </sheetData>
  <sheetProtection algorithmName="SHA-512" hashValue="+pMSULkC9wqQaEF6xYNu0LdFid8qrFnHp/RQ55BJVlljo+qZVhn4czAN7ni9Hm3hR94ILzBoRVh13O2Kp7SEMw==" saltValue="iVzC8y78kGp65z81RISNNQ==" spinCount="100000" sheet="1"/>
  <protectedRanges>
    <protectedRange sqref="B5:B6" name="Range1"/>
  </protectedRanges>
  <mergeCells count="7">
    <mergeCell ref="A12:C12"/>
    <mergeCell ref="A9:C9"/>
    <mergeCell ref="A8:C8"/>
    <mergeCell ref="A13:C13"/>
    <mergeCell ref="A14:C14"/>
    <mergeCell ref="A11:C11"/>
    <mergeCell ref="A10:C10"/>
  </mergeCells>
  <pageMargins left="0.5" right="0.3" top="0.75" bottom="0.75" header="0.3" footer="0.3"/>
  <pageSetup orientation="portrait" horizontalDpi="1200" verticalDpi="1200" r:id="rId1"/>
  <headerFooter>
    <oddFooter xml:space="preserve">&amp;R
</oddFooter>
  </headerFooter>
  <ignoredErrors>
    <ignoredError sqref="C44"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4BA29-BCAB-4247-B0CC-A15CD414D064}">
  <sheetPr>
    <tabColor rgb="FFFFFF00"/>
    <pageSetUpPr fitToPage="1"/>
  </sheetPr>
  <dimension ref="A1:AD132"/>
  <sheetViews>
    <sheetView topLeftCell="C59" zoomScale="70" zoomScaleNormal="70" workbookViewId="0">
      <selection activeCell="B62" sqref="B62:H62"/>
    </sheetView>
  </sheetViews>
  <sheetFormatPr defaultColWidth="12.58203125" defaultRowHeight="15" customHeight="1" outlineLevelRow="1" x14ac:dyDescent="0.25"/>
  <cols>
    <col min="1" max="1" width="24.75" style="72" bestFit="1" customWidth="1"/>
    <col min="2" max="2" width="41" customWidth="1"/>
    <col min="3" max="3" width="22.08203125" customWidth="1"/>
    <col min="4" max="4" width="21.75" customWidth="1"/>
    <col min="5" max="5" width="53.33203125" bestFit="1" customWidth="1"/>
    <col min="6" max="6" width="19.25" customWidth="1"/>
    <col min="7" max="7" width="22.75" customWidth="1"/>
    <col min="8" max="8" width="31.25" customWidth="1"/>
    <col min="9" max="9" width="23.33203125" customWidth="1"/>
    <col min="10" max="10" width="20.33203125" customWidth="1"/>
    <col min="11" max="11" width="24.4140625" customWidth="1"/>
    <col min="12" max="14" width="22.75" customWidth="1"/>
    <col min="15" max="15" width="15" customWidth="1"/>
    <col min="16" max="16" width="12" customWidth="1"/>
    <col min="17" max="17" width="28.25" customWidth="1"/>
    <col min="18" max="18" width="16.58203125" customWidth="1"/>
    <col min="19" max="19" width="16.08203125" customWidth="1"/>
    <col min="20" max="20" width="18.75" customWidth="1"/>
    <col min="21" max="21" width="13.58203125" customWidth="1"/>
    <col min="22" max="22" width="31.4140625" customWidth="1"/>
    <col min="23" max="23" width="17.75" customWidth="1"/>
    <col min="24" max="24" width="19.75" customWidth="1"/>
    <col min="25" max="26" width="13.58203125" customWidth="1"/>
    <col min="27" max="27" width="19.75" customWidth="1"/>
    <col min="28" max="31" width="13.58203125" customWidth="1"/>
  </cols>
  <sheetData>
    <row r="1" spans="1:14" ht="20" customHeight="1" thickTop="1" thickBot="1" x14ac:dyDescent="0.5">
      <c r="A1" s="661" t="s">
        <v>886</v>
      </c>
      <c r="B1" s="660" t="s">
        <v>870</v>
      </c>
      <c r="C1" s="602"/>
      <c r="D1" s="468" t="s">
        <v>883</v>
      </c>
      <c r="E1" s="469"/>
      <c r="F1" s="704" t="s">
        <v>882</v>
      </c>
      <c r="G1" s="705"/>
      <c r="H1" s="706"/>
    </row>
    <row r="2" spans="1:14" ht="20" customHeight="1" thickTop="1" thickBot="1" x14ac:dyDescent="0.45">
      <c r="A2" s="662"/>
      <c r="B2" s="490" t="s">
        <v>847</v>
      </c>
      <c r="F2" s="603"/>
      <c r="G2" s="604"/>
      <c r="H2" s="605"/>
    </row>
    <row r="3" spans="1:14" ht="20" customHeight="1" thickBot="1" x14ac:dyDescent="0.3">
      <c r="A3" s="663"/>
      <c r="B3" s="470" t="s">
        <v>903</v>
      </c>
    </row>
    <row r="4" spans="1:14" ht="25" customHeight="1" outlineLevel="1" x14ac:dyDescent="0.5">
      <c r="A4" s="67"/>
      <c r="B4" s="681"/>
      <c r="C4" s="682"/>
      <c r="D4" s="684" t="e">
        <f>+'CDE Mill Levy Certify Form'!A17</f>
        <v>#N/A</v>
      </c>
      <c r="E4" s="682"/>
      <c r="F4" s="682"/>
      <c r="G4" s="682"/>
      <c r="H4" s="2"/>
      <c r="I4" s="12"/>
      <c r="J4" s="1"/>
      <c r="K4" s="1"/>
      <c r="L4" s="1"/>
      <c r="M4" s="1"/>
      <c r="N4" s="1"/>
    </row>
    <row r="5" spans="1:14" ht="17.5" customHeight="1" outlineLevel="1" x14ac:dyDescent="0.5">
      <c r="A5" s="232" t="s">
        <v>663</v>
      </c>
      <c r="D5" s="683" t="s">
        <v>0</v>
      </c>
      <c r="H5" s="2"/>
      <c r="I5" s="12"/>
      <c r="J5" s="1"/>
      <c r="K5" s="1"/>
      <c r="L5" s="1"/>
      <c r="M5" s="1"/>
      <c r="N5" s="1"/>
    </row>
    <row r="6" spans="1:14" ht="18" customHeight="1" outlineLevel="1" thickBot="1" x14ac:dyDescent="0.4">
      <c r="A6" s="69"/>
      <c r="D6" s="217" t="s">
        <v>885</v>
      </c>
      <c r="H6" s="2"/>
      <c r="I6" s="12"/>
      <c r="J6" s="30"/>
      <c r="K6" s="30"/>
      <c r="L6" s="30"/>
      <c r="M6" s="30"/>
      <c r="N6" s="1"/>
    </row>
    <row r="7" spans="1:14" ht="15" customHeight="1" outlineLevel="1" x14ac:dyDescent="0.35">
      <c r="A7" s="68" t="s">
        <v>690</v>
      </c>
      <c r="B7" s="3"/>
      <c r="C7" s="4"/>
      <c r="D7" s="45"/>
      <c r="E7" s="4"/>
      <c r="F7" s="5"/>
      <c r="G7" s="6"/>
      <c r="H7" s="1"/>
      <c r="I7" s="12"/>
      <c r="J7" s="30"/>
      <c r="K7" s="30"/>
      <c r="L7" s="1"/>
      <c r="M7" s="1"/>
      <c r="N7" s="1"/>
    </row>
    <row r="8" spans="1:14" ht="15" customHeight="1" outlineLevel="1" x14ac:dyDescent="0.35">
      <c r="A8" s="68" t="s">
        <v>32</v>
      </c>
      <c r="B8" s="714" t="s">
        <v>22</v>
      </c>
      <c r="C8" s="715"/>
      <c r="D8" s="715"/>
      <c r="E8" s="715"/>
      <c r="F8" s="715"/>
      <c r="G8" s="716"/>
      <c r="H8" s="1"/>
    </row>
    <row r="9" spans="1:14" ht="15" customHeight="1" outlineLevel="1" x14ac:dyDescent="0.35">
      <c r="A9" s="67"/>
      <c r="B9" s="7"/>
      <c r="C9" s="323"/>
      <c r="D9" s="473" t="s">
        <v>980</v>
      </c>
      <c r="E9" s="473" t="s">
        <v>887</v>
      </c>
      <c r="F9" s="324"/>
      <c r="G9" s="9"/>
      <c r="H9" s="1"/>
      <c r="I9" s="12"/>
      <c r="J9" s="671" t="s">
        <v>749</v>
      </c>
      <c r="K9" s="671" t="s">
        <v>745</v>
      </c>
      <c r="L9" s="671" t="s">
        <v>746</v>
      </c>
      <c r="M9" s="671" t="s">
        <v>747</v>
      </c>
      <c r="N9" s="671" t="s">
        <v>748</v>
      </c>
    </row>
    <row r="10" spans="1:14" ht="15" customHeight="1" outlineLevel="1" x14ac:dyDescent="0.4">
      <c r="A10" s="251" t="s">
        <v>691</v>
      </c>
      <c r="B10" s="46"/>
      <c r="C10" s="327" t="s">
        <v>973</v>
      </c>
      <c r="D10" s="491" t="e">
        <f>+'CDE Mill Levy Certify Form'!C22</f>
        <v>#N/A</v>
      </c>
      <c r="E10" s="491">
        <f>+J10</f>
        <v>0</v>
      </c>
      <c r="F10" s="328" t="s">
        <v>888</v>
      </c>
      <c r="G10" s="9"/>
      <c r="H10" s="1"/>
      <c r="I10" s="327" t="s">
        <v>888</v>
      </c>
      <c r="J10" s="548">
        <f>SUM(K10:N10)</f>
        <v>0</v>
      </c>
      <c r="K10" s="585"/>
      <c r="L10" s="585"/>
      <c r="M10" s="585"/>
      <c r="N10" s="585"/>
    </row>
    <row r="11" spans="1:14" ht="15" customHeight="1" outlineLevel="1" x14ac:dyDescent="0.4">
      <c r="A11" s="251" t="s">
        <v>692</v>
      </c>
      <c r="B11" s="46"/>
      <c r="C11" s="327" t="s">
        <v>974</v>
      </c>
      <c r="D11" s="491" t="e">
        <f>+'CDE Mill Levy Certify Form'!C24</f>
        <v>#N/A</v>
      </c>
      <c r="E11" s="491">
        <f>+J11</f>
        <v>0</v>
      </c>
      <c r="F11" s="328" t="s">
        <v>889</v>
      </c>
      <c r="G11" s="9"/>
      <c r="H11" s="1"/>
      <c r="I11" s="327" t="s">
        <v>889</v>
      </c>
      <c r="J11" s="537">
        <f>SUM(K11:N11)</f>
        <v>0</v>
      </c>
      <c r="K11" s="586"/>
      <c r="L11" s="586"/>
      <c r="M11" s="586"/>
      <c r="N11" s="586"/>
    </row>
    <row r="12" spans="1:14" ht="15" customHeight="1" outlineLevel="1" x14ac:dyDescent="0.4">
      <c r="A12" s="251" t="s">
        <v>689</v>
      </c>
      <c r="B12" s="10"/>
      <c r="C12" s="327" t="s">
        <v>975</v>
      </c>
      <c r="D12" s="492" t="e">
        <f>+'CDE Mill Levy Certify Form'!C26</f>
        <v>#N/A</v>
      </c>
      <c r="E12" s="492">
        <f>+E10-E11</f>
        <v>0</v>
      </c>
      <c r="F12" s="328" t="s">
        <v>890</v>
      </c>
      <c r="G12" s="9"/>
      <c r="H12" s="1"/>
      <c r="I12" s="327" t="s">
        <v>890</v>
      </c>
      <c r="J12" s="549">
        <f>+J10-J11</f>
        <v>0</v>
      </c>
      <c r="K12" s="549">
        <f>+K10-K11</f>
        <v>0</v>
      </c>
      <c r="L12" s="549">
        <f t="shared" ref="L12:N12" si="0">+L10-L11</f>
        <v>0</v>
      </c>
      <c r="M12" s="549">
        <f t="shared" si="0"/>
        <v>0</v>
      </c>
      <c r="N12" s="549">
        <f t="shared" si="0"/>
        <v>0</v>
      </c>
    </row>
    <row r="13" spans="1:14" ht="50.5" customHeight="1" outlineLevel="1" x14ac:dyDescent="0.4">
      <c r="A13" s="251"/>
      <c r="B13" s="59"/>
      <c r="C13" s="327"/>
      <c r="D13" s="325"/>
      <c r="E13" s="325"/>
      <c r="F13" s="329"/>
      <c r="G13" s="9"/>
      <c r="H13" s="722" t="s">
        <v>891</v>
      </c>
      <c r="I13" s="723"/>
      <c r="J13" s="672" t="s">
        <v>967</v>
      </c>
      <c r="K13" s="672" t="s">
        <v>968</v>
      </c>
      <c r="L13" s="672" t="s">
        <v>969</v>
      </c>
      <c r="M13" s="672" t="s">
        <v>970</v>
      </c>
      <c r="N13" s="672" t="s">
        <v>971</v>
      </c>
    </row>
    <row r="14" spans="1:14" ht="15" customHeight="1" outlineLevel="1" x14ac:dyDescent="0.4">
      <c r="A14" s="251"/>
      <c r="B14" s="59"/>
      <c r="C14" s="327" t="s">
        <v>983</v>
      </c>
      <c r="D14" s="491" t="e">
        <f>VLOOKUP(C1,Dec2022Data!A3:Z180,4,FALSE)</f>
        <v>#N/A</v>
      </c>
      <c r="E14" s="491" t="e">
        <f>+D10</f>
        <v>#N/A</v>
      </c>
      <c r="F14" s="328" t="s">
        <v>976</v>
      </c>
      <c r="G14" s="9"/>
      <c r="H14" s="668"/>
      <c r="I14" s="669" t="s">
        <v>3</v>
      </c>
      <c r="J14" s="550">
        <f>SUM(K14:N14)</f>
        <v>0</v>
      </c>
      <c r="K14" s="587"/>
      <c r="L14" s="587"/>
      <c r="M14" s="587"/>
      <c r="N14" s="587"/>
    </row>
    <row r="15" spans="1:14" ht="15" customHeight="1" outlineLevel="1" x14ac:dyDescent="0.4">
      <c r="A15" s="251"/>
      <c r="B15" s="59"/>
      <c r="C15" s="327" t="s">
        <v>984</v>
      </c>
      <c r="D15" s="491" t="e">
        <f>-VLOOKUP(C1,Dec2022Data!A3:Z180,5,FALSE)</f>
        <v>#N/A</v>
      </c>
      <c r="E15" s="491" t="e">
        <f>+D11</f>
        <v>#N/A</v>
      </c>
      <c r="F15" s="328" t="s">
        <v>977</v>
      </c>
      <c r="G15" s="9"/>
      <c r="H15" s="670"/>
      <c r="I15" s="669" t="s">
        <v>858</v>
      </c>
      <c r="J15" s="550">
        <f t="shared" ref="J15:J19" si="1">SUM(K15:N15)</f>
        <v>0</v>
      </c>
      <c r="K15" s="587"/>
      <c r="L15" s="587"/>
      <c r="M15" s="587"/>
      <c r="N15" s="587"/>
    </row>
    <row r="16" spans="1:14" ht="15" customHeight="1" outlineLevel="1" thickBot="1" x14ac:dyDescent="0.45">
      <c r="A16" s="251"/>
      <c r="B16" s="10"/>
      <c r="C16" s="327" t="s">
        <v>985</v>
      </c>
      <c r="D16" s="493" t="e">
        <f>+D15+D14</f>
        <v>#N/A</v>
      </c>
      <c r="E16" s="493" t="e">
        <f>+D12</f>
        <v>#N/A</v>
      </c>
      <c r="F16" s="328" t="s">
        <v>978</v>
      </c>
      <c r="G16" s="9"/>
      <c r="H16" s="483"/>
      <c r="I16" s="669" t="s">
        <v>855</v>
      </c>
      <c r="J16" s="550">
        <f t="shared" si="1"/>
        <v>0</v>
      </c>
      <c r="K16" s="587"/>
      <c r="L16" s="587"/>
      <c r="M16" s="587"/>
      <c r="N16" s="587"/>
    </row>
    <row r="17" spans="1:19" ht="15.75" customHeight="1" outlineLevel="1" thickTop="1" x14ac:dyDescent="0.4">
      <c r="A17" s="251"/>
      <c r="B17" s="10"/>
      <c r="C17" s="329"/>
      <c r="D17" s="325"/>
      <c r="E17" s="325"/>
      <c r="F17" s="329"/>
      <c r="G17" s="9"/>
      <c r="H17" s="483"/>
      <c r="I17" s="669" t="s">
        <v>856</v>
      </c>
      <c r="J17" s="550">
        <f t="shared" si="1"/>
        <v>0</v>
      </c>
      <c r="K17" s="587"/>
      <c r="L17" s="587"/>
      <c r="M17" s="587"/>
      <c r="N17" s="587"/>
      <c r="O17" s="1"/>
      <c r="P17" s="1"/>
      <c r="Q17" s="1"/>
      <c r="R17" s="1"/>
      <c r="S17" s="1"/>
    </row>
    <row r="18" spans="1:19" ht="19.25" customHeight="1" outlineLevel="1" x14ac:dyDescent="0.4">
      <c r="A18" s="251"/>
      <c r="B18" s="10"/>
      <c r="C18" s="327" t="s">
        <v>617</v>
      </c>
      <c r="D18" s="491" t="e">
        <f>+D12-D16</f>
        <v>#N/A</v>
      </c>
      <c r="E18" s="491" t="e">
        <f>+E12-E16</f>
        <v>#N/A</v>
      </c>
      <c r="F18" s="329"/>
      <c r="G18" s="9"/>
      <c r="H18" s="483"/>
      <c r="I18" s="669" t="s">
        <v>481</v>
      </c>
      <c r="J18" s="550">
        <f t="shared" si="1"/>
        <v>0</v>
      </c>
      <c r="K18" s="587"/>
      <c r="L18" s="587"/>
      <c r="M18" s="587"/>
      <c r="N18" s="587"/>
      <c r="O18" s="1"/>
      <c r="P18" s="1"/>
      <c r="Q18" s="1"/>
      <c r="R18" s="1"/>
      <c r="S18" s="1"/>
    </row>
    <row r="19" spans="1:19" ht="15" customHeight="1" outlineLevel="1" x14ac:dyDescent="0.4">
      <c r="A19" s="251"/>
      <c r="B19" s="10"/>
      <c r="C19" s="327" t="s">
        <v>618</v>
      </c>
      <c r="D19" s="494" t="e">
        <f>+D12/D16-1</f>
        <v>#N/A</v>
      </c>
      <c r="E19" s="494" t="e">
        <f>+E12/E16-1</f>
        <v>#N/A</v>
      </c>
      <c r="F19" s="329"/>
      <c r="G19" s="9"/>
      <c r="H19" s="483"/>
      <c r="I19" s="669" t="s">
        <v>857</v>
      </c>
      <c r="J19" s="550">
        <f t="shared" si="1"/>
        <v>0</v>
      </c>
      <c r="K19" s="587"/>
      <c r="L19" s="587"/>
      <c r="M19" s="587"/>
      <c r="N19" s="587"/>
      <c r="O19" s="1"/>
      <c r="P19" s="1"/>
      <c r="Q19" s="1">
        <f>+O19</f>
        <v>0</v>
      </c>
      <c r="R19" s="1">
        <f>+Q19*0.9991</f>
        <v>0</v>
      </c>
      <c r="S19" s="11" t="e">
        <f>+R19/Q19-1</f>
        <v>#DIV/0!</v>
      </c>
    </row>
    <row r="20" spans="1:19" ht="15" customHeight="1" outlineLevel="1" x14ac:dyDescent="0.4">
      <c r="A20" s="251"/>
      <c r="B20" s="59"/>
      <c r="C20" s="327"/>
      <c r="D20" s="326"/>
      <c r="E20" s="326"/>
      <c r="F20" s="329"/>
      <c r="G20" s="9"/>
      <c r="H20" s="483"/>
      <c r="I20" s="669" t="s">
        <v>85</v>
      </c>
      <c r="J20" s="550">
        <f t="shared" ref="J20" si="2">SUM(K20:N20)</f>
        <v>0</v>
      </c>
      <c r="K20" s="587"/>
      <c r="L20" s="587"/>
      <c r="M20" s="587"/>
      <c r="N20" s="587"/>
      <c r="O20" s="1"/>
      <c r="P20" s="1"/>
      <c r="Q20" s="1"/>
      <c r="R20" s="1"/>
      <c r="S20" s="11"/>
    </row>
    <row r="21" spans="1:19" ht="15" customHeight="1" outlineLevel="1" x14ac:dyDescent="0.4">
      <c r="A21" s="251" t="s">
        <v>716</v>
      </c>
      <c r="B21" s="10"/>
      <c r="C21" s="327" t="s">
        <v>979</v>
      </c>
      <c r="D21" s="495" t="e">
        <f>+'CDE Mill Levy Certify Form'!C28</f>
        <v>#N/A</v>
      </c>
      <c r="E21" s="495">
        <f>+J21</f>
        <v>0</v>
      </c>
      <c r="F21" s="328" t="s">
        <v>892</v>
      </c>
      <c r="G21" s="9"/>
      <c r="H21" s="675"/>
      <c r="I21" s="676" t="s">
        <v>496</v>
      </c>
      <c r="J21" s="551">
        <f>SUM(K21:N21)</f>
        <v>0</v>
      </c>
      <c r="K21" s="552">
        <f>SUM(K14:K20)</f>
        <v>0</v>
      </c>
      <c r="L21" s="552">
        <f>SUM(L14:L20)</f>
        <v>0</v>
      </c>
      <c r="M21" s="552">
        <f t="shared" ref="M21:N21" si="3">SUM(M14:M20)</f>
        <v>0</v>
      </c>
      <c r="N21" s="552">
        <f t="shared" si="3"/>
        <v>0</v>
      </c>
      <c r="O21" s="1"/>
      <c r="P21" s="1"/>
      <c r="Q21" s="1"/>
      <c r="R21" s="1"/>
      <c r="S21" s="1"/>
    </row>
    <row r="22" spans="1:19" ht="15.75" customHeight="1" outlineLevel="1" x14ac:dyDescent="0.4">
      <c r="A22" s="251"/>
      <c r="B22" s="10"/>
      <c r="C22" s="50"/>
      <c r="D22" s="32"/>
      <c r="E22" s="32"/>
      <c r="F22" s="47"/>
      <c r="G22" s="9"/>
      <c r="H22" s="1"/>
      <c r="I22" s="12"/>
      <c r="J22" s="30"/>
      <c r="K22" s="30"/>
      <c r="L22" s="30"/>
      <c r="M22" s="30"/>
      <c r="N22" s="1"/>
      <c r="O22" s="1"/>
      <c r="P22" s="1"/>
      <c r="Q22" s="1"/>
      <c r="R22" s="1"/>
      <c r="S22" s="1"/>
    </row>
    <row r="23" spans="1:19" ht="16.5" customHeight="1" outlineLevel="1" thickBot="1" x14ac:dyDescent="0.4">
      <c r="A23" s="67"/>
      <c r="B23" s="16"/>
      <c r="C23" s="17"/>
      <c r="D23" s="17"/>
      <c r="E23" s="17"/>
      <c r="F23" s="17"/>
      <c r="G23" s="18"/>
      <c r="H23" s="1"/>
      <c r="I23" s="12"/>
      <c r="J23" s="1"/>
      <c r="K23" s="19"/>
      <c r="L23" s="19"/>
      <c r="M23" s="19"/>
      <c r="N23" s="19"/>
      <c r="O23" s="19"/>
      <c r="P23" s="1"/>
      <c r="Q23" s="1"/>
      <c r="R23" s="1"/>
      <c r="S23" s="1"/>
    </row>
    <row r="24" spans="1:19" ht="15.75" customHeight="1" outlineLevel="1" x14ac:dyDescent="0.35">
      <c r="A24" s="67"/>
      <c r="B24" s="1"/>
      <c r="C24" s="1"/>
      <c r="D24" s="1"/>
      <c r="E24" s="1"/>
      <c r="F24" s="1"/>
      <c r="G24" s="1"/>
      <c r="H24" s="1"/>
      <c r="I24" s="12"/>
      <c r="J24" s="1"/>
      <c r="K24" s="1"/>
      <c r="L24" s="1"/>
      <c r="M24" s="1"/>
      <c r="N24" s="1"/>
      <c r="O24" s="1"/>
      <c r="P24" s="1"/>
      <c r="Q24" s="1"/>
      <c r="R24" s="1"/>
      <c r="S24" s="1"/>
    </row>
    <row r="25" spans="1:19" ht="26" customHeight="1" outlineLevel="1" x14ac:dyDescent="0.6">
      <c r="A25" s="67"/>
      <c r="B25" s="718" t="s">
        <v>884</v>
      </c>
      <c r="C25" s="718"/>
      <c r="D25" s="718"/>
      <c r="E25" s="718"/>
      <c r="F25" s="718"/>
      <c r="G25" s="718"/>
      <c r="H25" s="718"/>
      <c r="I25" s="12"/>
      <c r="J25" s="1"/>
      <c r="K25" s="20"/>
      <c r="L25" s="20"/>
      <c r="M25" s="20"/>
      <c r="N25" s="20"/>
      <c r="O25" s="20"/>
      <c r="P25" s="1"/>
      <c r="Q25" s="1"/>
      <c r="R25" s="1"/>
      <c r="S25" s="1"/>
    </row>
    <row r="26" spans="1:19" ht="17.25" customHeight="1" outlineLevel="1" x14ac:dyDescent="0.35">
      <c r="A26" s="67"/>
      <c r="B26" s="216"/>
      <c r="C26" s="217"/>
      <c r="D26" s="217"/>
      <c r="E26" s="217"/>
      <c r="F26" s="217"/>
      <c r="G26" s="217"/>
      <c r="H26" s="1"/>
      <c r="I26" s="12"/>
      <c r="J26" s="1"/>
      <c r="K26" s="20"/>
      <c r="L26" s="20"/>
      <c r="M26" s="20"/>
      <c r="N26" s="20"/>
      <c r="O26" s="20"/>
      <c r="P26" s="1"/>
      <c r="Q26" s="1"/>
      <c r="R26" s="1"/>
      <c r="S26" s="1"/>
    </row>
    <row r="27" spans="1:19" ht="15" customHeight="1" outlineLevel="1" x14ac:dyDescent="0.35">
      <c r="A27" s="68"/>
      <c r="B27" s="68"/>
      <c r="C27" s="472" t="str">
        <f>+D9</f>
        <v>1/6/2024 Total</v>
      </c>
      <c r="D27" s="472" t="str">
        <f>+C27</f>
        <v>1/6/2024 Total</v>
      </c>
      <c r="E27" s="472" t="str">
        <f>+E9</f>
        <v>12/15/2024 Total</v>
      </c>
      <c r="F27" s="472" t="str">
        <f>+E27</f>
        <v>12/15/2024 Total</v>
      </c>
      <c r="G27" s="472" t="s">
        <v>642</v>
      </c>
      <c r="H27" s="472" t="s">
        <v>644</v>
      </c>
      <c r="I27" s="12"/>
      <c r="J27" s="1"/>
      <c r="K27" s="1"/>
      <c r="L27" s="19"/>
      <c r="M27" s="22"/>
      <c r="N27" s="22"/>
      <c r="O27" s="22"/>
      <c r="P27" s="22"/>
      <c r="Q27" s="1"/>
      <c r="R27" s="1"/>
      <c r="S27" s="1"/>
    </row>
    <row r="28" spans="1:19" ht="20.5" customHeight="1" outlineLevel="1" x14ac:dyDescent="0.5">
      <c r="A28" s="232" t="s">
        <v>668</v>
      </c>
      <c r="B28" s="212" t="s">
        <v>3</v>
      </c>
      <c r="C28" s="473" t="s">
        <v>863</v>
      </c>
      <c r="D28" s="473" t="s">
        <v>864</v>
      </c>
      <c r="E28" s="473" t="s">
        <v>893</v>
      </c>
      <c r="F28" s="473" t="s">
        <v>894</v>
      </c>
      <c r="G28" s="474" t="s">
        <v>2</v>
      </c>
      <c r="H28" s="472" t="s">
        <v>2</v>
      </c>
      <c r="I28" s="8"/>
      <c r="J28" s="23"/>
      <c r="K28" s="23"/>
      <c r="L28" s="23"/>
      <c r="M28" s="23"/>
      <c r="N28" s="1"/>
      <c r="O28" s="1"/>
      <c r="P28" s="1"/>
      <c r="Q28" s="1"/>
      <c r="R28" s="1"/>
      <c r="S28" s="1"/>
    </row>
    <row r="29" spans="1:19" ht="17.25" customHeight="1" outlineLevel="1" x14ac:dyDescent="0.35">
      <c r="A29" s="67"/>
      <c r="B29" s="67"/>
      <c r="C29" s="483"/>
      <c r="D29" s="484"/>
      <c r="E29" s="485"/>
      <c r="F29" s="485"/>
      <c r="G29" s="485"/>
      <c r="H29" s="486"/>
      <c r="I29" s="41"/>
      <c r="J29" s="15"/>
      <c r="K29" s="1"/>
      <c r="L29" s="25"/>
      <c r="M29" s="1"/>
      <c r="N29" s="1"/>
      <c r="O29" s="1"/>
      <c r="P29" s="1"/>
      <c r="Q29" s="1"/>
      <c r="R29" s="1"/>
      <c r="S29" s="1"/>
    </row>
    <row r="30" spans="1:19" ht="17.25" customHeight="1" outlineLevel="1" x14ac:dyDescent="0.4">
      <c r="A30" s="251" t="s">
        <v>693</v>
      </c>
      <c r="B30" s="218" t="s">
        <v>25</v>
      </c>
      <c r="C30" s="496" t="e">
        <f>+D30*$E$16/1000</f>
        <v>#N/A</v>
      </c>
      <c r="D30" s="497" t="e">
        <f>+'CDE Mill Levy Certify Form'!C31</f>
        <v>#N/A</v>
      </c>
      <c r="E30" s="496" t="e">
        <f>+F30*$E$12/1000</f>
        <v>#N/A</v>
      </c>
      <c r="F30" s="498" t="e">
        <f>+'CDE Mill Levy Certify Form'!E31</f>
        <v>#N/A</v>
      </c>
      <c r="G30" s="499" t="e">
        <f t="shared" ref="G30:H32" si="4">+E30-C30</f>
        <v>#N/A</v>
      </c>
      <c r="H30" s="500" t="e">
        <f t="shared" si="4"/>
        <v>#N/A</v>
      </c>
      <c r="I30" s="57"/>
      <c r="J30" s="15"/>
      <c r="K30" s="1"/>
      <c r="L30" s="58"/>
      <c r="M30" s="1"/>
      <c r="N30" s="1"/>
      <c r="O30" s="1"/>
      <c r="P30" s="1"/>
      <c r="Q30" s="1"/>
      <c r="R30" s="1"/>
      <c r="S30" s="1"/>
    </row>
    <row r="31" spans="1:19" ht="17.25" customHeight="1" outlineLevel="1" x14ac:dyDescent="0.4">
      <c r="A31" s="251" t="s">
        <v>694</v>
      </c>
      <c r="B31" s="218" t="s">
        <v>26</v>
      </c>
      <c r="C31" s="501" t="e">
        <f>-$E$16*D31/1000</f>
        <v>#N/A</v>
      </c>
      <c r="D31" s="497" t="e">
        <f>-'CDE Mill Levy Certify Form'!C33</f>
        <v>#N/A</v>
      </c>
      <c r="E31" s="501" t="e">
        <f>-$E$12*F31/1000</f>
        <v>#N/A</v>
      </c>
      <c r="F31" s="498" t="e">
        <f>-'CDE Mill Levy Certify Form'!E33</f>
        <v>#N/A</v>
      </c>
      <c r="G31" s="502" t="e">
        <f t="shared" si="4"/>
        <v>#N/A</v>
      </c>
      <c r="H31" s="500" t="e">
        <f t="shared" si="4"/>
        <v>#N/A</v>
      </c>
      <c r="I31" s="57"/>
      <c r="J31" s="15"/>
      <c r="K31" s="1"/>
      <c r="L31" s="58"/>
      <c r="M31" s="1"/>
      <c r="N31" s="1"/>
      <c r="O31" s="1"/>
      <c r="P31" s="1"/>
      <c r="Q31" s="1"/>
      <c r="R31" s="1"/>
      <c r="S31" s="1"/>
    </row>
    <row r="32" spans="1:19" ht="29" customHeight="1" outlineLevel="1" x14ac:dyDescent="0.4">
      <c r="A32" s="251" t="s">
        <v>695</v>
      </c>
      <c r="B32" s="471" t="s">
        <v>634</v>
      </c>
      <c r="C32" s="503" t="e">
        <f>+D32*$E$16/1000</f>
        <v>#N/A</v>
      </c>
      <c r="D32" s="504" t="e">
        <f>+'CDE Mill Levy Certify Form'!C35</f>
        <v>#N/A</v>
      </c>
      <c r="E32" s="503" t="e">
        <f>+F32*E12/1000</f>
        <v>#N/A</v>
      </c>
      <c r="F32" s="505" t="e">
        <f>+'CDE Mill Levy Certify Form'!E35</f>
        <v>#N/A</v>
      </c>
      <c r="G32" s="506" t="e">
        <f t="shared" si="4"/>
        <v>#N/A</v>
      </c>
      <c r="H32" s="505" t="e">
        <f t="shared" si="4"/>
        <v>#N/A</v>
      </c>
      <c r="I32" s="57"/>
      <c r="N32" s="1"/>
      <c r="O32" s="13"/>
      <c r="P32" s="15"/>
      <c r="Q32" s="1"/>
      <c r="R32" s="1"/>
      <c r="S32" s="1"/>
    </row>
    <row r="33" spans="1:13" ht="29" customHeight="1" outlineLevel="1" x14ac:dyDescent="0.4">
      <c r="A33" s="251" t="s">
        <v>698</v>
      </c>
      <c r="B33" s="218" t="s">
        <v>696</v>
      </c>
      <c r="C33" s="501" t="e">
        <f>+$E$16*D33/1000</f>
        <v>#N/A</v>
      </c>
      <c r="D33" s="497" t="e">
        <f>+'CDE Mill Levy Certify Form'!C38</f>
        <v>#N/A</v>
      </c>
      <c r="E33" s="501">
        <f>+$E$12*F33/1000</f>
        <v>0</v>
      </c>
      <c r="F33" s="664"/>
      <c r="G33" s="502" t="e">
        <f t="shared" ref="G33:H35" si="5">+E33-C33</f>
        <v>#N/A</v>
      </c>
      <c r="H33" s="500" t="e">
        <f t="shared" si="5"/>
        <v>#N/A</v>
      </c>
      <c r="I33" s="321" t="s">
        <v>846</v>
      </c>
      <c r="J33" s="322"/>
      <c r="K33" s="322"/>
      <c r="L33" s="322"/>
      <c r="M33" s="322"/>
    </row>
    <row r="34" spans="1:13" ht="29" customHeight="1" outlineLevel="1" x14ac:dyDescent="0.4">
      <c r="A34" s="251" t="s">
        <v>699</v>
      </c>
      <c r="B34" s="218" t="s">
        <v>697</v>
      </c>
      <c r="C34" s="501" t="e">
        <f>+$E$16*D34/1000</f>
        <v>#N/A</v>
      </c>
      <c r="D34" s="497" t="e">
        <f>+'CDE Mill Levy Certify Form'!C40</f>
        <v>#N/A</v>
      </c>
      <c r="E34" s="501">
        <f>+$E$12*F34/1000</f>
        <v>0</v>
      </c>
      <c r="F34" s="664"/>
      <c r="G34" s="502" t="e">
        <f t="shared" si="5"/>
        <v>#N/A</v>
      </c>
      <c r="H34" s="500" t="e">
        <f t="shared" si="5"/>
        <v>#N/A</v>
      </c>
      <c r="I34" s="321" t="s">
        <v>846</v>
      </c>
      <c r="J34" s="322"/>
      <c r="K34" s="322"/>
      <c r="L34" s="322"/>
      <c r="M34" s="322"/>
    </row>
    <row r="35" spans="1:13" ht="29" customHeight="1" outlineLevel="1" x14ac:dyDescent="0.4">
      <c r="A35" s="251" t="s">
        <v>700</v>
      </c>
      <c r="B35" s="213" t="s">
        <v>635</v>
      </c>
      <c r="C35" s="507" t="e">
        <f>+C34+C33+C32</f>
        <v>#N/A</v>
      </c>
      <c r="D35" s="508" t="e">
        <f>+D34+D33+D32</f>
        <v>#N/A</v>
      </c>
      <c r="E35" s="507" t="e">
        <f>+E34+E33+E32</f>
        <v>#N/A</v>
      </c>
      <c r="F35" s="509" t="e">
        <f>+F34+F33+F32</f>
        <v>#N/A</v>
      </c>
      <c r="G35" s="510" t="e">
        <f>+E35-C35</f>
        <v>#N/A</v>
      </c>
      <c r="H35" s="509" t="e">
        <f t="shared" si="5"/>
        <v>#N/A</v>
      </c>
      <c r="I35" s="57"/>
    </row>
    <row r="36" spans="1:13" ht="47.5" customHeight="1" outlineLevel="1" x14ac:dyDescent="0.35">
      <c r="A36" s="71"/>
      <c r="I36" s="57"/>
    </row>
    <row r="37" spans="1:13" ht="53.5" customHeight="1" outlineLevel="1" x14ac:dyDescent="0.5">
      <c r="A37" s="70"/>
      <c r="B37" s="717" t="s">
        <v>643</v>
      </c>
      <c r="C37" s="717"/>
      <c r="D37" s="717"/>
      <c r="E37" s="717"/>
      <c r="F37" s="717"/>
      <c r="G37" s="717"/>
      <c r="H37" s="717"/>
      <c r="K37" s="307" t="s">
        <v>764</v>
      </c>
      <c r="L37" s="307" t="s">
        <v>765</v>
      </c>
    </row>
    <row r="38" spans="1:13" ht="46.5" outlineLevel="1" x14ac:dyDescent="0.5">
      <c r="A38" s="232" t="s">
        <v>669</v>
      </c>
      <c r="C38" s="472" t="str">
        <f>+$D$9</f>
        <v>1/6/2024 Total</v>
      </c>
      <c r="D38" s="472" t="str">
        <f>+$C$38</f>
        <v>1/6/2024 Total</v>
      </c>
      <c r="E38" s="472" t="str">
        <f>+$E$9</f>
        <v>12/15/2024 Total</v>
      </c>
      <c r="F38" s="472" t="str">
        <f>+$E$38</f>
        <v>12/15/2024 Total</v>
      </c>
      <c r="G38" s="472" t="s">
        <v>761</v>
      </c>
      <c r="H38" s="472" t="s">
        <v>826</v>
      </c>
      <c r="J38" s="476" t="s">
        <v>24</v>
      </c>
      <c r="K38" s="482" t="s">
        <v>30</v>
      </c>
      <c r="L38" s="667" t="s">
        <v>966</v>
      </c>
      <c r="M38" s="479" t="s">
        <v>24</v>
      </c>
    </row>
    <row r="39" spans="1:13" ht="42.65" customHeight="1" outlineLevel="1" x14ac:dyDescent="0.35">
      <c r="A39" s="70"/>
      <c r="C39" s="474">
        <v>0</v>
      </c>
      <c r="D39" s="474" t="str">
        <f>+$D$28</f>
        <v>FY24 Actual Mills</v>
      </c>
      <c r="E39" s="474" t="str">
        <f>+$E$28</f>
        <v>FY25 Actual $</v>
      </c>
      <c r="F39" s="474" t="str">
        <f>+$F$28</f>
        <v>FY25 Actual Mills</v>
      </c>
      <c r="G39" s="474" t="s">
        <v>2</v>
      </c>
      <c r="H39" s="474" t="s">
        <v>2</v>
      </c>
      <c r="J39" s="480" t="s">
        <v>29</v>
      </c>
      <c r="K39" s="481" t="s">
        <v>28</v>
      </c>
      <c r="L39" s="620" t="s">
        <v>909</v>
      </c>
      <c r="M39" s="480" t="s">
        <v>836</v>
      </c>
    </row>
    <row r="40" spans="1:13" ht="31" outlineLevel="1" x14ac:dyDescent="0.4">
      <c r="A40" s="251" t="s">
        <v>701</v>
      </c>
      <c r="B40" s="214" t="s">
        <v>641</v>
      </c>
      <c r="C40" s="511" t="e">
        <f>+$E$16*D40/1000</f>
        <v>#N/A</v>
      </c>
      <c r="D40" s="498" t="e">
        <f>+'CDE Mill Levy Certify Form'!C46</f>
        <v>#N/A</v>
      </c>
      <c r="E40" s="512" t="e">
        <f>+M40</f>
        <v>#N/A</v>
      </c>
      <c r="F40" s="498" t="e">
        <f>+L40</f>
        <v>#N/A</v>
      </c>
      <c r="G40" s="511" t="e">
        <f>+E40-C40</f>
        <v>#N/A</v>
      </c>
      <c r="H40" s="498" t="e">
        <f>+F40-D40</f>
        <v>#N/A</v>
      </c>
      <c r="I40" s="51" t="s">
        <v>965</v>
      </c>
      <c r="J40" s="553" t="e">
        <f>+K40/$E$12*1000</f>
        <v>#N/A</v>
      </c>
      <c r="K40" s="665" t="e">
        <f>VLOOKUP(C1,'Hold Harmless'!A5:F183,5,FALSE)</f>
        <v>#N/A</v>
      </c>
      <c r="L40" s="666" t="e">
        <f>ROUND(J40,3)</f>
        <v>#N/A</v>
      </c>
      <c r="M40" s="560" t="e">
        <f>+L40*$E$12/1000</f>
        <v>#N/A</v>
      </c>
    </row>
    <row r="41" spans="1:13" s="56" customFormat="1" ht="19" outlineLevel="1" x14ac:dyDescent="0.4">
      <c r="A41" s="251" t="s">
        <v>702</v>
      </c>
      <c r="B41" s="214" t="s">
        <v>636</v>
      </c>
      <c r="C41" s="511" t="e">
        <f>+$E$16*D41/1000</f>
        <v>#N/A</v>
      </c>
      <c r="D41" s="498" t="e">
        <f>+'CDE Mill Levy Certify Form'!C48</f>
        <v>#N/A</v>
      </c>
      <c r="E41" s="512" t="e">
        <f>+M41</f>
        <v>#N/A</v>
      </c>
      <c r="F41" s="498" t="e">
        <f>+L41</f>
        <v>#N/A</v>
      </c>
      <c r="G41" s="511" t="e">
        <f>+E41-C41</f>
        <v>#N/A</v>
      </c>
      <c r="H41" s="498" t="e">
        <f>+F41-D41</f>
        <v>#N/A</v>
      </c>
      <c r="I41" s="51" t="s">
        <v>965</v>
      </c>
      <c r="J41" s="553" t="e">
        <f>+K41/$E$12*1000</f>
        <v>#N/A</v>
      </c>
      <c r="K41" s="665" t="e">
        <f>VLOOKUP(C1,'Hold Harmless'!A5:F183,6,FALSE)</f>
        <v>#N/A</v>
      </c>
      <c r="L41" s="666" t="e">
        <f>ROUND(J41,3)</f>
        <v>#N/A</v>
      </c>
      <c r="M41" s="560" t="e">
        <f>+L41*$E$12/1000</f>
        <v>#N/A</v>
      </c>
    </row>
    <row r="42" spans="1:13" s="56" customFormat="1" ht="15.5" outlineLevel="1" x14ac:dyDescent="0.25">
      <c r="B42" s="606" t="s">
        <v>637</v>
      </c>
      <c r="C42" s="606"/>
      <c r="D42" s="607"/>
      <c r="E42" s="606"/>
      <c r="F42" s="607"/>
      <c r="G42" s="608"/>
      <c r="H42" s="607"/>
      <c r="I42" s="51"/>
      <c r="J42" s="589"/>
      <c r="K42" s="591"/>
      <c r="L42" s="592"/>
      <c r="M42" s="590"/>
    </row>
    <row r="43" spans="1:13" s="56" customFormat="1" ht="31" outlineLevel="1" x14ac:dyDescent="0.4">
      <c r="A43" s="251" t="s">
        <v>704</v>
      </c>
      <c r="B43" s="466" t="s">
        <v>905</v>
      </c>
      <c r="C43" s="685"/>
      <c r="D43" s="686"/>
      <c r="E43" s="512">
        <f>+M43</f>
        <v>0</v>
      </c>
      <c r="F43" s="498">
        <f>+L43</f>
        <v>0</v>
      </c>
      <c r="G43" s="511">
        <f t="shared" ref="G43:G51" si="6">+E43-C43</f>
        <v>0</v>
      </c>
      <c r="H43" s="498">
        <f t="shared" ref="H43:H51" si="7">+F43-D43</f>
        <v>0</v>
      </c>
      <c r="I43" s="51"/>
      <c r="J43" s="553" t="e">
        <f>+K43/$E$12*1000</f>
        <v>#DIV/0!</v>
      </c>
      <c r="K43" s="588"/>
      <c r="L43" s="601"/>
      <c r="M43" s="560">
        <f>+L43*$E$12/1000</f>
        <v>0</v>
      </c>
    </row>
    <row r="44" spans="1:13" s="56" customFormat="1" ht="31" outlineLevel="1" x14ac:dyDescent="0.4">
      <c r="A44" s="251" t="s">
        <v>703</v>
      </c>
      <c r="B44" s="466" t="s">
        <v>906</v>
      </c>
      <c r="C44" s="687"/>
      <c r="D44" s="688"/>
      <c r="E44" s="512">
        <f t="shared" ref="E44:E51" si="8">+M44</f>
        <v>0</v>
      </c>
      <c r="F44" s="498">
        <f>+L44</f>
        <v>0</v>
      </c>
      <c r="G44" s="511">
        <f t="shared" si="6"/>
        <v>0</v>
      </c>
      <c r="H44" s="498">
        <f t="shared" si="7"/>
        <v>0</v>
      </c>
      <c r="I44" s="51"/>
      <c r="J44" s="553" t="e">
        <f>+K44/$E$12*1000</f>
        <v>#DIV/0!</v>
      </c>
      <c r="K44" s="588"/>
      <c r="L44" s="601"/>
      <c r="M44" s="560">
        <f>+L44*$E$12/1000</f>
        <v>0</v>
      </c>
    </row>
    <row r="45" spans="1:13" s="56" customFormat="1" ht="31" outlineLevel="1" x14ac:dyDescent="0.4">
      <c r="A45" s="251" t="s">
        <v>705</v>
      </c>
      <c r="B45" s="466" t="s">
        <v>905</v>
      </c>
      <c r="C45" s="687"/>
      <c r="D45" s="688"/>
      <c r="E45" s="512">
        <f t="shared" si="8"/>
        <v>0</v>
      </c>
      <c r="F45" s="498">
        <f>+L45</f>
        <v>0</v>
      </c>
      <c r="G45" s="511">
        <f t="shared" si="6"/>
        <v>0</v>
      </c>
      <c r="H45" s="498">
        <f t="shared" si="7"/>
        <v>0</v>
      </c>
      <c r="I45" s="51"/>
      <c r="J45" s="553" t="e">
        <f>+K45/$E$12*1000</f>
        <v>#DIV/0!</v>
      </c>
      <c r="K45" s="588"/>
      <c r="L45" s="601"/>
      <c r="M45" s="560">
        <f>+L45*$E$12/1000</f>
        <v>0</v>
      </c>
    </row>
    <row r="46" spans="1:13" s="56" customFormat="1" ht="31" outlineLevel="1" x14ac:dyDescent="0.4">
      <c r="A46" s="251" t="s">
        <v>708</v>
      </c>
      <c r="B46" s="466" t="s">
        <v>907</v>
      </c>
      <c r="C46" s="687"/>
      <c r="D46" s="688"/>
      <c r="E46" s="512">
        <f t="shared" ref="E46:E47" si="9">+M46</f>
        <v>0</v>
      </c>
      <c r="F46" s="498">
        <f>+L46</f>
        <v>0</v>
      </c>
      <c r="G46" s="511">
        <f t="shared" ref="G46:G47" si="10">+E46-C46</f>
        <v>0</v>
      </c>
      <c r="H46" s="498">
        <f t="shared" ref="H46:H47" si="11">+F46-D46</f>
        <v>0</v>
      </c>
      <c r="I46" s="51"/>
      <c r="J46" s="553" t="e">
        <f>+K46/$E$12*1000</f>
        <v>#DIV/0!</v>
      </c>
      <c r="K46" s="588"/>
      <c r="L46" s="601"/>
      <c r="M46" s="560">
        <f>+L46*$E$12/1000</f>
        <v>0</v>
      </c>
    </row>
    <row r="47" spans="1:13" s="56" customFormat="1" ht="31" outlineLevel="1" x14ac:dyDescent="0.4">
      <c r="A47" s="251" t="s">
        <v>827</v>
      </c>
      <c r="B47" s="466" t="s">
        <v>907</v>
      </c>
      <c r="C47" s="687"/>
      <c r="D47" s="688"/>
      <c r="E47" s="512">
        <f t="shared" si="9"/>
        <v>0</v>
      </c>
      <c r="F47" s="498">
        <f>+L47</f>
        <v>0</v>
      </c>
      <c r="G47" s="511">
        <f t="shared" si="10"/>
        <v>0</v>
      </c>
      <c r="H47" s="498">
        <f t="shared" si="11"/>
        <v>0</v>
      </c>
      <c r="I47" s="51"/>
      <c r="J47" s="553" t="e">
        <f>+K47/$E$12*1000</f>
        <v>#DIV/0!</v>
      </c>
      <c r="K47" s="593"/>
      <c r="L47" s="679"/>
      <c r="M47" s="560">
        <f>+L47*$E$12/1000</f>
        <v>0</v>
      </c>
    </row>
    <row r="48" spans="1:13" s="56" customFormat="1" ht="19" outlineLevel="1" x14ac:dyDescent="0.4">
      <c r="A48" s="251"/>
      <c r="B48" s="214"/>
      <c r="C48" s="513"/>
      <c r="D48" s="514"/>
      <c r="E48" s="512"/>
      <c r="F48" s="498"/>
      <c r="G48" s="511"/>
      <c r="H48" s="498"/>
      <c r="I48" s="51"/>
      <c r="J48" s="554"/>
      <c r="K48" s="596"/>
      <c r="L48" s="597"/>
      <c r="M48" s="561"/>
    </row>
    <row r="49" spans="1:14" s="56" customFormat="1" ht="20" customHeight="1" outlineLevel="1" x14ac:dyDescent="0.4">
      <c r="A49" s="251" t="s">
        <v>708</v>
      </c>
      <c r="B49" s="213" t="s">
        <v>638</v>
      </c>
      <c r="C49" s="510" t="e">
        <f>+$E$16*D49/1000</f>
        <v>#N/A</v>
      </c>
      <c r="D49" s="509" t="e">
        <f>+'CDE Mill Levy Certify Form'!C51</f>
        <v>#N/A</v>
      </c>
      <c r="E49" s="515">
        <f>SUM(E43:E48)</f>
        <v>0</v>
      </c>
      <c r="F49" s="509">
        <f>SUM(F43:F48)</f>
        <v>0</v>
      </c>
      <c r="G49" s="516" t="e">
        <f t="shared" si="6"/>
        <v>#N/A</v>
      </c>
      <c r="H49" s="517" t="e">
        <f t="shared" si="7"/>
        <v>#N/A</v>
      </c>
      <c r="I49" s="51"/>
      <c r="J49" s="589"/>
      <c r="K49" s="594"/>
      <c r="L49" s="592"/>
      <c r="M49" s="590"/>
      <c r="N49" s="52"/>
    </row>
    <row r="50" spans="1:14" s="56" customFormat="1" ht="15" customHeight="1" outlineLevel="1" x14ac:dyDescent="0.4">
      <c r="A50" s="251"/>
      <c r="B50" s="214"/>
      <c r="C50" s="513"/>
      <c r="D50" s="518"/>
      <c r="E50" s="512"/>
      <c r="F50" s="519"/>
      <c r="G50" s="511"/>
      <c r="H50" s="498"/>
      <c r="I50" s="51"/>
      <c r="J50" s="589"/>
      <c r="K50" s="594"/>
      <c r="L50" s="592"/>
      <c r="M50" s="590"/>
      <c r="N50" s="52"/>
    </row>
    <row r="51" spans="1:14" ht="18" customHeight="1" outlineLevel="1" x14ac:dyDescent="0.4">
      <c r="A51" s="251" t="s">
        <v>707</v>
      </c>
      <c r="B51" s="214" t="s">
        <v>5</v>
      </c>
      <c r="C51" s="511" t="e">
        <f>+$E$16*D51/1000</f>
        <v>#N/A</v>
      </c>
      <c r="D51" s="520" t="e">
        <f>+'CDE Mill Levy Certify Form'!C53</f>
        <v>#N/A</v>
      </c>
      <c r="E51" s="512" t="e">
        <f t="shared" si="8"/>
        <v>#DIV/0!</v>
      </c>
      <c r="F51" s="520" t="e">
        <f>+L51</f>
        <v>#DIV/0!</v>
      </c>
      <c r="G51" s="511" t="e">
        <f t="shared" si="6"/>
        <v>#DIV/0!</v>
      </c>
      <c r="H51" s="520" t="e">
        <f t="shared" si="7"/>
        <v>#DIV/0!</v>
      </c>
      <c r="I51" s="51"/>
      <c r="J51" s="553" t="e">
        <f>+K51/$E$12*1000</f>
        <v>#DIV/0!</v>
      </c>
      <c r="K51" s="556">
        <f>+E21</f>
        <v>0</v>
      </c>
      <c r="L51" s="666" t="e">
        <f>ROUND(J51,3)</f>
        <v>#DIV/0!</v>
      </c>
      <c r="M51" s="560" t="e">
        <f>+L51*$E$12/1000</f>
        <v>#DIV/0!</v>
      </c>
      <c r="N51" s="52"/>
    </row>
    <row r="52" spans="1:14" ht="15.75" customHeight="1" outlineLevel="1" x14ac:dyDescent="0.4">
      <c r="A52" s="251"/>
      <c r="B52" s="214"/>
      <c r="C52" s="513"/>
      <c r="D52" s="518"/>
      <c r="E52" s="512"/>
      <c r="F52" s="512"/>
      <c r="G52" s="511"/>
      <c r="H52" s="518"/>
      <c r="I52" s="51"/>
      <c r="J52" s="554"/>
      <c r="K52" s="595"/>
      <c r="L52" s="598"/>
      <c r="M52" s="561"/>
      <c r="N52" s="21"/>
    </row>
    <row r="53" spans="1:14" ht="18.649999999999999" customHeight="1" outlineLevel="1" thickBot="1" x14ac:dyDescent="0.45">
      <c r="A53" s="251" t="s">
        <v>706</v>
      </c>
      <c r="B53" s="213" t="s">
        <v>639</v>
      </c>
      <c r="C53" s="521" t="e">
        <f>SUM(C35:C52)</f>
        <v>#N/A</v>
      </c>
      <c r="D53" s="522" t="e">
        <f>SUM(D35:D52)</f>
        <v>#N/A</v>
      </c>
      <c r="E53" s="523" t="e">
        <f>SUM(E35:E52)-E49</f>
        <v>#N/A</v>
      </c>
      <c r="F53" s="524" t="e">
        <f>SUM(F35:F52)-F49</f>
        <v>#N/A</v>
      </c>
      <c r="G53" s="521" t="e">
        <f>+E53-C53</f>
        <v>#N/A</v>
      </c>
      <c r="H53" s="522" t="e">
        <f>+F53-D53</f>
        <v>#N/A</v>
      </c>
      <c r="I53" s="42"/>
      <c r="J53" s="555" t="e">
        <f>SUM(J40:J40)</f>
        <v>#N/A</v>
      </c>
      <c r="K53" s="557" t="e">
        <f>SUM(K40:K52)</f>
        <v>#N/A</v>
      </c>
      <c r="L53" s="558" t="e">
        <f>SUM(L40:L51)</f>
        <v>#N/A</v>
      </c>
      <c r="M53" s="559" t="e">
        <f>SUM(M40:M51)</f>
        <v>#N/A</v>
      </c>
    </row>
    <row r="54" spans="1:14" ht="15" customHeight="1" outlineLevel="1" thickTop="1" x14ac:dyDescent="0.35">
      <c r="A54" s="67"/>
      <c r="B54" s="77"/>
      <c r="C54" s="219"/>
      <c r="D54" s="55"/>
      <c r="E54" s="12"/>
      <c r="F54" s="40"/>
      <c r="G54" s="40"/>
      <c r="H54" s="43"/>
      <c r="I54" s="43"/>
      <c r="J54" s="26"/>
      <c r="K54" s="23" t="s">
        <v>996</v>
      </c>
      <c r="L54" s="530" t="e">
        <f>+L53-F49-F51-F40</f>
        <v>#N/A</v>
      </c>
      <c r="M54" s="536" t="e">
        <f>+M53-E49-E51-E40</f>
        <v>#N/A</v>
      </c>
      <c r="N54" s="1" t="s">
        <v>995</v>
      </c>
    </row>
    <row r="55" spans="1:14" ht="18.649999999999999" customHeight="1" outlineLevel="1" x14ac:dyDescent="0.35">
      <c r="A55" s="67"/>
      <c r="B55" s="67"/>
      <c r="C55" s="215"/>
      <c r="D55" s="1"/>
      <c r="E55" s="36"/>
      <c r="F55" s="40"/>
      <c r="G55" s="40"/>
      <c r="H55" s="43"/>
      <c r="I55" s="43"/>
      <c r="J55" s="26"/>
      <c r="K55" s="23"/>
      <c r="L55" s="31"/>
      <c r="M55" s="12"/>
      <c r="N55" s="75"/>
    </row>
    <row r="56" spans="1:14" ht="48.65" customHeight="1" outlineLevel="1" x14ac:dyDescent="0.35">
      <c r="A56" s="67"/>
      <c r="B56" s="717" t="s">
        <v>643</v>
      </c>
      <c r="C56" s="717"/>
      <c r="D56" s="717"/>
      <c r="E56" s="717"/>
      <c r="F56" s="717"/>
      <c r="G56" s="717"/>
      <c r="H56" s="717"/>
      <c r="I56" s="43"/>
      <c r="J56" s="26"/>
      <c r="K56" s="1"/>
      <c r="L56" s="15"/>
      <c r="M56" s="1"/>
      <c r="N56" s="1"/>
    </row>
    <row r="57" spans="1:14" ht="65.5" customHeight="1" outlineLevel="1" x14ac:dyDescent="0.5">
      <c r="A57" s="232" t="s">
        <v>670</v>
      </c>
      <c r="B57" s="340" t="s">
        <v>900</v>
      </c>
      <c r="C57" s="472" t="str">
        <f>+$D$9</f>
        <v>1/6/2024 Total</v>
      </c>
      <c r="D57" s="472" t="str">
        <f>+$C$38</f>
        <v>1/6/2024 Total</v>
      </c>
      <c r="E57" s="472" t="str">
        <f>+$E$9</f>
        <v>12/15/2024 Total</v>
      </c>
      <c r="F57" s="472" t="str">
        <f>+$E$38</f>
        <v>12/15/2024 Total</v>
      </c>
      <c r="G57" s="472" t="str">
        <f>+G38</f>
        <v>$</v>
      </c>
      <c r="H57" s="472" t="str">
        <f>+H38</f>
        <v>Mill Levy</v>
      </c>
      <c r="I57" s="43"/>
      <c r="J57" s="476" t="s">
        <v>29</v>
      </c>
      <c r="K57" s="477" t="s">
        <v>820</v>
      </c>
      <c r="L57" s="478" t="s">
        <v>822</v>
      </c>
      <c r="M57" s="479" t="s">
        <v>24</v>
      </c>
      <c r="N57" s="1"/>
    </row>
    <row r="58" spans="1:14" ht="36" customHeight="1" outlineLevel="1" x14ac:dyDescent="0.4">
      <c r="A58" s="67"/>
      <c r="B58" s="220"/>
      <c r="C58" s="474" t="str">
        <f>+$C$28</f>
        <v>FY24 Actual $</v>
      </c>
      <c r="D58" s="474" t="str">
        <f>+$D$28</f>
        <v>FY24 Actual Mills</v>
      </c>
      <c r="E58" s="474" t="str">
        <f>+$E$28</f>
        <v>FY25 Actual $</v>
      </c>
      <c r="F58" s="474" t="str">
        <f>+$F$28</f>
        <v>FY25 Actual Mills</v>
      </c>
      <c r="G58" s="474" t="str">
        <f>+G39</f>
        <v>Variance</v>
      </c>
      <c r="H58" s="474" t="str">
        <f>+H39</f>
        <v>Variance</v>
      </c>
      <c r="I58" s="8"/>
      <c r="J58" s="480" t="s">
        <v>29</v>
      </c>
      <c r="K58" s="481" t="s">
        <v>28</v>
      </c>
      <c r="L58" s="620" t="s">
        <v>909</v>
      </c>
      <c r="M58" s="480" t="s">
        <v>837</v>
      </c>
      <c r="N58" s="21"/>
    </row>
    <row r="59" spans="1:14" ht="33" customHeight="1" outlineLevel="1" x14ac:dyDescent="0.35">
      <c r="A59" s="67"/>
      <c r="B59" s="331" t="s">
        <v>851</v>
      </c>
      <c r="C59" s="525"/>
      <c r="D59" s="526"/>
      <c r="E59" s="527">
        <f>+M59</f>
        <v>0</v>
      </c>
      <c r="F59" s="498">
        <f>+L59</f>
        <v>0</v>
      </c>
      <c r="G59" s="527">
        <f t="shared" ref="G59:H60" si="12">+E59-C59</f>
        <v>0</v>
      </c>
      <c r="H59" s="528">
        <f t="shared" si="12"/>
        <v>0</v>
      </c>
      <c r="I59" s="41"/>
      <c r="J59" s="562" t="e">
        <f>+K59/E12*1000</f>
        <v>#DIV/0!</v>
      </c>
      <c r="K59" s="599"/>
      <c r="L59" s="680"/>
      <c r="M59" s="563">
        <f>+L59*E12/1000</f>
        <v>0</v>
      </c>
      <c r="N59" s="13"/>
    </row>
    <row r="60" spans="1:14" ht="25.25" customHeight="1" outlineLevel="1" thickBot="1" x14ac:dyDescent="0.45">
      <c r="A60" s="251" t="s">
        <v>709</v>
      </c>
      <c r="B60" s="221" t="s">
        <v>6</v>
      </c>
      <c r="C60" s="521" t="e">
        <f>+D60*$E$16/1000</f>
        <v>#N/A</v>
      </c>
      <c r="D60" s="522" t="e">
        <f>+'CDE Mill Levy Certify Form'!C58</f>
        <v>#N/A</v>
      </c>
      <c r="E60" s="521">
        <f>+E59</f>
        <v>0</v>
      </c>
      <c r="F60" s="522">
        <f>+F59</f>
        <v>0</v>
      </c>
      <c r="G60" s="521" t="e">
        <f t="shared" si="12"/>
        <v>#N/A</v>
      </c>
      <c r="H60" s="524" t="e">
        <f t="shared" si="12"/>
        <v>#N/A</v>
      </c>
      <c r="I60" s="42"/>
      <c r="J60" s="41"/>
      <c r="K60" s="12"/>
      <c r="L60" s="41"/>
      <c r="M60" s="12"/>
      <c r="N60" s="13"/>
    </row>
    <row r="61" spans="1:14" ht="16.5" customHeight="1" outlineLevel="1" thickTop="1" x14ac:dyDescent="0.35">
      <c r="A61" s="67"/>
      <c r="B61" s="47"/>
      <c r="D61" s="47"/>
      <c r="E61" s="47"/>
      <c r="F61" s="222"/>
      <c r="G61" s="222"/>
      <c r="H61" s="223"/>
      <c r="I61" s="15"/>
      <c r="J61" s="23"/>
      <c r="K61" s="23"/>
      <c r="L61" s="31"/>
      <c r="M61" s="32"/>
      <c r="N61" s="13"/>
    </row>
    <row r="62" spans="1:14" ht="50" customHeight="1" outlineLevel="1" x14ac:dyDescent="0.35">
      <c r="A62"/>
      <c r="B62" s="717" t="s">
        <v>643</v>
      </c>
      <c r="C62" s="717"/>
      <c r="D62" s="717"/>
      <c r="E62" s="717"/>
      <c r="F62" s="717"/>
      <c r="G62" s="717"/>
      <c r="H62" s="717"/>
      <c r="I62" s="15"/>
      <c r="J62" s="26"/>
      <c r="K62" s="48"/>
      <c r="L62" s="31"/>
      <c r="M62" s="12"/>
      <c r="N62" s="21"/>
    </row>
    <row r="63" spans="1:14" ht="16.5" customHeight="1" outlineLevel="1" x14ac:dyDescent="0.35">
      <c r="A63" s="67"/>
      <c r="B63" s="67"/>
      <c r="C63" s="1"/>
      <c r="D63" s="1"/>
      <c r="E63" s="30"/>
      <c r="F63" s="74"/>
      <c r="G63" s="74"/>
      <c r="H63" s="15"/>
      <c r="I63" s="15"/>
      <c r="J63" s="1"/>
      <c r="K63" s="1"/>
      <c r="L63" s="1"/>
      <c r="M63" s="1"/>
      <c r="N63" s="1"/>
    </row>
    <row r="64" spans="1:14" ht="48.65" customHeight="1" outlineLevel="1" x14ac:dyDescent="0.35">
      <c r="A64"/>
      <c r="B64" s="67"/>
      <c r="C64" s="472" t="str">
        <f>+$D$9</f>
        <v>1/6/2024 Total</v>
      </c>
      <c r="D64" s="472" t="str">
        <f>+$C$38</f>
        <v>1/6/2024 Total</v>
      </c>
      <c r="E64" s="472" t="str">
        <f>+$E$9</f>
        <v>12/15/2024 Total</v>
      </c>
      <c r="F64" s="472" t="str">
        <f>+$E$38</f>
        <v>12/15/2024 Total</v>
      </c>
      <c r="G64" s="472" t="str">
        <f>+G57</f>
        <v>$</v>
      </c>
      <c r="H64" s="472" t="str">
        <f>+H57</f>
        <v>Mill Levy</v>
      </c>
      <c r="I64" s="73"/>
      <c r="J64" s="476" t="s">
        <v>29</v>
      </c>
      <c r="K64" s="477" t="s">
        <v>480</v>
      </c>
      <c r="L64" s="478" t="s">
        <v>822</v>
      </c>
      <c r="M64" s="479" t="s">
        <v>24</v>
      </c>
      <c r="N64" s="1"/>
    </row>
    <row r="65" spans="1:30" ht="41.5" customHeight="1" outlineLevel="1" x14ac:dyDescent="0.5">
      <c r="A65" s="232" t="s">
        <v>673</v>
      </c>
      <c r="B65" s="212" t="s">
        <v>479</v>
      </c>
      <c r="C65" s="474" t="str">
        <f>+$C$28</f>
        <v>FY24 Actual $</v>
      </c>
      <c r="D65" s="474" t="str">
        <f>+$D$28</f>
        <v>FY24 Actual Mills</v>
      </c>
      <c r="E65" s="474" t="str">
        <f>+$E$28</f>
        <v>FY25 Actual $</v>
      </c>
      <c r="F65" s="474" t="str">
        <f>+$F$28</f>
        <v>FY25 Actual Mills</v>
      </c>
      <c r="G65" s="474" t="s">
        <v>2</v>
      </c>
      <c r="H65" s="474" t="str">
        <f>+H39</f>
        <v>Variance</v>
      </c>
      <c r="I65" s="15"/>
      <c r="J65" s="480" t="s">
        <v>29</v>
      </c>
      <c r="K65" s="481" t="s">
        <v>28</v>
      </c>
      <c r="L65" s="481" t="s">
        <v>4</v>
      </c>
      <c r="M65" s="480" t="s">
        <v>838</v>
      </c>
      <c r="N65" s="21">
        <f>+M66-F66</f>
        <v>0</v>
      </c>
      <c r="O65" s="13"/>
      <c r="P65" s="1"/>
      <c r="Q65" s="1"/>
      <c r="R65" s="1"/>
      <c r="S65" s="1"/>
      <c r="T65" s="1"/>
      <c r="U65" s="1"/>
      <c r="V65" s="1"/>
      <c r="W65" s="1"/>
      <c r="X65" s="1"/>
      <c r="Y65" s="1"/>
      <c r="Z65" s="1"/>
      <c r="AA65" s="1"/>
      <c r="AB65" s="1"/>
      <c r="AC65" s="1"/>
      <c r="AD65" s="1"/>
    </row>
    <row r="66" spans="1:30" ht="35.5" customHeight="1" outlineLevel="1" x14ac:dyDescent="0.4">
      <c r="A66" s="251" t="s">
        <v>710</v>
      </c>
      <c r="B66" s="466" t="s">
        <v>907</v>
      </c>
      <c r="C66" s="525" t="e">
        <f>+D66*$E$16/1000</f>
        <v>#N/A</v>
      </c>
      <c r="D66" s="526" t="e">
        <f>+'CDE Mill Levy Certify Form'!C60</f>
        <v>#N/A</v>
      </c>
      <c r="E66" s="511">
        <f>+M66</f>
        <v>0</v>
      </c>
      <c r="F66" s="518">
        <f>+L66</f>
        <v>0</v>
      </c>
      <c r="G66" s="511" t="e">
        <f>+E66-C66</f>
        <v>#N/A</v>
      </c>
      <c r="H66" s="529" t="e">
        <f>+F66-D66</f>
        <v>#N/A</v>
      </c>
      <c r="I66" s="15"/>
      <c r="J66" s="562" t="e">
        <f>+K66/E12*1000</f>
        <v>#DIV/0!</v>
      </c>
      <c r="K66" s="600"/>
      <c r="L66" s="680"/>
      <c r="M66" s="563">
        <f>+L66*$E$12/1000</f>
        <v>0</v>
      </c>
      <c r="N66" s="21"/>
      <c r="O66" s="13"/>
      <c r="P66" s="1"/>
      <c r="Q66" s="1"/>
      <c r="R66" s="1"/>
      <c r="S66" s="1"/>
      <c r="T66" s="1"/>
      <c r="U66" s="1"/>
      <c r="V66" s="1"/>
      <c r="W66" s="1"/>
      <c r="X66" s="1"/>
      <c r="Y66" s="1"/>
      <c r="Z66" s="1"/>
      <c r="AA66" s="1"/>
      <c r="AB66" s="1"/>
      <c r="AC66" s="1"/>
      <c r="AD66" s="1"/>
    </row>
    <row r="67" spans="1:30" ht="16.25" customHeight="1" outlineLevel="1" thickBot="1" x14ac:dyDescent="0.4">
      <c r="A67" s="67"/>
      <c r="B67" s="78" t="s">
        <v>6</v>
      </c>
      <c r="C67" s="521" t="e">
        <f>+C66</f>
        <v>#N/A</v>
      </c>
      <c r="D67" s="522" t="e">
        <f>+D66</f>
        <v>#N/A</v>
      </c>
      <c r="E67" s="521">
        <f>SUM(E66:E66)</f>
        <v>0</v>
      </c>
      <c r="F67" s="522">
        <f>+F66</f>
        <v>0</v>
      </c>
      <c r="G67" s="521" t="e">
        <f>+E67-C67</f>
        <v>#N/A</v>
      </c>
      <c r="H67" s="522" t="e">
        <f>+F67-D67</f>
        <v>#N/A</v>
      </c>
      <c r="I67" s="15"/>
      <c r="J67" s="41"/>
      <c r="K67" s="12"/>
      <c r="L67" s="41"/>
      <c r="M67" s="12"/>
      <c r="N67" s="21"/>
      <c r="O67" s="13"/>
      <c r="P67" s="1"/>
      <c r="Q67" s="1"/>
      <c r="R67" s="1"/>
      <c r="S67" s="1"/>
      <c r="T67" s="1"/>
      <c r="U67" s="1"/>
      <c r="V67" s="1"/>
      <c r="W67" s="1"/>
      <c r="X67" s="1"/>
      <c r="Y67" s="1"/>
      <c r="Z67" s="1"/>
      <c r="AA67" s="1"/>
      <c r="AB67" s="1"/>
      <c r="AC67" s="1"/>
      <c r="AD67" s="1"/>
    </row>
    <row r="68" spans="1:30" ht="16.25" customHeight="1" outlineLevel="1" thickTop="1" x14ac:dyDescent="0.35">
      <c r="A68" s="67"/>
      <c r="B68" s="67"/>
      <c r="C68" s="1"/>
      <c r="D68" s="1"/>
      <c r="E68" s="211"/>
      <c r="F68" s="74"/>
      <c r="G68" s="74"/>
      <c r="H68" s="15"/>
      <c r="I68" s="15"/>
      <c r="J68" s="23"/>
      <c r="K68" s="23"/>
      <c r="L68" s="31"/>
      <c r="M68" s="32"/>
      <c r="N68" s="21"/>
      <c r="O68" s="13"/>
      <c r="P68" s="1"/>
      <c r="Q68" s="1"/>
      <c r="R68" s="1"/>
      <c r="S68" s="1"/>
      <c r="T68" s="1"/>
      <c r="U68" s="1"/>
      <c r="V68" s="1"/>
      <c r="W68" s="1"/>
      <c r="X68" s="1"/>
      <c r="Y68" s="1"/>
      <c r="Z68" s="1"/>
      <c r="AA68" s="1"/>
      <c r="AB68" s="1"/>
      <c r="AC68" s="1"/>
      <c r="AD68" s="1"/>
    </row>
    <row r="69" spans="1:30" ht="15.5" outlineLevel="1" x14ac:dyDescent="0.35">
      <c r="A69" s="67"/>
      <c r="B69" s="67"/>
      <c r="C69" s="1"/>
      <c r="D69" s="1"/>
      <c r="E69" s="211"/>
      <c r="F69" s="74"/>
      <c r="G69" s="74"/>
      <c r="H69" s="15"/>
      <c r="I69" s="15"/>
      <c r="J69" s="26"/>
      <c r="K69" s="48"/>
      <c r="L69" s="31"/>
      <c r="M69" s="12"/>
      <c r="N69" s="21"/>
      <c r="O69" s="13"/>
      <c r="P69" s="1"/>
      <c r="Q69" s="1"/>
      <c r="R69" s="1"/>
      <c r="S69" s="1"/>
      <c r="T69" s="1"/>
      <c r="U69" s="1"/>
      <c r="V69" s="1"/>
      <c r="W69" s="1"/>
      <c r="X69" s="1"/>
      <c r="Y69" s="1"/>
      <c r="Z69" s="1"/>
      <c r="AA69" s="1"/>
      <c r="AB69" s="1"/>
      <c r="AC69" s="1"/>
      <c r="AD69" s="1"/>
    </row>
    <row r="70" spans="1:30" ht="54" customHeight="1" outlineLevel="1" x14ac:dyDescent="0.35">
      <c r="A70" s="76"/>
      <c r="B70" s="717" t="s">
        <v>643</v>
      </c>
      <c r="C70" s="717"/>
      <c r="D70" s="717"/>
      <c r="E70" s="717"/>
      <c r="F70" s="717"/>
      <c r="G70" s="717"/>
      <c r="H70" s="717"/>
      <c r="I70" s="15"/>
      <c r="J70" s="26"/>
      <c r="K70" s="48"/>
      <c r="L70" s="31"/>
      <c r="M70" s="12"/>
      <c r="N70" s="1"/>
      <c r="O70" s="13"/>
      <c r="P70" s="1"/>
      <c r="Q70" s="1"/>
      <c r="R70" s="1"/>
      <c r="S70" s="1"/>
      <c r="T70" s="1"/>
      <c r="U70" s="1"/>
      <c r="V70" s="1"/>
      <c r="W70" s="1"/>
      <c r="X70" s="1"/>
      <c r="Y70" s="1"/>
      <c r="Z70" s="1"/>
      <c r="AA70" s="1"/>
      <c r="AB70" s="1"/>
      <c r="AC70" s="1"/>
      <c r="AD70" s="1"/>
    </row>
    <row r="71" spans="1:30" s="56" customFormat="1" ht="49.25" customHeight="1" outlineLevel="1" x14ac:dyDescent="0.35">
      <c r="A71" s="77"/>
      <c r="B71" s="67"/>
      <c r="C71" s="472" t="str">
        <f>+$D$9</f>
        <v>1/6/2024 Total</v>
      </c>
      <c r="D71" s="472" t="str">
        <f>+$C$38</f>
        <v>1/6/2024 Total</v>
      </c>
      <c r="E71" s="472" t="str">
        <f>+$E$9</f>
        <v>12/15/2024 Total</v>
      </c>
      <c r="F71" s="472" t="str">
        <f>+$E$38</f>
        <v>12/15/2024 Total</v>
      </c>
      <c r="G71" s="472" t="str">
        <f t="shared" ref="G71:H72" si="13">+G64</f>
        <v>$</v>
      </c>
      <c r="H71" s="472" t="str">
        <f t="shared" si="13"/>
        <v>Mill Levy</v>
      </c>
      <c r="J71" s="476" t="s">
        <v>29</v>
      </c>
      <c r="K71" s="477" t="s">
        <v>480</v>
      </c>
      <c r="L71" s="478" t="s">
        <v>821</v>
      </c>
      <c r="M71" s="479" t="s">
        <v>24</v>
      </c>
      <c r="N71" s="1"/>
      <c r="O71" s="13"/>
      <c r="P71" s="1"/>
      <c r="Q71" s="1"/>
      <c r="R71" s="55"/>
      <c r="S71" s="55"/>
      <c r="T71" s="55"/>
      <c r="U71" s="55"/>
      <c r="V71" s="55"/>
      <c r="W71" s="55"/>
      <c r="X71" s="55"/>
      <c r="Y71" s="55"/>
      <c r="Z71" s="55"/>
      <c r="AA71" s="55"/>
      <c r="AB71" s="55"/>
      <c r="AC71" s="55"/>
      <c r="AD71" s="55"/>
    </row>
    <row r="72" spans="1:30" ht="41.5" customHeight="1" outlineLevel="1" x14ac:dyDescent="0.5">
      <c r="A72" s="232" t="s">
        <v>676</v>
      </c>
      <c r="B72" s="78" t="s">
        <v>481</v>
      </c>
      <c r="C72" s="474" t="str">
        <f>+$C$28</f>
        <v>FY24 Actual $</v>
      </c>
      <c r="D72" s="474" t="str">
        <f>+$D$28</f>
        <v>FY24 Actual Mills</v>
      </c>
      <c r="E72" s="474" t="str">
        <f>+$E$28</f>
        <v>FY25 Actual $</v>
      </c>
      <c r="F72" s="474" t="str">
        <f>+$F$28</f>
        <v>FY25 Actual Mills</v>
      </c>
      <c r="G72" s="474" t="str">
        <f t="shared" si="13"/>
        <v>Variance</v>
      </c>
      <c r="H72" s="474" t="str">
        <f t="shared" si="13"/>
        <v>Variance</v>
      </c>
      <c r="I72" s="15"/>
      <c r="J72" s="480" t="s">
        <v>29</v>
      </c>
      <c r="K72" s="481" t="s">
        <v>28</v>
      </c>
      <c r="L72" s="481" t="s">
        <v>4</v>
      </c>
      <c r="M72" s="480" t="s">
        <v>839</v>
      </c>
      <c r="N72" s="52">
        <f>+M73-F73</f>
        <v>0</v>
      </c>
      <c r="O72" s="53"/>
      <c r="P72" s="55"/>
      <c r="Q72" s="55"/>
      <c r="R72" s="1"/>
      <c r="S72" s="1"/>
      <c r="T72" s="1"/>
      <c r="U72" s="1"/>
      <c r="V72" s="1"/>
      <c r="W72" s="1"/>
      <c r="X72" s="1"/>
      <c r="Y72" s="1"/>
      <c r="Z72" s="1"/>
      <c r="AA72" s="1"/>
      <c r="AB72" s="1"/>
      <c r="AC72" s="1"/>
      <c r="AD72" s="1"/>
    </row>
    <row r="73" spans="1:30" ht="31.25" customHeight="1" outlineLevel="1" x14ac:dyDescent="0.4">
      <c r="A73" s="251" t="s">
        <v>711</v>
      </c>
      <c r="B73" s="466" t="s">
        <v>908</v>
      </c>
      <c r="C73" s="525" t="e">
        <f>+D73*$E$16/1000</f>
        <v>#N/A</v>
      </c>
      <c r="D73" s="526" t="e">
        <f>+'CDE Mill Levy Certify Form'!C62</f>
        <v>#N/A</v>
      </c>
      <c r="E73" s="511">
        <f>+M73</f>
        <v>0</v>
      </c>
      <c r="F73" s="518">
        <f>+L73</f>
        <v>0</v>
      </c>
      <c r="G73" s="511" t="e">
        <f>+E73-C73</f>
        <v>#N/A</v>
      </c>
      <c r="H73" s="529" t="e">
        <f>+F73-D73</f>
        <v>#N/A</v>
      </c>
      <c r="I73" s="54"/>
      <c r="J73" s="562" t="e">
        <f>+K73/$E$12*1000</f>
        <v>#DIV/0!</v>
      </c>
      <c r="K73" s="599"/>
      <c r="L73" s="680"/>
      <c r="M73" s="563">
        <f>+L73*$E$12/1000</f>
        <v>0</v>
      </c>
      <c r="N73" s="21"/>
      <c r="O73" s="13"/>
      <c r="P73" s="1"/>
      <c r="Q73" s="1"/>
      <c r="R73" s="1"/>
      <c r="S73" s="1"/>
      <c r="T73" s="1"/>
      <c r="U73" s="1"/>
      <c r="V73" s="1"/>
      <c r="W73" s="1"/>
      <c r="X73" s="1"/>
      <c r="Y73" s="1"/>
      <c r="Z73" s="1"/>
      <c r="AA73" s="1"/>
      <c r="AB73" s="1"/>
      <c r="AC73" s="1"/>
      <c r="AD73" s="1"/>
    </row>
    <row r="74" spans="1:30" ht="31.25" customHeight="1" outlineLevel="1" thickBot="1" x14ac:dyDescent="0.4">
      <c r="A74" s="67"/>
      <c r="B74" s="330" t="s">
        <v>848</v>
      </c>
      <c r="C74" s="521" t="e">
        <f>+C73</f>
        <v>#N/A</v>
      </c>
      <c r="D74" s="522" t="e">
        <f>+D73</f>
        <v>#N/A</v>
      </c>
      <c r="E74" s="521">
        <f>SUM(E73:E73)</f>
        <v>0</v>
      </c>
      <c r="F74" s="522">
        <f>+F73</f>
        <v>0</v>
      </c>
      <c r="G74" s="521" t="e">
        <f>+E74-C74</f>
        <v>#N/A</v>
      </c>
      <c r="H74" s="522" t="e">
        <f>+F74-D74</f>
        <v>#N/A</v>
      </c>
      <c r="I74" s="15"/>
      <c r="J74" s="41"/>
      <c r="K74" s="12"/>
      <c r="L74" s="41"/>
      <c r="M74" s="12"/>
      <c r="N74" s="21"/>
      <c r="O74" s="13"/>
      <c r="P74" s="1"/>
      <c r="Q74" s="1"/>
      <c r="R74" s="1"/>
      <c r="S74" s="1"/>
      <c r="T74" s="1"/>
      <c r="U74" s="1"/>
      <c r="V74" s="1"/>
      <c r="W74" s="1"/>
      <c r="X74" s="1"/>
      <c r="Y74" s="1"/>
      <c r="Z74" s="1"/>
      <c r="AA74" s="1"/>
      <c r="AB74" s="1"/>
      <c r="AC74" s="1"/>
      <c r="AD74" s="1"/>
    </row>
    <row r="75" spans="1:30" ht="16" outlineLevel="1" thickTop="1" x14ac:dyDescent="0.35">
      <c r="A75" s="67"/>
      <c r="B75" s="67"/>
      <c r="C75" s="1"/>
      <c r="D75" s="1"/>
      <c r="E75" s="1"/>
      <c r="F75" s="74"/>
      <c r="G75" s="74"/>
      <c r="H75" s="15"/>
      <c r="I75" s="15"/>
      <c r="J75" s="23"/>
      <c r="K75" s="23"/>
      <c r="L75" s="31"/>
      <c r="M75" s="32"/>
      <c r="N75" s="21"/>
      <c r="O75" s="13"/>
      <c r="P75" s="1"/>
      <c r="Q75" s="1"/>
      <c r="R75" s="1"/>
      <c r="S75" s="1"/>
      <c r="T75" s="1"/>
      <c r="U75" s="1"/>
      <c r="V75" s="1"/>
      <c r="W75" s="1"/>
      <c r="X75" s="1"/>
      <c r="Y75" s="1"/>
      <c r="Z75" s="1"/>
      <c r="AA75" s="1"/>
      <c r="AB75" s="1"/>
      <c r="AC75" s="1"/>
      <c r="AD75" s="1"/>
    </row>
    <row r="76" spans="1:30" ht="15.5" outlineLevel="1" x14ac:dyDescent="0.35">
      <c r="A76" s="67"/>
      <c r="B76" s="67"/>
      <c r="C76" s="1"/>
      <c r="D76" s="1"/>
      <c r="E76" s="1"/>
      <c r="F76" s="74"/>
      <c r="G76" s="74"/>
      <c r="H76" s="15"/>
      <c r="I76" s="15"/>
      <c r="J76" s="26"/>
      <c r="K76" s="48"/>
      <c r="L76" s="31"/>
      <c r="M76" s="12"/>
      <c r="N76" s="21"/>
      <c r="O76" s="13"/>
      <c r="P76" s="1"/>
      <c r="Q76" s="1"/>
      <c r="R76" s="1"/>
      <c r="S76" s="1"/>
      <c r="T76" s="1"/>
      <c r="U76" s="1"/>
      <c r="V76" s="1"/>
      <c r="W76" s="1"/>
      <c r="X76" s="1"/>
      <c r="Y76" s="1"/>
      <c r="Z76" s="1"/>
      <c r="AA76" s="1"/>
      <c r="AB76" s="1"/>
      <c r="AC76" s="1"/>
      <c r="AD76" s="1"/>
    </row>
    <row r="77" spans="1:30" ht="17.5" outlineLevel="1" x14ac:dyDescent="0.35">
      <c r="A77" s="67"/>
      <c r="B77" s="224"/>
      <c r="C77" s="1"/>
      <c r="D77" s="1"/>
      <c r="E77" s="30"/>
      <c r="F77" s="74"/>
      <c r="G77" s="74"/>
      <c r="H77" s="15"/>
      <c r="I77" s="15"/>
      <c r="J77" s="26"/>
      <c r="K77" s="48"/>
      <c r="L77" s="31"/>
      <c r="M77" s="12"/>
      <c r="N77" s="21"/>
      <c r="O77" s="13"/>
      <c r="P77" s="1"/>
      <c r="Q77" s="1"/>
      <c r="R77" s="32"/>
      <c r="S77" s="32"/>
      <c r="T77" s="32"/>
      <c r="U77" s="1"/>
      <c r="V77" s="1"/>
      <c r="W77" s="1"/>
      <c r="X77" s="33" t="e">
        <f>+#REF!</f>
        <v>#REF!</v>
      </c>
      <c r="Y77" s="1" t="s">
        <v>16</v>
      </c>
      <c r="Z77" s="1"/>
      <c r="AA77" s="32" t="e">
        <f>+X77*#REF!/1000</f>
        <v>#REF!</v>
      </c>
      <c r="AB77" s="32" t="e">
        <f>+AA77</f>
        <v>#REF!</v>
      </c>
      <c r="AC77" s="32" t="e">
        <f>+#REF!*X77/1000</f>
        <v>#REF!</v>
      </c>
      <c r="AD77" s="34" t="e">
        <f>+AC77</f>
        <v>#REF!</v>
      </c>
    </row>
    <row r="78" spans="1:30" ht="48.65" customHeight="1" outlineLevel="1" x14ac:dyDescent="0.35">
      <c r="A78" s="67"/>
      <c r="B78" s="717" t="s">
        <v>643</v>
      </c>
      <c r="C78" s="717"/>
      <c r="D78" s="717"/>
      <c r="E78" s="717"/>
      <c r="F78" s="717"/>
      <c r="G78" s="717"/>
      <c r="H78" s="717"/>
      <c r="I78" s="73"/>
      <c r="J78" s="1"/>
      <c r="K78" s="1"/>
      <c r="L78" s="1"/>
      <c r="M78" s="1"/>
      <c r="N78" s="21"/>
      <c r="O78" s="13"/>
      <c r="P78" s="1"/>
      <c r="Q78" s="32"/>
      <c r="R78" s="32"/>
      <c r="S78" s="32"/>
      <c r="T78" s="32"/>
      <c r="U78" s="1"/>
      <c r="V78" s="1"/>
      <c r="W78" s="1"/>
      <c r="X78" s="33">
        <v>1</v>
      </c>
      <c r="Y78" s="1" t="s">
        <v>17</v>
      </c>
      <c r="Z78" s="1"/>
      <c r="AA78" s="32" t="e">
        <f>+X78*#REF!/1000</f>
        <v>#REF!</v>
      </c>
      <c r="AB78" s="32" t="e">
        <f>+AA78+AB$77</f>
        <v>#REF!</v>
      </c>
      <c r="AC78" s="32" t="e">
        <f>+#REF!*X78/1000</f>
        <v>#REF!</v>
      </c>
      <c r="AD78" s="34" t="e">
        <f>+AC78+AD$77</f>
        <v>#REF!</v>
      </c>
    </row>
    <row r="79" spans="1:30" ht="47.5" customHeight="1" outlineLevel="1" x14ac:dyDescent="0.35">
      <c r="A79" s="67"/>
      <c r="C79" s="472" t="str">
        <f>+$D$9</f>
        <v>1/6/2024 Total</v>
      </c>
      <c r="D79" s="472" t="str">
        <f>+$C$38</f>
        <v>1/6/2024 Total</v>
      </c>
      <c r="E79" s="472" t="str">
        <f>+$E$9</f>
        <v>12/15/2024 Total</v>
      </c>
      <c r="F79" s="472" t="str">
        <f>+$E$38</f>
        <v>12/15/2024 Total</v>
      </c>
      <c r="G79" s="472" t="str">
        <f t="shared" ref="G79:H80" si="14">+G71</f>
        <v>$</v>
      </c>
      <c r="H79" s="472" t="str">
        <f t="shared" si="14"/>
        <v>Mill Levy</v>
      </c>
      <c r="I79" s="8"/>
      <c r="J79" s="476" t="s">
        <v>29</v>
      </c>
      <c r="K79" s="477" t="s">
        <v>480</v>
      </c>
      <c r="L79" s="478" t="s">
        <v>822</v>
      </c>
      <c r="M79" s="479" t="s">
        <v>24</v>
      </c>
      <c r="N79" s="1"/>
      <c r="O79" s="1"/>
      <c r="P79" s="1"/>
      <c r="Q79" s="32"/>
      <c r="R79" s="32"/>
      <c r="S79" s="32"/>
      <c r="T79" s="32"/>
      <c r="U79" s="1"/>
      <c r="V79" s="1"/>
      <c r="W79" s="1"/>
      <c r="X79" s="33">
        <f>+M82</f>
        <v>0</v>
      </c>
      <c r="Y79" s="1">
        <v>5000000</v>
      </c>
      <c r="Z79" s="1" t="s">
        <v>15</v>
      </c>
      <c r="AA79" s="32" t="e">
        <f>+X79*#REF!/1000</f>
        <v>#REF!</v>
      </c>
      <c r="AB79" s="32" t="e">
        <f>+AA79+AB77</f>
        <v>#REF!</v>
      </c>
      <c r="AC79" s="32" t="e">
        <f>+#REF!*X79/1000</f>
        <v>#REF!</v>
      </c>
      <c r="AD79" s="34" t="e">
        <f>+AC79+AD77</f>
        <v>#REF!</v>
      </c>
    </row>
    <row r="80" spans="1:30" ht="33.65" customHeight="1" outlineLevel="1" x14ac:dyDescent="0.5">
      <c r="A80" s="232" t="s">
        <v>677</v>
      </c>
      <c r="B80" s="226" t="s">
        <v>645</v>
      </c>
      <c r="C80" s="474" t="str">
        <f>+$C$28</f>
        <v>FY24 Actual $</v>
      </c>
      <c r="D80" s="474" t="str">
        <f>+$D$28</f>
        <v>FY24 Actual Mills</v>
      </c>
      <c r="E80" s="474" t="str">
        <f>+$E$28</f>
        <v>FY25 Actual $</v>
      </c>
      <c r="F80" s="474" t="str">
        <f>+$F$28</f>
        <v>FY25 Actual Mills</v>
      </c>
      <c r="G80" s="474" t="str">
        <f t="shared" si="14"/>
        <v>Variance</v>
      </c>
      <c r="H80" s="474" t="str">
        <f t="shared" si="14"/>
        <v>Variance</v>
      </c>
      <c r="I80" s="41"/>
      <c r="J80" s="480" t="s">
        <v>29</v>
      </c>
      <c r="K80" s="481" t="s">
        <v>28</v>
      </c>
      <c r="L80" s="481" t="s">
        <v>4</v>
      </c>
      <c r="M80" s="480" t="s">
        <v>840</v>
      </c>
      <c r="N80" s="21"/>
      <c r="O80" s="1"/>
      <c r="P80" s="1"/>
      <c r="Q80" s="32"/>
      <c r="R80" s="32"/>
      <c r="S80" s="32"/>
      <c r="T80" s="32"/>
      <c r="U80" s="1"/>
      <c r="V80" s="1"/>
      <c r="W80" s="1"/>
      <c r="X80" s="15"/>
      <c r="Y80" s="1"/>
      <c r="Z80" s="1"/>
      <c r="AA80" s="32"/>
      <c r="AB80" s="32"/>
      <c r="AC80" s="32"/>
      <c r="AD80" s="32"/>
    </row>
    <row r="81" spans="1:30" ht="30" customHeight="1" outlineLevel="1" x14ac:dyDescent="0.4">
      <c r="A81" s="251" t="s">
        <v>713</v>
      </c>
      <c r="B81" s="466" t="s">
        <v>907</v>
      </c>
      <c r="C81" s="525" t="e">
        <f>+D81*$E$16/1000</f>
        <v>#N/A</v>
      </c>
      <c r="D81" s="526" t="e">
        <f>+'CDE Mill Levy Certify Form'!C64</f>
        <v>#N/A</v>
      </c>
      <c r="E81" s="511">
        <f>+M81</f>
        <v>0</v>
      </c>
      <c r="F81" s="518">
        <f>+L81</f>
        <v>0</v>
      </c>
      <c r="G81" s="511" t="e">
        <f>+E81-C81</f>
        <v>#N/A</v>
      </c>
      <c r="H81" s="529" t="e">
        <f>+F81-D81</f>
        <v>#N/A</v>
      </c>
      <c r="I81" s="42"/>
      <c r="J81" s="562" t="e">
        <f>+K81/$E$12*1000</f>
        <v>#DIV/0!</v>
      </c>
      <c r="K81" s="599"/>
      <c r="L81" s="601"/>
      <c r="M81" s="563">
        <f>+L81*$E$12/1000</f>
        <v>0</v>
      </c>
      <c r="N81" s="1"/>
      <c r="O81" s="1"/>
      <c r="P81" s="1"/>
      <c r="Q81" s="32"/>
      <c r="R81" s="32"/>
      <c r="S81" s="32"/>
      <c r="T81" s="32"/>
      <c r="U81" s="1"/>
      <c r="V81" s="1"/>
      <c r="W81" s="1"/>
      <c r="X81" s="15"/>
      <c r="Y81" s="1"/>
      <c r="Z81" s="1"/>
      <c r="AA81" s="32"/>
      <c r="AB81" s="32"/>
      <c r="AC81" s="32"/>
      <c r="AD81" s="32"/>
    </row>
    <row r="82" spans="1:30" ht="23" outlineLevel="1" thickBot="1" x14ac:dyDescent="0.4">
      <c r="A82" s="67"/>
      <c r="B82" s="214"/>
      <c r="C82" s="521" t="e">
        <f>+C81</f>
        <v>#N/A</v>
      </c>
      <c r="D82" s="522" t="e">
        <f>+D81</f>
        <v>#N/A</v>
      </c>
      <c r="E82" s="521">
        <f>+E81</f>
        <v>0</v>
      </c>
      <c r="F82" s="522">
        <f>+F81</f>
        <v>0</v>
      </c>
      <c r="G82" s="521" t="e">
        <f>+E82-C82</f>
        <v>#N/A</v>
      </c>
      <c r="H82" s="522" t="e">
        <f>+F82-D82</f>
        <v>#N/A</v>
      </c>
      <c r="I82" s="15"/>
      <c r="J82" s="41"/>
      <c r="K82" s="12"/>
      <c r="L82" s="41"/>
      <c r="M82" s="12"/>
      <c r="N82" s="1"/>
      <c r="O82" s="1"/>
      <c r="P82" s="1"/>
      <c r="Q82" s="32"/>
      <c r="R82" s="1"/>
      <c r="S82" s="1"/>
      <c r="T82" s="1"/>
      <c r="U82" s="1"/>
      <c r="V82" s="1"/>
      <c r="W82" s="1"/>
      <c r="X82" s="1"/>
      <c r="Y82" s="1"/>
      <c r="Z82" s="1"/>
      <c r="AA82" s="1"/>
      <c r="AB82" s="1"/>
      <c r="AC82" s="1"/>
      <c r="AD82" s="1"/>
    </row>
    <row r="83" spans="1:30" ht="16" outlineLevel="1" thickTop="1" x14ac:dyDescent="0.35">
      <c r="A83" s="67"/>
      <c r="B83" s="225"/>
      <c r="I83" s="15"/>
      <c r="J83" s="14"/>
      <c r="K83" s="14"/>
      <c r="L83" s="19"/>
      <c r="M83" s="15"/>
      <c r="N83" s="1"/>
      <c r="O83" s="1"/>
      <c r="P83" s="1"/>
      <c r="Q83" s="1"/>
      <c r="R83" s="32"/>
      <c r="S83" s="32"/>
      <c r="T83" s="32"/>
      <c r="U83" s="1"/>
      <c r="V83" s="1"/>
      <c r="W83" s="1"/>
      <c r="X83" s="33" t="e">
        <f>+#REF!</f>
        <v>#REF!</v>
      </c>
      <c r="Y83" s="1" t="s">
        <v>16</v>
      </c>
      <c r="Z83" s="1"/>
      <c r="AA83" s="32" t="e">
        <f>+X83*#REF!/1000</f>
        <v>#REF!</v>
      </c>
      <c r="AB83" s="32" t="e">
        <f>+AA83</f>
        <v>#REF!</v>
      </c>
      <c r="AC83" s="32" t="e">
        <f>+#REF!*X83/1000</f>
        <v>#REF!</v>
      </c>
      <c r="AD83" s="34" t="e">
        <f>+AC83</f>
        <v>#REF!</v>
      </c>
    </row>
    <row r="84" spans="1:30" ht="48" customHeight="1" outlineLevel="1" x14ac:dyDescent="0.35">
      <c r="A84" s="67"/>
      <c r="B84" s="717" t="s">
        <v>643</v>
      </c>
      <c r="C84" s="717"/>
      <c r="D84" s="717"/>
      <c r="E84" s="717"/>
      <c r="F84" s="717"/>
      <c r="G84" s="717"/>
      <c r="H84" s="717"/>
      <c r="I84" s="73"/>
      <c r="J84" s="1"/>
      <c r="K84" s="1"/>
      <c r="L84" s="1"/>
      <c r="M84" s="1"/>
      <c r="N84" s="1"/>
      <c r="O84" s="1"/>
      <c r="P84" s="32"/>
      <c r="Q84" s="32"/>
      <c r="R84" s="32"/>
      <c r="S84" s="32"/>
      <c r="T84" s="1"/>
      <c r="U84" s="1"/>
      <c r="V84" s="1"/>
      <c r="W84" s="15"/>
      <c r="X84" s="1"/>
      <c r="Y84" s="1"/>
      <c r="Z84" s="32"/>
      <c r="AA84" s="32"/>
      <c r="AB84" s="32"/>
      <c r="AC84" s="32"/>
      <c r="AD84" s="1"/>
    </row>
    <row r="85" spans="1:30" ht="48.65" customHeight="1" outlineLevel="1" x14ac:dyDescent="0.35">
      <c r="A85" s="67"/>
      <c r="C85" s="472" t="str">
        <f>+$D$9</f>
        <v>1/6/2024 Total</v>
      </c>
      <c r="D85" s="472" t="str">
        <f>+$C$38</f>
        <v>1/6/2024 Total</v>
      </c>
      <c r="E85" s="472" t="str">
        <f>+$E$9</f>
        <v>12/15/2024 Total</v>
      </c>
      <c r="F85" s="472" t="str">
        <f>+$E$38</f>
        <v>12/15/2024 Total</v>
      </c>
      <c r="G85" s="472" t="str">
        <f t="shared" ref="G85:H86" si="15">+G79</f>
        <v>$</v>
      </c>
      <c r="H85" s="472" t="str">
        <f t="shared" si="15"/>
        <v>Mill Levy</v>
      </c>
      <c r="I85" s="8"/>
      <c r="J85" s="476" t="s">
        <v>29</v>
      </c>
      <c r="K85" s="477" t="s">
        <v>480</v>
      </c>
      <c r="L85" s="478" t="s">
        <v>822</v>
      </c>
      <c r="M85" s="479" t="s">
        <v>24</v>
      </c>
      <c r="N85" s="1"/>
      <c r="O85" s="1"/>
      <c r="P85" s="32"/>
      <c r="Q85" s="32"/>
      <c r="R85" s="32"/>
      <c r="S85" s="32"/>
      <c r="T85" s="1"/>
      <c r="U85" s="1"/>
      <c r="V85" s="1"/>
      <c r="W85" s="15"/>
      <c r="X85" s="1"/>
      <c r="Y85" s="1"/>
      <c r="Z85" s="32"/>
      <c r="AA85" s="32"/>
      <c r="AB85" s="32"/>
      <c r="AC85" s="32"/>
      <c r="AD85" s="1"/>
    </row>
    <row r="86" spans="1:30" ht="35.5" customHeight="1" outlineLevel="1" x14ac:dyDescent="0.5">
      <c r="A86" s="232" t="s">
        <v>679</v>
      </c>
      <c r="B86" s="226" t="s">
        <v>646</v>
      </c>
      <c r="C86" s="474" t="str">
        <f>+$C$28</f>
        <v>FY24 Actual $</v>
      </c>
      <c r="D86" s="474" t="str">
        <f>+$D$28</f>
        <v>FY24 Actual Mills</v>
      </c>
      <c r="E86" s="474" t="str">
        <f>+$E$28</f>
        <v>FY25 Actual $</v>
      </c>
      <c r="F86" s="474" t="str">
        <f>+$F$28</f>
        <v>FY25 Actual Mills</v>
      </c>
      <c r="G86" s="474" t="str">
        <f t="shared" si="15"/>
        <v>Variance</v>
      </c>
      <c r="H86" s="474" t="str">
        <f t="shared" si="15"/>
        <v>Variance</v>
      </c>
      <c r="I86" s="41"/>
      <c r="J86" s="480" t="s">
        <v>29</v>
      </c>
      <c r="K86" s="481" t="s">
        <v>28</v>
      </c>
      <c r="L86" s="481" t="s">
        <v>4</v>
      </c>
      <c r="M86" s="480" t="s">
        <v>841</v>
      </c>
      <c r="N86" s="1"/>
      <c r="O86" s="1"/>
      <c r="P86" s="32"/>
      <c r="Q86" s="32"/>
      <c r="R86" s="32"/>
      <c r="S86" s="32"/>
      <c r="T86" s="1"/>
      <c r="U86" s="1"/>
      <c r="V86" s="1"/>
      <c r="W86" s="15"/>
      <c r="X86" s="1"/>
      <c r="Y86" s="1"/>
      <c r="Z86" s="32"/>
      <c r="AA86" s="32"/>
      <c r="AB86" s="32"/>
      <c r="AC86" s="32"/>
      <c r="AD86" s="1"/>
    </row>
    <row r="87" spans="1:30" ht="32.5" customHeight="1" outlineLevel="1" x14ac:dyDescent="0.4">
      <c r="A87" s="251" t="s">
        <v>714</v>
      </c>
      <c r="B87" s="466" t="s">
        <v>907</v>
      </c>
      <c r="C87" s="525" t="e">
        <f>+D87*$E$16/1000</f>
        <v>#N/A</v>
      </c>
      <c r="D87" s="526" t="e">
        <f>+'CDE Mill Levy Certify Form'!C66</f>
        <v>#N/A</v>
      </c>
      <c r="E87" s="511">
        <f>+M87</f>
        <v>0</v>
      </c>
      <c r="F87" s="518">
        <f>+L87</f>
        <v>0</v>
      </c>
      <c r="G87" s="511" t="e">
        <f>+E87-C87</f>
        <v>#N/A</v>
      </c>
      <c r="H87" s="529" t="e">
        <f>+F87-D87</f>
        <v>#N/A</v>
      </c>
      <c r="I87" s="42"/>
      <c r="J87" s="562" t="e">
        <f>+K87/$E$12*1000</f>
        <v>#DIV/0!</v>
      </c>
      <c r="K87" s="599"/>
      <c r="L87" s="601"/>
      <c r="M87" s="563">
        <f>+L87*$E$12/1000</f>
        <v>0</v>
      </c>
      <c r="N87" s="1"/>
      <c r="O87" s="1"/>
      <c r="P87" s="32"/>
      <c r="Q87" s="32"/>
      <c r="R87" s="32"/>
      <c r="S87" s="32"/>
      <c r="T87" s="1"/>
      <c r="U87" s="1"/>
      <c r="V87" s="1"/>
      <c r="W87" s="15"/>
      <c r="X87" s="1"/>
      <c r="Y87" s="1"/>
      <c r="Z87" s="32"/>
      <c r="AA87" s="32"/>
      <c r="AB87" s="32"/>
      <c r="AC87" s="32"/>
      <c r="AD87" s="1"/>
    </row>
    <row r="88" spans="1:30" ht="20.25" customHeight="1" outlineLevel="1" thickBot="1" x14ac:dyDescent="0.4">
      <c r="A88" s="67"/>
      <c r="B88" s="214"/>
      <c r="C88" s="521" t="e">
        <f>+C87</f>
        <v>#N/A</v>
      </c>
      <c r="D88" s="522" t="e">
        <f>+D87</f>
        <v>#N/A</v>
      </c>
      <c r="E88" s="521">
        <f>+E87</f>
        <v>0</v>
      </c>
      <c r="F88" s="522">
        <f>+F87</f>
        <v>0</v>
      </c>
      <c r="G88" s="521" t="e">
        <f>+E88-C88</f>
        <v>#N/A</v>
      </c>
      <c r="H88" s="522" t="e">
        <f>+F88-D88</f>
        <v>#N/A</v>
      </c>
      <c r="I88" s="15"/>
      <c r="J88" s="41"/>
      <c r="K88" s="12"/>
      <c r="L88" s="41"/>
      <c r="M88" s="12"/>
      <c r="N88" s="1"/>
      <c r="O88" s="1"/>
      <c r="P88" s="32"/>
      <c r="Q88" s="32"/>
      <c r="R88" s="32"/>
      <c r="S88" s="32"/>
      <c r="T88" s="1"/>
      <c r="U88" s="1"/>
      <c r="V88" s="1"/>
      <c r="W88" s="15"/>
      <c r="X88" s="1"/>
      <c r="Y88" s="1"/>
      <c r="Z88" s="32"/>
      <c r="AA88" s="32"/>
      <c r="AB88" s="32"/>
      <c r="AC88" s="32"/>
      <c r="AD88" s="1"/>
    </row>
    <row r="89" spans="1:30" ht="15" customHeight="1" outlineLevel="1" thickTop="1" x14ac:dyDescent="0.35">
      <c r="A89" s="67"/>
      <c r="B89" s="67"/>
      <c r="C89" s="1"/>
      <c r="D89" s="1"/>
      <c r="E89" s="1"/>
      <c r="F89" s="74"/>
      <c r="G89" s="74"/>
      <c r="H89" s="15"/>
      <c r="I89" s="15"/>
      <c r="J89" s="14"/>
      <c r="K89" s="14"/>
      <c r="L89" s="19"/>
      <c r="M89" s="15"/>
      <c r="N89" s="1"/>
      <c r="O89" s="1"/>
      <c r="P89" s="32"/>
      <c r="Q89" s="32"/>
      <c r="R89" s="32"/>
      <c r="S89" s="32"/>
      <c r="T89" s="1"/>
      <c r="U89" s="1"/>
      <c r="V89" s="1"/>
      <c r="W89" s="15"/>
      <c r="X89" s="1"/>
      <c r="Y89" s="1"/>
      <c r="Z89" s="32"/>
      <c r="AA89" s="32"/>
      <c r="AB89" s="32"/>
      <c r="AC89" s="32"/>
      <c r="AD89" s="1"/>
    </row>
    <row r="90" spans="1:30" ht="15" customHeight="1" outlineLevel="1" x14ac:dyDescent="0.35">
      <c r="A90" s="67"/>
      <c r="B90" s="1"/>
      <c r="C90" s="1"/>
      <c r="D90" s="1"/>
      <c r="E90" s="74"/>
      <c r="F90" s="74"/>
      <c r="G90" s="15"/>
      <c r="H90" s="15"/>
      <c r="I90" s="31"/>
      <c r="J90" s="14"/>
      <c r="K90" s="14"/>
      <c r="L90" s="19"/>
      <c r="M90" s="15"/>
      <c r="N90" s="1"/>
      <c r="O90" s="1"/>
      <c r="P90" s="32"/>
      <c r="Q90" s="32"/>
      <c r="R90" s="32"/>
      <c r="S90" s="32"/>
      <c r="T90" s="1"/>
      <c r="U90" s="1"/>
      <c r="V90" s="1"/>
      <c r="W90" s="15"/>
      <c r="X90" s="1"/>
      <c r="Y90" s="1"/>
      <c r="Z90" s="32"/>
      <c r="AA90" s="32"/>
      <c r="AB90" s="32"/>
      <c r="AC90" s="32"/>
      <c r="AD90" s="1"/>
    </row>
    <row r="91" spans="1:30" ht="15" customHeight="1" outlineLevel="1" thickBot="1" x14ac:dyDescent="0.4">
      <c r="A91" s="67"/>
      <c r="B91" s="1"/>
      <c r="C91" s="1"/>
      <c r="D91" s="1"/>
      <c r="E91" s="1"/>
      <c r="F91" s="1"/>
      <c r="G91" s="1"/>
      <c r="H91" s="1"/>
      <c r="I91" s="12"/>
      <c r="J91" s="14"/>
      <c r="K91" s="19"/>
      <c r="L91" s="15"/>
      <c r="M91" s="1"/>
      <c r="N91" s="1"/>
      <c r="O91" s="1"/>
      <c r="P91" s="32"/>
      <c r="Q91" s="32"/>
      <c r="R91" s="32"/>
      <c r="S91" s="32"/>
      <c r="T91" s="1"/>
      <c r="U91" s="1"/>
      <c r="V91" s="1"/>
      <c r="W91" s="15"/>
      <c r="X91" s="1"/>
      <c r="Y91" s="1"/>
      <c r="Z91" s="32"/>
      <c r="AA91" s="32"/>
      <c r="AB91" s="32"/>
      <c r="AC91" s="32"/>
      <c r="AD91" s="1"/>
    </row>
    <row r="92" spans="1:30" ht="18" customHeight="1" outlineLevel="1" x14ac:dyDescent="0.5">
      <c r="A92" s="232" t="s">
        <v>681</v>
      </c>
      <c r="B92" s="719" t="s">
        <v>7</v>
      </c>
      <c r="C92" s="720"/>
      <c r="D92" s="720"/>
      <c r="E92" s="720"/>
      <c r="F92" s="720"/>
      <c r="G92" s="721"/>
      <c r="H92" s="1"/>
      <c r="I92" s="40"/>
      <c r="J92" s="14"/>
      <c r="K92" s="19"/>
      <c r="L92" s="15"/>
      <c r="M92" s="1"/>
      <c r="N92" s="1"/>
      <c r="O92" s="1"/>
      <c r="P92" s="32"/>
      <c r="Q92" s="32"/>
      <c r="R92" s="32"/>
      <c r="S92" s="32"/>
      <c r="T92" s="1"/>
      <c r="U92" s="1"/>
      <c r="V92" s="1"/>
      <c r="W92" s="15"/>
      <c r="X92" s="1"/>
      <c r="Y92" s="1"/>
      <c r="Z92" s="1"/>
      <c r="AA92" s="1"/>
      <c r="AB92" s="1"/>
      <c r="AC92" s="1"/>
      <c r="AD92" s="1"/>
    </row>
    <row r="93" spans="1:30" ht="15" customHeight="1" outlineLevel="1" x14ac:dyDescent="0.35">
      <c r="A93" s="67"/>
      <c r="B93" s="582"/>
      <c r="C93" s="483"/>
      <c r="D93" s="473" t="str">
        <f>+$D$28</f>
        <v>FY24 Actual Mills</v>
      </c>
      <c r="E93" s="473" t="str">
        <f>+$F$28</f>
        <v>FY25 Actual Mills</v>
      </c>
      <c r="F93" s="475" t="s">
        <v>2</v>
      </c>
      <c r="G93" s="9"/>
      <c r="H93" s="1"/>
      <c r="I93" s="31"/>
      <c r="J93" s="14"/>
      <c r="K93" s="19"/>
      <c r="L93" s="15"/>
      <c r="M93" s="1"/>
      <c r="N93" s="1"/>
      <c r="O93" s="1"/>
      <c r="P93" s="32"/>
      <c r="Q93" s="32"/>
      <c r="R93" s="32"/>
      <c r="S93" s="32"/>
      <c r="T93" s="1"/>
      <c r="U93" s="1"/>
      <c r="V93" s="1"/>
      <c r="W93" s="15"/>
      <c r="X93" s="1"/>
      <c r="Y93" s="1"/>
      <c r="Z93" s="1"/>
      <c r="AA93" s="1"/>
      <c r="AB93" s="1"/>
      <c r="AC93" s="1"/>
      <c r="AD93" s="1"/>
    </row>
    <row r="94" spans="1:30" ht="15" customHeight="1" outlineLevel="1" x14ac:dyDescent="0.35">
      <c r="A94" s="67"/>
      <c r="B94" s="80"/>
      <c r="C94" s="48" t="s">
        <v>482</v>
      </c>
      <c r="D94" s="530" t="e">
        <f>+D53</f>
        <v>#N/A</v>
      </c>
      <c r="E94" s="530" t="e">
        <f>+F53</f>
        <v>#N/A</v>
      </c>
      <c r="F94" s="530" t="e">
        <f t="shared" ref="F94:F100" si="16">+E94-D94</f>
        <v>#N/A</v>
      </c>
      <c r="G94" s="9"/>
      <c r="H94" s="1"/>
      <c r="I94" s="31"/>
      <c r="J94" s="14"/>
      <c r="K94" s="29"/>
      <c r="L94" s="15"/>
      <c r="M94" s="1"/>
      <c r="N94" s="1"/>
      <c r="O94" s="1"/>
      <c r="P94" s="32"/>
      <c r="Q94" s="32"/>
      <c r="R94" s="32"/>
      <c r="S94" s="32"/>
      <c r="T94" s="1"/>
      <c r="U94" s="1"/>
      <c r="V94" s="1"/>
      <c r="W94" s="15"/>
      <c r="X94" s="1"/>
      <c r="Y94" s="1"/>
      <c r="Z94" s="1"/>
      <c r="AA94" s="1"/>
      <c r="AB94" s="1"/>
      <c r="AC94" s="1"/>
      <c r="AD94" s="1"/>
    </row>
    <row r="95" spans="1:30" ht="15" customHeight="1" outlineLevel="1" x14ac:dyDescent="0.35">
      <c r="A95" s="67"/>
      <c r="B95" s="80"/>
      <c r="C95" s="48" t="s">
        <v>483</v>
      </c>
      <c r="D95" s="530" t="e">
        <f>+D60</f>
        <v>#N/A</v>
      </c>
      <c r="E95" s="530">
        <f>+F60</f>
        <v>0</v>
      </c>
      <c r="F95" s="530" t="e">
        <f t="shared" si="16"/>
        <v>#N/A</v>
      </c>
      <c r="G95" s="9"/>
      <c r="H95" s="1"/>
      <c r="I95" s="31"/>
      <c r="J95" s="14"/>
      <c r="K95" s="1"/>
      <c r="L95" s="15"/>
      <c r="M95" s="1"/>
      <c r="N95" s="1"/>
      <c r="O95" s="1"/>
      <c r="P95" s="32"/>
      <c r="Q95" s="32"/>
      <c r="R95" s="32"/>
      <c r="S95" s="32"/>
      <c r="T95" s="1"/>
      <c r="U95" s="1"/>
      <c r="V95" s="1"/>
      <c r="W95" s="15"/>
      <c r="X95" s="1"/>
      <c r="Y95" s="1"/>
      <c r="Z95" s="1"/>
      <c r="AA95" s="1"/>
      <c r="AB95" s="1"/>
      <c r="AC95" s="1"/>
      <c r="AD95" s="1"/>
    </row>
    <row r="96" spans="1:30" ht="15" customHeight="1" outlineLevel="1" x14ac:dyDescent="0.35">
      <c r="A96" s="67"/>
      <c r="B96" s="79"/>
      <c r="C96" s="48" t="s">
        <v>479</v>
      </c>
      <c r="D96" s="530" t="e">
        <f>+D67</f>
        <v>#N/A</v>
      </c>
      <c r="E96" s="530">
        <f>+F67</f>
        <v>0</v>
      </c>
      <c r="F96" s="530" t="e">
        <f t="shared" si="16"/>
        <v>#N/A</v>
      </c>
      <c r="G96" s="9"/>
      <c r="H96" s="1"/>
      <c r="I96" s="31"/>
      <c r="J96" s="14"/>
      <c r="K96" s="1"/>
      <c r="L96" s="15"/>
      <c r="M96" s="1"/>
      <c r="N96" s="1"/>
      <c r="O96" s="1"/>
      <c r="P96" s="32"/>
      <c r="Q96" s="32"/>
      <c r="R96" s="32"/>
      <c r="S96" s="32"/>
      <c r="T96" s="1"/>
      <c r="U96" s="1"/>
      <c r="V96" s="1"/>
      <c r="W96" s="15"/>
      <c r="X96" s="1"/>
      <c r="Y96" s="1"/>
      <c r="Z96" s="1"/>
      <c r="AA96" s="1"/>
      <c r="AB96" s="1"/>
      <c r="AC96" s="1"/>
      <c r="AD96" s="1"/>
    </row>
    <row r="97" spans="1:8" ht="15" customHeight="1" outlineLevel="1" x14ac:dyDescent="0.35">
      <c r="A97" s="67"/>
      <c r="B97" s="79"/>
      <c r="C97" s="48" t="s">
        <v>484</v>
      </c>
      <c r="D97" s="530" t="e">
        <f>+D74</f>
        <v>#N/A</v>
      </c>
      <c r="E97" s="530">
        <f>+F74</f>
        <v>0</v>
      </c>
      <c r="F97" s="530" t="e">
        <f t="shared" si="16"/>
        <v>#N/A</v>
      </c>
      <c r="G97" s="9"/>
      <c r="H97" s="1"/>
    </row>
    <row r="98" spans="1:8" ht="15" customHeight="1" outlineLevel="1" x14ac:dyDescent="0.35">
      <c r="A98" s="67"/>
      <c r="B98" s="79"/>
      <c r="C98" s="48"/>
      <c r="D98" s="530" t="e">
        <f>+D82</f>
        <v>#N/A</v>
      </c>
      <c r="E98" s="530">
        <f>+F82</f>
        <v>0</v>
      </c>
      <c r="F98" s="530" t="e">
        <f t="shared" si="16"/>
        <v>#N/A</v>
      </c>
      <c r="G98" s="9"/>
      <c r="H98" s="1"/>
    </row>
    <row r="99" spans="1:8" ht="15" customHeight="1" outlineLevel="1" x14ac:dyDescent="0.35">
      <c r="A99" s="67"/>
      <c r="B99" s="24"/>
      <c r="C99" s="48" t="s">
        <v>85</v>
      </c>
      <c r="D99" s="530" t="e">
        <f>+D88</f>
        <v>#N/A</v>
      </c>
      <c r="E99" s="530">
        <f>+F88</f>
        <v>0</v>
      </c>
      <c r="F99" s="530" t="e">
        <f t="shared" si="16"/>
        <v>#N/A</v>
      </c>
      <c r="G99" s="9"/>
      <c r="H99" s="1"/>
    </row>
    <row r="100" spans="1:8" ht="22.5" customHeight="1" outlineLevel="1" x14ac:dyDescent="0.4">
      <c r="A100" s="251" t="s">
        <v>715</v>
      </c>
      <c r="B100" s="24"/>
      <c r="C100" s="82" t="s">
        <v>486</v>
      </c>
      <c r="D100" s="531" t="e">
        <f>SUM(D94:D99)</f>
        <v>#N/A</v>
      </c>
      <c r="E100" s="531" t="e">
        <f>SUM(E94:E99)</f>
        <v>#N/A</v>
      </c>
      <c r="F100" s="531" t="e">
        <f t="shared" si="16"/>
        <v>#N/A</v>
      </c>
      <c r="G100" s="28"/>
      <c r="H100" s="15"/>
    </row>
    <row r="101" spans="1:8" ht="15" customHeight="1" outlineLevel="1" x14ac:dyDescent="0.35">
      <c r="A101" s="67"/>
      <c r="B101" s="81"/>
      <c r="C101" s="82" t="s">
        <v>487</v>
      </c>
      <c r="D101" s="532" t="e">
        <f>+D100*D12/1000</f>
        <v>#N/A</v>
      </c>
      <c r="E101" s="532" t="e">
        <f>+E100*E12/1000</f>
        <v>#N/A</v>
      </c>
      <c r="F101" s="533" t="e">
        <f>+E101-D101</f>
        <v>#N/A</v>
      </c>
      <c r="G101" s="28"/>
      <c r="H101" s="15"/>
    </row>
    <row r="102" spans="1:8" ht="19.25" customHeight="1" outlineLevel="1" x14ac:dyDescent="0.5">
      <c r="A102" s="232" t="s">
        <v>682</v>
      </c>
      <c r="B102" s="577" t="s">
        <v>647</v>
      </c>
      <c r="C102" s="578"/>
      <c r="D102" s="579"/>
      <c r="E102" s="579"/>
      <c r="F102" s="580"/>
      <c r="G102" s="28"/>
      <c r="H102" s="15"/>
    </row>
    <row r="103" spans="1:8" ht="15.75" customHeight="1" outlineLevel="1" x14ac:dyDescent="0.35">
      <c r="A103" s="67"/>
      <c r="B103" s="192"/>
      <c r="C103" s="82"/>
      <c r="D103" s="44"/>
      <c r="E103" s="50" t="s">
        <v>896</v>
      </c>
      <c r="F103" s="546" t="e">
        <f>+D100</f>
        <v>#N/A</v>
      </c>
      <c r="G103" s="28"/>
      <c r="H103" s="15"/>
    </row>
    <row r="104" spans="1:8" ht="15.75" customHeight="1" outlineLevel="1" x14ac:dyDescent="0.35">
      <c r="A104" s="67"/>
      <c r="B104" s="192"/>
      <c r="C104" s="82"/>
      <c r="D104" s="44"/>
      <c r="E104" s="50" t="s">
        <v>897</v>
      </c>
      <c r="F104" s="546" t="e">
        <f>-D95</f>
        <v>#N/A</v>
      </c>
      <c r="G104" s="28"/>
      <c r="H104" s="15"/>
    </row>
    <row r="105" spans="1:8" ht="15.75" customHeight="1" outlineLevel="1" x14ac:dyDescent="0.35">
      <c r="A105" s="67"/>
      <c r="B105" s="192"/>
      <c r="C105" s="82"/>
      <c r="D105" s="44"/>
      <c r="E105" s="50" t="s">
        <v>898</v>
      </c>
      <c r="F105" s="546" t="e">
        <f>-D49</f>
        <v>#N/A</v>
      </c>
      <c r="G105" s="28"/>
      <c r="H105" s="15"/>
    </row>
    <row r="106" spans="1:8" ht="15.65" customHeight="1" outlineLevel="1" x14ac:dyDescent="0.35">
      <c r="A106" s="67"/>
      <c r="B106" s="81"/>
      <c r="C106" s="82"/>
      <c r="D106" s="44"/>
      <c r="E106" s="193" t="s">
        <v>648</v>
      </c>
      <c r="F106" s="534" t="e">
        <f>+(F103+F104+F105)/F103</f>
        <v>#N/A</v>
      </c>
      <c r="G106" s="84"/>
      <c r="H106" s="15"/>
    </row>
    <row r="107" spans="1:8" ht="15.75" customHeight="1" outlineLevel="1" x14ac:dyDescent="0.35">
      <c r="A107" s="67"/>
      <c r="B107" s="81"/>
      <c r="C107" s="82"/>
      <c r="D107" s="44"/>
      <c r="E107" s="50" t="s">
        <v>899</v>
      </c>
      <c r="F107" s="584">
        <v>0</v>
      </c>
      <c r="G107" s="84"/>
      <c r="H107" s="15"/>
    </row>
    <row r="108" spans="1:8" ht="15.75" customHeight="1" outlineLevel="1" x14ac:dyDescent="0.35">
      <c r="A108" s="67"/>
      <c r="B108" s="81"/>
      <c r="C108" s="82"/>
      <c r="D108" s="44"/>
      <c r="E108" s="50" t="s">
        <v>895</v>
      </c>
      <c r="F108" s="535" t="e">
        <f>+F107*F106</f>
        <v>#N/A</v>
      </c>
      <c r="G108" s="28"/>
      <c r="H108" s="15"/>
    </row>
    <row r="109" spans="1:8" ht="24" customHeight="1" outlineLevel="1" x14ac:dyDescent="0.5">
      <c r="A109" s="232" t="s">
        <v>683</v>
      </c>
      <c r="B109" s="577" t="s">
        <v>654</v>
      </c>
      <c r="C109" s="578"/>
      <c r="D109" s="579"/>
      <c r="E109" s="581"/>
      <c r="F109" s="581"/>
      <c r="G109" s="28"/>
      <c r="H109" s="15"/>
    </row>
    <row r="110" spans="1:8" ht="15.75" customHeight="1" outlineLevel="1" x14ac:dyDescent="0.35">
      <c r="A110" s="67"/>
      <c r="B110" s="7"/>
      <c r="C110" s="1"/>
      <c r="D110" s="1"/>
      <c r="E110" s="48" t="s">
        <v>485</v>
      </c>
      <c r="F110" s="532" t="e">
        <f>+E82+E74+E67+E53+E88</f>
        <v>#N/A</v>
      </c>
      <c r="G110" s="28"/>
      <c r="H110" s="15"/>
    </row>
    <row r="111" spans="1:8" ht="15.75" customHeight="1" outlineLevel="1" x14ac:dyDescent="0.35">
      <c r="A111" s="67"/>
      <c r="B111" s="7"/>
      <c r="C111" s="1"/>
      <c r="D111" s="1"/>
      <c r="E111" s="23" t="s">
        <v>8</v>
      </c>
      <c r="F111" s="538">
        <v>2.5000000000000001E-3</v>
      </c>
      <c r="G111" s="28"/>
      <c r="H111" s="15"/>
    </row>
    <row r="112" spans="1:8" ht="15.75" customHeight="1" outlineLevel="1" thickBot="1" x14ac:dyDescent="0.4">
      <c r="A112" s="67"/>
      <c r="B112" s="16"/>
      <c r="C112" s="17"/>
      <c r="D112" s="17"/>
      <c r="E112" s="83" t="s">
        <v>655</v>
      </c>
      <c r="F112" s="547" t="e">
        <f>ROUND(F111*F110,0)</f>
        <v>#N/A</v>
      </c>
      <c r="G112" s="27"/>
      <c r="H112" s="15"/>
    </row>
    <row r="113" spans="1:14" ht="20.25" customHeight="1" outlineLevel="1" x14ac:dyDescent="0.35">
      <c r="A113" s="67"/>
      <c r="B113" s="1"/>
      <c r="C113" s="1"/>
      <c r="D113" s="1"/>
      <c r="E113" s="48"/>
      <c r="F113" s="188"/>
      <c r="G113" s="15"/>
      <c r="H113" s="15"/>
      <c r="I113" s="12"/>
      <c r="J113" s="1"/>
      <c r="K113" s="1"/>
      <c r="L113" s="19"/>
      <c r="M113" s="1"/>
      <c r="N113" s="31"/>
    </row>
    <row r="114" spans="1:14" ht="15" customHeight="1" outlineLevel="1" thickBot="1" x14ac:dyDescent="0.4">
      <c r="A114" s="67"/>
      <c r="B114" s="1"/>
      <c r="C114" s="1"/>
      <c r="D114" s="1"/>
      <c r="E114" s="1"/>
      <c r="F114" s="1"/>
      <c r="G114" s="1"/>
      <c r="H114" s="1"/>
      <c r="I114" s="12"/>
      <c r="J114" s="1"/>
      <c r="K114" s="1"/>
      <c r="L114" s="19"/>
      <c r="M114" s="1"/>
      <c r="N114" s="31"/>
    </row>
    <row r="115" spans="1:14" ht="23" customHeight="1" outlineLevel="1" x14ac:dyDescent="0.5">
      <c r="A115" s="232" t="s">
        <v>849</v>
      </c>
      <c r="B115" s="707" t="str">
        <f>+B92</f>
        <v>Total Mill Levy</v>
      </c>
      <c r="C115" s="708"/>
      <c r="D115" s="708"/>
      <c r="E115" s="708"/>
      <c r="F115" s="708"/>
      <c r="G115" s="709"/>
      <c r="H115" s="37"/>
      <c r="I115" s="41"/>
      <c r="J115" s="1"/>
      <c r="K115" s="1"/>
      <c r="L115" s="19"/>
      <c r="M115" s="1"/>
      <c r="N115" s="31"/>
    </row>
    <row r="116" spans="1:14" ht="17.25" customHeight="1" outlineLevel="1" x14ac:dyDescent="0.35">
      <c r="A116" s="67"/>
      <c r="B116" s="710" t="s">
        <v>27</v>
      </c>
      <c r="C116" s="711"/>
      <c r="D116" s="711"/>
      <c r="E116" s="711"/>
      <c r="F116" s="711"/>
      <c r="G116" s="712"/>
      <c r="H116" s="2"/>
      <c r="I116" s="39"/>
      <c r="J116" s="1"/>
      <c r="K116" s="1"/>
      <c r="L116" s="19"/>
      <c r="M116" s="1"/>
      <c r="N116" s="31"/>
    </row>
    <row r="117" spans="1:14" ht="15" customHeight="1" outlineLevel="1" x14ac:dyDescent="0.35">
      <c r="A117" s="67"/>
      <c r="B117" s="713"/>
      <c r="C117" s="711"/>
      <c r="D117" s="711"/>
      <c r="E117" s="711"/>
      <c r="F117" s="711"/>
      <c r="G117" s="712"/>
      <c r="H117" s="38"/>
    </row>
    <row r="118" spans="1:14" ht="15" customHeight="1" outlineLevel="1" x14ac:dyDescent="0.35">
      <c r="A118" s="67"/>
      <c r="B118" s="583" t="s">
        <v>9</v>
      </c>
      <c r="C118" s="483"/>
      <c r="D118" s="475" t="str">
        <f>+$D$28</f>
        <v>FY24 Actual Mills</v>
      </c>
      <c r="E118" s="475" t="str">
        <f>+$F$28</f>
        <v>FY25 Actual Mills</v>
      </c>
      <c r="F118" s="475" t="s">
        <v>2</v>
      </c>
      <c r="G118" s="314"/>
      <c r="H118" s="1"/>
    </row>
    <row r="119" spans="1:14" ht="15" customHeight="1" outlineLevel="1" x14ac:dyDescent="0.35">
      <c r="A119" s="67"/>
      <c r="B119" s="315" t="s">
        <v>10</v>
      </c>
      <c r="C119" s="1"/>
      <c r="D119" s="536">
        <v>100000</v>
      </c>
      <c r="E119" s="536">
        <v>100000</v>
      </c>
      <c r="F119" s="537">
        <f>+E119-D119</f>
        <v>0</v>
      </c>
      <c r="G119" s="314"/>
      <c r="H119" s="1"/>
    </row>
    <row r="120" spans="1:14" ht="15" customHeight="1" outlineLevel="1" x14ac:dyDescent="0.35">
      <c r="A120" s="67"/>
      <c r="B120" s="315" t="s">
        <v>11</v>
      </c>
      <c r="C120" s="1"/>
      <c r="D120" s="538">
        <v>7.1499999999999994E-2</v>
      </c>
      <c r="E120" s="538">
        <v>6.9500000000000006E-2</v>
      </c>
      <c r="F120" s="539">
        <f>+E120-D120</f>
        <v>-1.9999999999999879E-3</v>
      </c>
      <c r="G120" s="314"/>
      <c r="H120" s="1"/>
    </row>
    <row r="121" spans="1:14" ht="15" customHeight="1" outlineLevel="1" x14ac:dyDescent="0.35">
      <c r="A121" s="67"/>
      <c r="B121" s="315" t="s">
        <v>12</v>
      </c>
      <c r="C121" s="1"/>
      <c r="D121" s="536">
        <f>+D120*D119</f>
        <v>7149.9999999999991</v>
      </c>
      <c r="E121" s="536">
        <f>+E120*E119</f>
        <v>6950.0000000000009</v>
      </c>
      <c r="F121" s="495">
        <f>+E121-D121</f>
        <v>-199.99999999999818</v>
      </c>
      <c r="G121" s="467"/>
      <c r="H121" s="1"/>
    </row>
    <row r="122" spans="1:14" ht="15" customHeight="1" x14ac:dyDescent="0.35">
      <c r="A122" s="67"/>
      <c r="B122" s="315" t="s">
        <v>13</v>
      </c>
      <c r="C122" s="1"/>
      <c r="D122" s="540" t="e">
        <f>+D100</f>
        <v>#N/A</v>
      </c>
      <c r="E122" s="540" t="e">
        <f>+E100</f>
        <v>#N/A</v>
      </c>
      <c r="F122" s="540" t="e">
        <f>+E122-D122</f>
        <v>#N/A</v>
      </c>
      <c r="G122" s="542" t="e">
        <f>+E122/D122-1</f>
        <v>#N/A</v>
      </c>
      <c r="H122" s="35"/>
    </row>
    <row r="123" spans="1:14" ht="21" customHeight="1" x14ac:dyDescent="0.35">
      <c r="A123" s="67"/>
      <c r="B123" s="316"/>
      <c r="C123" s="49" t="s">
        <v>607</v>
      </c>
      <c r="D123" s="541" t="e">
        <f>ROUND(+D121*D122/1000,2)</f>
        <v>#N/A</v>
      </c>
      <c r="E123" s="541" t="e">
        <f>ROUND(+E121*E122/1000,2)</f>
        <v>#N/A</v>
      </c>
      <c r="F123" s="541" t="e">
        <f>+E123-D123</f>
        <v>#N/A</v>
      </c>
      <c r="G123" s="543" t="e">
        <f>+E123/D123-1</f>
        <v>#N/A</v>
      </c>
      <c r="H123" s="35"/>
    </row>
    <row r="124" spans="1:14" ht="15.75" customHeight="1" x14ac:dyDescent="0.35">
      <c r="A124" s="67"/>
      <c r="B124" s="317"/>
      <c r="C124" s="1"/>
      <c r="D124" s="318"/>
      <c r="E124" s="318"/>
      <c r="F124" s="318"/>
      <c r="G124" s="314"/>
      <c r="H124" s="1"/>
    </row>
    <row r="125" spans="1:14" ht="15" customHeight="1" x14ac:dyDescent="0.35">
      <c r="A125" s="67"/>
      <c r="B125" s="583" t="s">
        <v>14</v>
      </c>
      <c r="C125" s="483"/>
      <c r="D125" s="475" t="str">
        <f>+$D$28</f>
        <v>FY24 Actual Mills</v>
      </c>
      <c r="E125" s="475" t="str">
        <f>+$F$28</f>
        <v>FY25 Actual Mills</v>
      </c>
      <c r="F125" s="475" t="s">
        <v>2</v>
      </c>
      <c r="G125" s="314"/>
      <c r="H125" s="1"/>
    </row>
    <row r="126" spans="1:14" ht="15" customHeight="1" x14ac:dyDescent="0.35">
      <c r="A126" s="67"/>
      <c r="B126" s="315" t="s">
        <v>10</v>
      </c>
      <c r="C126" s="1"/>
      <c r="D126" s="536">
        <f>+D119</f>
        <v>100000</v>
      </c>
      <c r="E126" s="536">
        <f>+E119</f>
        <v>100000</v>
      </c>
      <c r="F126" s="537">
        <f>+E126-D126</f>
        <v>0</v>
      </c>
      <c r="G126" s="314"/>
      <c r="H126" s="1"/>
    </row>
    <row r="127" spans="1:14" ht="15" customHeight="1" x14ac:dyDescent="0.35">
      <c r="A127" s="67"/>
      <c r="B127" s="315" t="s">
        <v>11</v>
      </c>
      <c r="C127" s="1"/>
      <c r="D127" s="538">
        <v>0.28999999999999998</v>
      </c>
      <c r="E127" s="538">
        <v>0.28999999999999998</v>
      </c>
      <c r="F127" s="544">
        <f>+E127-D127</f>
        <v>0</v>
      </c>
      <c r="G127" s="314"/>
      <c r="H127" s="1"/>
    </row>
    <row r="128" spans="1:14" ht="15" customHeight="1" x14ac:dyDescent="0.35">
      <c r="A128" s="67"/>
      <c r="B128" s="315" t="s">
        <v>12</v>
      </c>
      <c r="C128" s="1"/>
      <c r="D128" s="536">
        <f>+D127*D126</f>
        <v>28999.999999999996</v>
      </c>
      <c r="E128" s="536">
        <f>+E127*E126</f>
        <v>28999.999999999996</v>
      </c>
      <c r="F128" s="536">
        <f>+E128-D128</f>
        <v>0</v>
      </c>
      <c r="G128" s="314"/>
      <c r="H128" s="1"/>
    </row>
    <row r="129" spans="2:8" ht="15" customHeight="1" x14ac:dyDescent="0.35">
      <c r="B129" s="315" t="s">
        <v>13</v>
      </c>
      <c r="C129" s="1"/>
      <c r="D129" s="530" t="e">
        <f>+D100</f>
        <v>#N/A</v>
      </c>
      <c r="E129" s="530" t="e">
        <f>+E100</f>
        <v>#N/A</v>
      </c>
      <c r="F129" s="530" t="e">
        <f>+E129-D129</f>
        <v>#N/A</v>
      </c>
      <c r="G129" s="545" t="e">
        <f>+E129/D129-1</f>
        <v>#N/A</v>
      </c>
      <c r="H129" s="35"/>
    </row>
    <row r="130" spans="2:8" ht="15" customHeight="1" thickBot="1" x14ac:dyDescent="0.4">
      <c r="B130" s="616"/>
      <c r="C130" s="617" t="s">
        <v>18</v>
      </c>
      <c r="D130" s="618" t="e">
        <f>ROUND(+D128*D129/1000,2)</f>
        <v>#N/A</v>
      </c>
      <c r="E130" s="618" t="e">
        <f>ROUND(+E128*E129/1000,2)</f>
        <v>#N/A</v>
      </c>
      <c r="F130" s="618" t="e">
        <f>+E130-D130</f>
        <v>#N/A</v>
      </c>
      <c r="G130" s="619" t="e">
        <f>+E130/D130-1</f>
        <v>#N/A</v>
      </c>
      <c r="H130" s="35"/>
    </row>
    <row r="131" spans="2:8" ht="15" customHeight="1" x14ac:dyDescent="0.35">
      <c r="B131" s="609" t="s">
        <v>962</v>
      </c>
      <c r="C131" s="483"/>
      <c r="D131" s="483"/>
      <c r="E131" s="610"/>
      <c r="F131" s="610"/>
      <c r="G131" s="611"/>
      <c r="H131" s="15"/>
    </row>
    <row r="132" spans="2:8" ht="15" customHeight="1" thickBot="1" x14ac:dyDescent="0.4">
      <c r="B132" s="612" t="s">
        <v>963</v>
      </c>
      <c r="C132" s="613"/>
      <c r="D132" s="613"/>
      <c r="E132" s="614"/>
      <c r="F132" s="614"/>
      <c r="G132" s="615"/>
      <c r="H132" s="15"/>
    </row>
  </sheetData>
  <sheetProtection algorithmName="SHA-512" hashValue="9/twB1V+cOpIeVjFv46+fTHF5zhtrCKSypQjFPIRDdDvUDkEc7HDmfQE7SMpyV3kV/0SdjU9GIEMR7KwjgwJhw==" saltValue="sRzdTbSsdXQVKZcYLV7PHw==" spinCount="100000" sheet="1" objects="1" scenarios="1"/>
  <mergeCells count="14">
    <mergeCell ref="F1:H1"/>
    <mergeCell ref="B115:G115"/>
    <mergeCell ref="B116:G116"/>
    <mergeCell ref="B117:G117"/>
    <mergeCell ref="B8:G8"/>
    <mergeCell ref="B62:H62"/>
    <mergeCell ref="B70:H70"/>
    <mergeCell ref="B78:H78"/>
    <mergeCell ref="B84:H84"/>
    <mergeCell ref="B25:H25"/>
    <mergeCell ref="B92:G92"/>
    <mergeCell ref="B37:H37"/>
    <mergeCell ref="B56:H56"/>
    <mergeCell ref="H13:I13"/>
  </mergeCells>
  <phoneticPr fontId="75" type="noConversion"/>
  <hyperlinks>
    <hyperlink ref="A10" location="'CDE Mill Levy Certificat. Form'!A21" display="Row 20" xr:uid="{FF350F2B-CF92-452A-A188-AC0F774DBB34}"/>
    <hyperlink ref="A12" location="'CDE Mill Levy Certificat. Form'!A25" display="Row 25" xr:uid="{247BD25C-4696-42DD-A8A3-CC48701880EB}"/>
    <hyperlink ref="A21" location="'CDE Mill Levy Certificat. Form'!A27" display="Row 18" xr:uid="{4B3A092C-94B5-4744-87EC-F47562F56E5C}"/>
    <hyperlink ref="A11" location="'CDE Mill Levy Certificat. Form'!A23" display="Row 23" xr:uid="{0118BD14-BD98-42EF-96A6-219AFCB467BC}"/>
    <hyperlink ref="A30" location="'CDE Mill Levy Certificat. Form'!A30" display="Row 30" xr:uid="{0BE86BBD-6CB5-43D6-AB4E-586EC96EF679}"/>
    <hyperlink ref="A31:A35" location="'CDE Mill Levy Certificat. Form'!A30" display="Row 30" xr:uid="{3DFB5908-8AA0-4076-9BAF-658CEEF461B8}"/>
    <hyperlink ref="A31" location="'CDE Mill Levy Certificat. Form'!A32" display="Row 30" xr:uid="{646E5F79-8B24-408E-81EC-66DE3381ECAF}"/>
    <hyperlink ref="A32" location="'CDE Mill Levy Certificat. Form'!A34" display="Row 34" xr:uid="{AEC577BF-DEFB-4612-8E63-73B11EF3D52C}"/>
    <hyperlink ref="A33" location="'CDE Mill Levy Certificat. Form'!A37" display="Row 37" xr:uid="{705C9FEE-736E-4BFA-BC65-64FC2B43C504}"/>
    <hyperlink ref="A34" location="'CDE Mill Levy Certificat. Form'!A39" display="Row 30" xr:uid="{2690D13E-C086-4AB5-AB4D-736787B1DDC8}"/>
    <hyperlink ref="A35" location="'CDE Mill Levy Certificat. Form'!A41" display="Row 41" xr:uid="{D8A21540-AF43-4E53-9508-241F7040669A}"/>
    <hyperlink ref="A40" location="'CDE Mill Levy Certificat. Form'!A45" display="Row 45" xr:uid="{892901A3-31A6-4598-9EB2-86D5C3F077FA}"/>
    <hyperlink ref="A41" location="'CDE Mill Levy Certificat. Form'!A47" display="Row 47" xr:uid="{538079D5-7A76-47DF-A389-7CE5BBCE948F}"/>
    <hyperlink ref="A43:A45" location="'Calculation Worksheet'!A45" display="Row 45" xr:uid="{6FBAFA8A-1C7D-4C31-93E9-0EE28F5A93D4}"/>
    <hyperlink ref="A49" location="'CDE Mill Levy Certificat. Form'!A53" display="Row 53" xr:uid="{F523D313-3476-4800-8C52-C223FAAF7DA1}"/>
    <hyperlink ref="A43" location="'CDE Mill Levy Certificat. Form'!A50" display="Row 50" xr:uid="{85ADBF03-E7CE-41E8-8072-B18DED31BD36}"/>
    <hyperlink ref="A44" location="'CDE Mill Levy Certificat. Form'!A51" display="Row 51" xr:uid="{19329F0B-A819-407E-B2B9-71B6C1820FE7}"/>
    <hyperlink ref="A45" location="'CDE Mill Levy Certificat. Form'!A52" display="Row 52" xr:uid="{5A47AF41-E892-472C-8023-0D3DC7F1B8F1}"/>
    <hyperlink ref="A51" location="'CDE Mill Levy Certificat. Form'!A55" display="Row 55" xr:uid="{6DBA3A4C-B0CD-4CFE-9722-18C6034D461D}"/>
    <hyperlink ref="A53" location="'CDE Mill Levy Certificat. Form'!A57" display="Row 57" xr:uid="{99536BA1-EB39-4BD0-8E6F-4DC67F31B150}"/>
    <hyperlink ref="A60" location="'CDE Mill Levy Certificat. Form'!A60" display="Row 60" xr:uid="{8ED735FF-6A0A-4EEC-90B2-805413C83C79}"/>
    <hyperlink ref="A66" location="'CDE Mill Levy Certificat. Form'!A62" display="Row 62" xr:uid="{2482D4C5-BBB5-46E7-B267-1B2BD834B81A}"/>
    <hyperlink ref="A73" location="'CDE Mill Levy Certificat. Form'!A64" display="Row 64" xr:uid="{3D1A16B0-5F36-47AA-AC93-762E00BEF3A4}"/>
    <hyperlink ref="A81" location="'CDE Mill Levy Certificat. Form'!A66" display="Row 66" xr:uid="{75AF42E1-25D5-4A0D-9BF4-C410E48A8ACB}"/>
    <hyperlink ref="A87" location="'CDE Mill Levy Certificat. Form'!A68" display="Row 68" xr:uid="{6A36B233-FB8D-481A-83F5-059C26B9A961}"/>
    <hyperlink ref="A100" location="'CDE Mill Levy Certificat. Form'!A70" display="Row 70" xr:uid="{47FB17CC-5CF2-46A4-BAE5-8573AE11534F}"/>
    <hyperlink ref="A46" location="'Calculation Worksheet'!A45" display="Row 45" xr:uid="{9E09D84C-A27F-4CDD-AD03-AF27D2F66597}"/>
  </hyperlinks>
  <pageMargins left="0.7" right="0.7" top="0.75" bottom="0.75" header="0" footer="0"/>
  <pageSetup scale="47" fitToHeight="0" orientation="portrait" r:id="rId1"/>
  <rowBreaks count="2" manualBreakCount="2">
    <brk id="54" max="16383" man="1"/>
    <brk id="89" max="16383" man="1"/>
  </rowBreaks>
  <ignoredErrors>
    <ignoredError sqref="C3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A426D-D53D-4091-8E8F-2C05D1CB605D}">
  <dimension ref="A1"/>
  <sheetViews>
    <sheetView workbookViewId="0"/>
  </sheetViews>
  <sheetFormatPr defaultRowHeight="12.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1F9E6-3F8C-47C9-9A79-280B4C7EF78A}">
  <dimension ref="A1"/>
  <sheetViews>
    <sheetView workbookViewId="0"/>
  </sheetViews>
  <sheetFormatPr defaultRowHeight="12.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2ED46-6127-43E4-BF4C-FC1C1C1040CA}">
  <sheetPr>
    <pageSetUpPr fitToPage="1"/>
  </sheetPr>
  <dimension ref="A1:H85"/>
  <sheetViews>
    <sheetView topLeftCell="B58" zoomScale="86" workbookViewId="0">
      <selection activeCell="E63" sqref="E63"/>
    </sheetView>
  </sheetViews>
  <sheetFormatPr defaultColWidth="8.58203125" defaultRowHeight="15.5" outlineLevelRow="1" x14ac:dyDescent="0.35"/>
  <cols>
    <col min="1" max="2" width="40.75" style="63" customWidth="1"/>
    <col min="3" max="5" width="28.75" style="60" customWidth="1"/>
    <col min="6" max="6" width="30.75" style="63" customWidth="1"/>
    <col min="7" max="7" width="18.4140625" style="61" customWidth="1"/>
    <col min="8" max="8" width="97.08203125" style="237" customWidth="1"/>
    <col min="9" max="16384" width="8.58203125" style="61"/>
  </cols>
  <sheetData>
    <row r="1" spans="1:8" x14ac:dyDescent="0.35">
      <c r="B1" s="60"/>
      <c r="E1" s="63"/>
      <c r="F1" s="61"/>
      <c r="G1" s="237"/>
      <c r="H1" s="61"/>
    </row>
    <row r="2" spans="1:8" ht="80.5" customHeight="1" x14ac:dyDescent="0.25">
      <c r="A2" s="729" t="s">
        <v>619</v>
      </c>
      <c r="B2" s="729"/>
      <c r="C2" s="729"/>
      <c r="D2" s="729"/>
      <c r="E2" s="729"/>
      <c r="F2" s="729"/>
      <c r="G2" s="238"/>
      <c r="H2" s="61"/>
    </row>
    <row r="3" spans="1:8" ht="55.25" customHeight="1" x14ac:dyDescent="0.25">
      <c r="A3" s="735" t="s">
        <v>964</v>
      </c>
      <c r="B3" s="735"/>
      <c r="C3" s="735"/>
      <c r="D3" s="735"/>
      <c r="E3" s="735"/>
      <c r="F3" s="735"/>
      <c r="G3" s="238"/>
      <c r="H3" s="61"/>
    </row>
    <row r="4" spans="1:8" ht="47" customHeight="1" x14ac:dyDescent="0.25">
      <c r="A4" s="734" t="s">
        <v>657</v>
      </c>
      <c r="B4" s="734"/>
      <c r="C4" s="734"/>
      <c r="D4" s="734"/>
      <c r="E4" s="734"/>
      <c r="F4" s="734"/>
      <c r="G4" s="238"/>
      <c r="H4" s="61"/>
    </row>
    <row r="5" spans="1:8" ht="47" customHeight="1" x14ac:dyDescent="0.25">
      <c r="A5" s="734" t="s">
        <v>992</v>
      </c>
      <c r="B5" s="734"/>
      <c r="C5" s="734"/>
      <c r="D5" s="734"/>
      <c r="E5" s="734"/>
      <c r="F5" s="734"/>
      <c r="G5" s="238"/>
      <c r="H5" s="61"/>
    </row>
    <row r="6" spans="1:8" ht="79.75" customHeight="1" thickBot="1" x14ac:dyDescent="0.3">
      <c r="A6" s="734" t="s">
        <v>982</v>
      </c>
      <c r="B6" s="734"/>
      <c r="C6" s="734"/>
      <c r="D6" s="734"/>
      <c r="E6" s="734"/>
      <c r="F6" s="734"/>
      <c r="G6" s="238"/>
      <c r="H6" s="61"/>
    </row>
    <row r="7" spans="1:8" ht="18" x14ac:dyDescent="0.4">
      <c r="A7" s="487" t="s">
        <v>631</v>
      </c>
      <c r="B7" s="195" t="s">
        <v>23</v>
      </c>
      <c r="C7" s="488"/>
      <c r="D7" s="488" t="s">
        <v>880</v>
      </c>
      <c r="E7" s="677"/>
      <c r="F7" s="61"/>
      <c r="G7" s="237"/>
      <c r="H7" s="61"/>
    </row>
    <row r="8" spans="1:8" ht="18.5" thickBot="1" x14ac:dyDescent="0.45">
      <c r="A8" s="489"/>
      <c r="B8" s="385" t="s">
        <v>847</v>
      </c>
      <c r="C8" s="488"/>
      <c r="D8" s="488" t="s">
        <v>65</v>
      </c>
      <c r="E8" s="678"/>
      <c r="F8" s="61"/>
      <c r="G8" s="237"/>
      <c r="H8" s="61"/>
    </row>
    <row r="9" spans="1:8" x14ac:dyDescent="0.35">
      <c r="B9" s="230"/>
      <c r="E9" s="63"/>
      <c r="F9" s="61"/>
      <c r="G9" s="237"/>
      <c r="H9" s="61"/>
    </row>
    <row r="10" spans="1:8" ht="23" customHeight="1" x14ac:dyDescent="0.25">
      <c r="A10" s="692" t="s">
        <v>902</v>
      </c>
      <c r="B10" s="692"/>
      <c r="C10" s="692"/>
      <c r="D10" s="692"/>
      <c r="E10" s="692"/>
      <c r="F10" s="692"/>
      <c r="H10" s="229" t="s">
        <v>35</v>
      </c>
    </row>
    <row r="11" spans="1:8" ht="60.5" x14ac:dyDescent="0.35">
      <c r="A11" s="736" t="s">
        <v>598</v>
      </c>
      <c r="B11" s="736"/>
      <c r="C11" s="736"/>
      <c r="D11" s="736"/>
      <c r="E11" s="736"/>
      <c r="F11" s="736"/>
      <c r="G11" s="252" t="s">
        <v>720</v>
      </c>
      <c r="H11" s="239"/>
    </row>
    <row r="13" spans="1:8" ht="19" x14ac:dyDescent="0.5">
      <c r="A13" s="61"/>
      <c r="F13" s="386">
        <f>+'Calculation Worksheet'!C1</f>
        <v>0</v>
      </c>
      <c r="G13" s="253" t="s">
        <v>753</v>
      </c>
      <c r="H13" s="240"/>
    </row>
    <row r="14" spans="1:8" ht="17" x14ac:dyDescent="0.5">
      <c r="A14" s="388" t="s">
        <v>640</v>
      </c>
      <c r="B14" s="389"/>
      <c r="C14" s="389" t="s">
        <v>33</v>
      </c>
      <c r="D14" s="389"/>
      <c r="E14" s="389"/>
      <c r="F14" s="389"/>
      <c r="G14" s="62"/>
    </row>
    <row r="15" spans="1:8" x14ac:dyDescent="0.35">
      <c r="A15" s="390" t="e">
        <f>VLOOKUP($F$13,'Data FY23-24 Final'!$A$2:$Z$180,2,FALSE)</f>
        <v>#N/A</v>
      </c>
      <c r="B15" s="388"/>
      <c r="C15" s="388" t="s">
        <v>901</v>
      </c>
      <c r="D15" s="388"/>
      <c r="E15" s="388"/>
      <c r="F15" s="388"/>
      <c r="H15" s="61"/>
    </row>
    <row r="16" spans="1:8" ht="21.65" customHeight="1" x14ac:dyDescent="0.35">
      <c r="A16" s="388" t="s">
        <v>488</v>
      </c>
      <c r="B16" s="388"/>
      <c r="C16" s="730" t="s">
        <v>630</v>
      </c>
      <c r="D16" s="730"/>
      <c r="E16" s="731" t="s">
        <v>633</v>
      </c>
      <c r="F16" s="731"/>
      <c r="H16" s="61"/>
    </row>
    <row r="17" spans="1:8" ht="46.5" x14ac:dyDescent="0.35">
      <c r="A17" s="390" t="e">
        <f>VLOOKUP($F$13,'Data FY23-24 Final'!$A$2:$Z$180,3,FALSE)</f>
        <v>#N/A</v>
      </c>
      <c r="B17" s="388"/>
      <c r="C17" s="388"/>
      <c r="D17" s="391"/>
      <c r="E17" s="387" t="s">
        <v>850</v>
      </c>
      <c r="F17" s="388"/>
    </row>
    <row r="18" spans="1:8" s="64" customFormat="1" ht="60.5" x14ac:dyDescent="0.35">
      <c r="A18" s="392"/>
      <c r="B18" s="392"/>
      <c r="C18" s="393" t="s">
        <v>632</v>
      </c>
      <c r="D18" s="393" t="s">
        <v>36</v>
      </c>
      <c r="E18" s="394" t="s">
        <v>37</v>
      </c>
      <c r="F18" s="394" t="s">
        <v>38</v>
      </c>
      <c r="G18" s="252" t="s">
        <v>720</v>
      </c>
      <c r="H18" s="241"/>
    </row>
    <row r="19" spans="1:8" s="64" customFormat="1" x14ac:dyDescent="0.35">
      <c r="A19" s="391" t="s">
        <v>39</v>
      </c>
      <c r="B19" s="391"/>
      <c r="C19" s="395">
        <v>45297</v>
      </c>
      <c r="D19" s="395">
        <v>45529</v>
      </c>
      <c r="E19" s="396" t="s">
        <v>981</v>
      </c>
      <c r="F19" s="396" t="str">
        <f>E19</f>
        <v>December 16, 2024</v>
      </c>
      <c r="H19" s="242"/>
    </row>
    <row r="20" spans="1:8" s="64" customFormat="1" x14ac:dyDescent="0.35">
      <c r="A20" s="391"/>
      <c r="B20" s="391"/>
      <c r="C20" s="397"/>
      <c r="D20" s="397"/>
      <c r="E20" s="398"/>
      <c r="F20" s="399"/>
      <c r="H20" s="243"/>
    </row>
    <row r="21" spans="1:8" x14ac:dyDescent="0.35">
      <c r="A21" s="400" t="s">
        <v>0</v>
      </c>
      <c r="B21" s="401" t="s">
        <v>750</v>
      </c>
      <c r="C21" s="402"/>
      <c r="D21" s="402"/>
      <c r="E21" s="403"/>
      <c r="F21" s="404"/>
    </row>
    <row r="22" spans="1:8" ht="18" outlineLevel="1" x14ac:dyDescent="0.4">
      <c r="A22" s="405" t="s">
        <v>40</v>
      </c>
      <c r="B22" s="406" t="s">
        <v>751</v>
      </c>
      <c r="C22" s="565" t="e">
        <f>VLOOKUP($F$13,'Data FY23-24 Final'!$A$2:$Z$180,4,FALSE)</f>
        <v>#N/A</v>
      </c>
      <c r="D22" s="565" t="e">
        <f>VLOOKUP($F$13,'Data Aug 2024 AV'!$A$3:$Z$180,4,FALSE)</f>
        <v>#N/A</v>
      </c>
      <c r="E22" s="426">
        <f>+'Calculation Worksheet'!E10</f>
        <v>0</v>
      </c>
      <c r="F22" s="426"/>
      <c r="G22" s="253" t="s">
        <v>718</v>
      </c>
      <c r="H22" s="237" t="s">
        <v>830</v>
      </c>
    </row>
    <row r="23" spans="1:8" outlineLevel="1" x14ac:dyDescent="0.35">
      <c r="A23" s="405"/>
      <c r="B23" s="406"/>
      <c r="C23" s="407"/>
      <c r="D23" s="409"/>
      <c r="E23" s="408"/>
      <c r="F23" s="404"/>
      <c r="G23" s="65"/>
      <c r="H23" s="237" t="s">
        <v>661</v>
      </c>
    </row>
    <row r="24" spans="1:8" ht="31.5" outlineLevel="1" x14ac:dyDescent="0.4">
      <c r="A24" s="405" t="s">
        <v>41</v>
      </c>
      <c r="B24" s="410" t="s">
        <v>752</v>
      </c>
      <c r="C24" s="565" t="e">
        <f>VLOOKUP($F$13,'Data FY23-24 Final'!$A$2:$Z$180,5,FALSE)</f>
        <v>#N/A</v>
      </c>
      <c r="D24" s="565" t="e">
        <f>VLOOKUP($F$13,'Data Aug 2024 AV'!$A$3:$Z$180,5,FALSE)</f>
        <v>#N/A</v>
      </c>
      <c r="E24" s="426">
        <f>+'Calculation Worksheet'!E11</f>
        <v>0</v>
      </c>
      <c r="F24" s="426"/>
      <c r="G24" s="253" t="s">
        <v>717</v>
      </c>
      <c r="H24" s="237" t="s">
        <v>688</v>
      </c>
    </row>
    <row r="25" spans="1:8" ht="18" x14ac:dyDescent="0.4">
      <c r="A25" s="405"/>
      <c r="B25" s="406"/>
      <c r="C25" s="407"/>
      <c r="D25" s="409"/>
      <c r="E25" s="408"/>
      <c r="F25" s="404"/>
      <c r="G25" s="253"/>
    </row>
    <row r="26" spans="1:8" ht="18" x14ac:dyDescent="0.4">
      <c r="A26" s="405" t="s">
        <v>42</v>
      </c>
      <c r="B26" s="406" t="s">
        <v>751</v>
      </c>
      <c r="C26" s="565" t="e">
        <f>VLOOKUP($F$13,'Data FY23-24 Final'!$A$2:$Z$180,6,FALSE)</f>
        <v>#N/A</v>
      </c>
      <c r="D26" s="565" t="e">
        <f>VLOOKUP($F$13,'Data Aug 2024 AV'!$A$3:$Z$180,6,FALSE)</f>
        <v>#N/A</v>
      </c>
      <c r="E26" s="426">
        <f>+'Calculation Worksheet'!E12</f>
        <v>0</v>
      </c>
      <c r="F26" s="426"/>
      <c r="G26" s="253" t="s">
        <v>719</v>
      </c>
      <c r="H26" s="237" t="s">
        <v>43</v>
      </c>
    </row>
    <row r="27" spans="1:8" ht="18" x14ac:dyDescent="0.4">
      <c r="A27" s="405"/>
      <c r="B27" s="388"/>
      <c r="C27" s="411"/>
      <c r="D27" s="412"/>
      <c r="E27" s="413"/>
      <c r="F27" s="404"/>
      <c r="G27" s="253"/>
    </row>
    <row r="28" spans="1:8" ht="18" x14ac:dyDescent="0.4">
      <c r="A28" s="405" t="s">
        <v>1</v>
      </c>
      <c r="B28" s="406" t="s">
        <v>751</v>
      </c>
      <c r="C28" s="565" t="e">
        <f>VLOOKUP($F$13,'Data FY23-24 Final'!$A$2:$Z$180,7,FALSE)</f>
        <v>#N/A</v>
      </c>
      <c r="D28" s="565" t="e">
        <f>VLOOKUP($F$13,'Data Aug 2024 AV'!$A$3:$Z$180,7,FALSE)</f>
        <v>#N/A</v>
      </c>
      <c r="E28" s="426">
        <f>+'Calculation Worksheet'!E21</f>
        <v>0</v>
      </c>
      <c r="F28" s="426"/>
      <c r="G28" s="253" t="s">
        <v>721</v>
      </c>
      <c r="H28" s="237" t="s">
        <v>831</v>
      </c>
    </row>
    <row r="29" spans="1:8" ht="18" x14ac:dyDescent="0.4">
      <c r="A29" s="405" t="s">
        <v>44</v>
      </c>
      <c r="B29" s="388"/>
      <c r="C29" s="414"/>
      <c r="D29" s="402"/>
      <c r="E29" s="403"/>
      <c r="F29" s="404"/>
      <c r="G29" s="253"/>
      <c r="H29" s="237" t="s">
        <v>45</v>
      </c>
    </row>
    <row r="30" spans="1:8" ht="18" x14ac:dyDescent="0.4">
      <c r="A30" s="405"/>
      <c r="B30" s="388"/>
      <c r="C30" s="414"/>
      <c r="D30" s="415"/>
      <c r="E30" s="403"/>
      <c r="F30" s="404"/>
      <c r="G30" s="253"/>
    </row>
    <row r="31" spans="1:8" ht="18" x14ac:dyDescent="0.4">
      <c r="A31" s="405" t="s">
        <v>46</v>
      </c>
      <c r="B31" s="416" t="s">
        <v>859</v>
      </c>
      <c r="C31" s="566" t="e">
        <f>VLOOKUP($F$13,'Data FY23-24 Final'!$A$2:$Z$180,8,FALSE)</f>
        <v>#N/A</v>
      </c>
      <c r="D31" s="566" t="e">
        <f>VLOOKUP($F$13,'Data Aug 2024 AV'!$A$3:$Z$180,8,FALSE)</f>
        <v>#N/A</v>
      </c>
      <c r="E31" s="566" t="e">
        <f>VLOOKUP($F$13,'Data Aug 2024 AV'!$A$3:$Z$180,8,FALSE)</f>
        <v>#N/A</v>
      </c>
      <c r="F31" s="426"/>
      <c r="G31" s="303" t="s">
        <v>762</v>
      </c>
      <c r="H31" s="334" t="s">
        <v>852</v>
      </c>
    </row>
    <row r="32" spans="1:8" ht="18" x14ac:dyDescent="0.4">
      <c r="A32" s="405"/>
      <c r="B32" s="417"/>
      <c r="C32" s="407"/>
      <c r="D32" s="418"/>
      <c r="E32" s="418"/>
      <c r="F32" s="404"/>
      <c r="G32" s="253"/>
    </row>
    <row r="33" spans="1:8" ht="18" x14ac:dyDescent="0.4">
      <c r="A33" s="405" t="s">
        <v>47</v>
      </c>
      <c r="B33" s="416" t="s">
        <v>859</v>
      </c>
      <c r="C33" s="566" t="e">
        <f>VLOOKUP($F$13,'Data FY23-24 Final'!$A$2:$Z$180,9,FALSE)</f>
        <v>#N/A</v>
      </c>
      <c r="D33" s="566" t="e">
        <f>VLOOKUP($F$13,'Data Aug 2024 AV'!$A$3:$Z$180,9,FALSE)</f>
        <v>#N/A</v>
      </c>
      <c r="E33" s="566" t="e">
        <f>VLOOKUP($F$13,'Data Aug 2024 AV'!$A$3:$Z$180,9,FALSE)</f>
        <v>#N/A</v>
      </c>
      <c r="F33" s="426"/>
      <c r="G33" s="303" t="s">
        <v>762</v>
      </c>
      <c r="H33" s="237" t="s">
        <v>48</v>
      </c>
    </row>
    <row r="34" spans="1:8" ht="18" x14ac:dyDescent="0.4">
      <c r="A34" s="405"/>
      <c r="B34" s="417"/>
      <c r="C34" s="407"/>
      <c r="D34" s="418"/>
      <c r="E34" s="418"/>
      <c r="F34" s="404"/>
      <c r="G34" s="253"/>
      <c r="H34" s="237" t="s">
        <v>49</v>
      </c>
    </row>
    <row r="35" spans="1:8" ht="14.5" customHeight="1" x14ac:dyDescent="0.4">
      <c r="A35" s="405" t="s">
        <v>50</v>
      </c>
      <c r="B35" s="416" t="s">
        <v>859</v>
      </c>
      <c r="C35" s="566" t="e">
        <f>VLOOKUP($F$13,'Data FY23-24 Final'!$A$2:$Z$180,10,FALSE)</f>
        <v>#N/A</v>
      </c>
      <c r="D35" s="566" t="e">
        <f>VLOOKUP($F$13,'Data Aug 2024 AV'!$A$3:$Z$180,10,FALSE)</f>
        <v>#N/A</v>
      </c>
      <c r="E35" s="566" t="e">
        <f>VLOOKUP($F$13,'Data Aug 2024 AV'!$A$3:$Z$180,10,FALSE)</f>
        <v>#N/A</v>
      </c>
      <c r="F35" s="426" t="e">
        <f>+E35*E26/1000</f>
        <v>#N/A</v>
      </c>
      <c r="G35" s="303" t="s">
        <v>762</v>
      </c>
      <c r="H35" s="732" t="s">
        <v>51</v>
      </c>
    </row>
    <row r="36" spans="1:8" ht="18" x14ac:dyDescent="0.4">
      <c r="A36" s="419" t="s">
        <v>52</v>
      </c>
      <c r="B36" s="388"/>
      <c r="C36" s="418"/>
      <c r="D36" s="418"/>
      <c r="E36" s="418"/>
      <c r="F36" s="404"/>
      <c r="G36" s="253"/>
      <c r="H36" s="733"/>
    </row>
    <row r="37" spans="1:8" ht="18" x14ac:dyDescent="0.4">
      <c r="A37" s="419"/>
      <c r="B37" s="388"/>
      <c r="C37" s="418"/>
      <c r="D37" s="418"/>
      <c r="E37" s="418"/>
      <c r="F37" s="404"/>
      <c r="G37" s="253"/>
      <c r="H37" s="244"/>
    </row>
    <row r="38" spans="1:8" ht="31.5" x14ac:dyDescent="0.4">
      <c r="A38" s="405" t="s">
        <v>53</v>
      </c>
      <c r="B38" s="420" t="s">
        <v>842</v>
      </c>
      <c r="C38" s="571" t="e">
        <f>VLOOKUP($F$13,'Data FY23-24 Final'!$A$2:$Z$180,11,FALSE)</f>
        <v>#N/A</v>
      </c>
      <c r="D38" s="571" t="e">
        <f>VLOOKUP($F$13,'Data Aug 2024 AV'!$A$3:$Z$180,11,FALSE)</f>
        <v>#N/A</v>
      </c>
      <c r="E38" s="572">
        <f>+'Calculation Worksheet'!F33</f>
        <v>0</v>
      </c>
      <c r="F38" s="573">
        <f>($E$26*E38)/1000</f>
        <v>0</v>
      </c>
      <c r="G38" s="253" t="s">
        <v>722</v>
      </c>
      <c r="H38" s="332" t="s">
        <v>832</v>
      </c>
    </row>
    <row r="39" spans="1:8" ht="18" x14ac:dyDescent="0.4">
      <c r="A39" s="405"/>
      <c r="B39" s="421"/>
      <c r="C39" s="572"/>
      <c r="D39" s="572"/>
      <c r="E39" s="572"/>
      <c r="F39" s="574"/>
      <c r="G39" s="253"/>
    </row>
    <row r="40" spans="1:8" ht="30" customHeight="1" x14ac:dyDescent="0.4">
      <c r="A40" s="405" t="s">
        <v>54</v>
      </c>
      <c r="B40" s="420" t="s">
        <v>842</v>
      </c>
      <c r="C40" s="571" t="e">
        <f>VLOOKUP($F$13,'Data FY23-24 Final'!$A$2:$Z$180,12,FALSE)</f>
        <v>#N/A</v>
      </c>
      <c r="D40" s="571" t="e">
        <f>VLOOKUP($F$13,'Data Aug 2024 AV'!$A$3:$Z$180,12,FALSE)</f>
        <v>#N/A</v>
      </c>
      <c r="E40" s="572">
        <f>+'Calculation Worksheet'!F34</f>
        <v>0</v>
      </c>
      <c r="F40" s="573">
        <f>($E$26*E40)/1000</f>
        <v>0</v>
      </c>
      <c r="G40" s="253" t="s">
        <v>723</v>
      </c>
      <c r="H40" s="333" t="s">
        <v>832</v>
      </c>
    </row>
    <row r="41" spans="1:8" ht="18" x14ac:dyDescent="0.4">
      <c r="A41" s="405"/>
      <c r="B41" s="388"/>
      <c r="C41" s="572"/>
      <c r="D41" s="572"/>
      <c r="E41" s="572"/>
      <c r="F41" s="574"/>
      <c r="G41" s="253"/>
      <c r="H41" s="242"/>
    </row>
    <row r="42" spans="1:8" ht="17" customHeight="1" x14ac:dyDescent="0.4">
      <c r="A42" s="422" t="s">
        <v>55</v>
      </c>
      <c r="B42" s="400"/>
      <c r="C42" s="423" t="e">
        <f>+C40+C38+C35</f>
        <v>#N/A</v>
      </c>
      <c r="D42" s="423" t="e">
        <f>+D40+D38+D35</f>
        <v>#N/A</v>
      </c>
      <c r="E42" s="423" t="e">
        <f>E35+E38+E40</f>
        <v>#N/A</v>
      </c>
      <c r="F42" s="432" t="e">
        <f>F35+F38+F40</f>
        <v>#N/A</v>
      </c>
      <c r="G42" s="253" t="s">
        <v>724</v>
      </c>
      <c r="H42" s="246"/>
    </row>
    <row r="43" spans="1:8" ht="14" customHeight="1" thickBot="1" x14ac:dyDescent="0.45">
      <c r="A43" s="405"/>
      <c r="B43" s="388"/>
      <c r="C43" s="418"/>
      <c r="D43" s="418"/>
      <c r="E43" s="418"/>
      <c r="F43" s="424"/>
      <c r="G43" s="253"/>
      <c r="H43" s="246"/>
    </row>
    <row r="44" spans="1:8" ht="35.5" customHeight="1" x14ac:dyDescent="0.4">
      <c r="A44" s="405" t="s">
        <v>56</v>
      </c>
      <c r="B44" s="388"/>
      <c r="C44" s="418"/>
      <c r="D44" s="418"/>
      <c r="E44" s="418"/>
      <c r="F44" s="424"/>
      <c r="G44" s="253"/>
      <c r="H44" s="247" t="s">
        <v>57</v>
      </c>
    </row>
    <row r="45" spans="1:8" ht="14" customHeight="1" x14ac:dyDescent="0.4">
      <c r="A45" s="405"/>
      <c r="B45" s="388"/>
      <c r="C45" s="418"/>
      <c r="D45" s="418"/>
      <c r="E45" s="418"/>
      <c r="F45" s="424"/>
      <c r="G45" s="253"/>
      <c r="H45" s="248"/>
    </row>
    <row r="46" spans="1:8" ht="14" customHeight="1" x14ac:dyDescent="0.4">
      <c r="A46" s="405" t="s">
        <v>625</v>
      </c>
      <c r="B46" s="425"/>
      <c r="C46" s="566" t="e">
        <f>VLOOKUP($F$13,'Data FY23-24 Final'!$A$2:$Z$180,13,FALSE)</f>
        <v>#N/A</v>
      </c>
      <c r="D46" s="566" t="e">
        <f>VLOOKUP($F$13,'Data Aug 2024 AV'!$A$3:$Z$180,13,FALSE)</f>
        <v>#N/A</v>
      </c>
      <c r="E46" s="418" t="e">
        <f>+'Calculation Worksheet'!F40</f>
        <v>#N/A</v>
      </c>
      <c r="F46" s="426" t="e">
        <f>($E$26*E46)/1000</f>
        <v>#N/A</v>
      </c>
      <c r="G46" s="253" t="s">
        <v>725</v>
      </c>
      <c r="H46" s="248"/>
    </row>
    <row r="47" spans="1:8" ht="14" customHeight="1" x14ac:dyDescent="0.4">
      <c r="A47" s="405"/>
      <c r="B47" s="425"/>
      <c r="C47" s="418"/>
      <c r="D47" s="418"/>
      <c r="E47" s="418"/>
      <c r="F47" s="427"/>
      <c r="G47" s="253"/>
      <c r="H47" s="248"/>
    </row>
    <row r="48" spans="1:8" ht="14" customHeight="1" x14ac:dyDescent="0.4">
      <c r="A48" s="405" t="s">
        <v>626</v>
      </c>
      <c r="B48" s="425"/>
      <c r="C48" s="566" t="e">
        <f>VLOOKUP($F$13,'Data FY23-24 Final'!$A$2:$Z$180,14,FALSE)</f>
        <v>#N/A</v>
      </c>
      <c r="D48" s="566" t="e">
        <f>VLOOKUP($F$13,'Data Aug 2024 AV'!$A$3:$Z$180,14,FALSE)</f>
        <v>#N/A</v>
      </c>
      <c r="E48" s="418" t="e">
        <f>+'Calculation Worksheet'!F41</f>
        <v>#N/A</v>
      </c>
      <c r="F48" s="426" t="e">
        <f>($E$26*E48)/1000</f>
        <v>#N/A</v>
      </c>
      <c r="G48" s="253" t="s">
        <v>726</v>
      </c>
      <c r="H48" s="248"/>
    </row>
    <row r="49" spans="1:8" ht="14" customHeight="1" x14ac:dyDescent="0.4">
      <c r="A49" s="405"/>
      <c r="B49" s="388"/>
      <c r="C49" s="418"/>
      <c r="D49" s="418"/>
      <c r="E49" s="418"/>
      <c r="F49" s="426"/>
      <c r="G49" s="253"/>
      <c r="H49" s="248"/>
    </row>
    <row r="50" spans="1:8" ht="14" customHeight="1" x14ac:dyDescent="0.4">
      <c r="A50" s="405" t="s">
        <v>627</v>
      </c>
      <c r="B50" s="388"/>
      <c r="C50" s="418"/>
      <c r="D50" s="418"/>
      <c r="E50" s="418"/>
      <c r="F50" s="426"/>
      <c r="G50" s="253"/>
      <c r="H50" s="248"/>
    </row>
    <row r="51" spans="1:8" ht="14" customHeight="1" x14ac:dyDescent="0.4">
      <c r="A51" s="428" t="s">
        <v>743</v>
      </c>
      <c r="B51" s="406"/>
      <c r="C51" s="566" t="e">
        <f>VLOOKUP($F$13,'Data FY23-24 Final'!$A$2:$Z$180,15,FALSE)</f>
        <v>#N/A</v>
      </c>
      <c r="D51" s="566" t="e">
        <f>VLOOKUP($F$13,'Data Aug 2024 AV'!$A$3:$Z$180,15,FALSE)</f>
        <v>#N/A</v>
      </c>
      <c r="E51" s="429">
        <f>+'Calculation Worksheet'!F49</f>
        <v>0</v>
      </c>
      <c r="F51" s="430">
        <f>($E$26*E51)/1000</f>
        <v>0</v>
      </c>
      <c r="G51" s="253" t="s">
        <v>727</v>
      </c>
      <c r="H51" s="248"/>
    </row>
    <row r="52" spans="1:8" ht="14" customHeight="1" x14ac:dyDescent="0.4">
      <c r="A52" s="431"/>
      <c r="B52" s="388"/>
      <c r="C52" s="418"/>
      <c r="D52" s="418"/>
      <c r="E52" s="418"/>
      <c r="F52" s="426"/>
      <c r="G52" s="253"/>
      <c r="H52" s="248"/>
    </row>
    <row r="53" spans="1:8" ht="14.5" customHeight="1" thickBot="1" x14ac:dyDescent="0.45">
      <c r="A53" s="405" t="s">
        <v>58</v>
      </c>
      <c r="B53" s="425"/>
      <c r="C53" s="566" t="e">
        <f>VLOOKUP($F$13,'Data FY23-24 Final'!$A$2:$Z$180,16,FALSE)</f>
        <v>#N/A</v>
      </c>
      <c r="D53" s="566" t="e">
        <f>VLOOKUP($F$13,'Data Aug 2024 AV'!$A$3:$Z$180,16,FALSE)</f>
        <v>#N/A</v>
      </c>
      <c r="E53" s="418" t="e">
        <f>+'Calculation Worksheet'!F51</f>
        <v>#DIV/0!</v>
      </c>
      <c r="F53" s="426" t="e">
        <f>($E$26*E53)/1000</f>
        <v>#DIV/0!</v>
      </c>
      <c r="G53" s="253" t="s">
        <v>728</v>
      </c>
      <c r="H53" s="249"/>
    </row>
    <row r="54" spans="1:8" ht="18" x14ac:dyDescent="0.4">
      <c r="A54" s="405"/>
      <c r="B54" s="388"/>
      <c r="C54" s="418"/>
      <c r="D54" s="418"/>
      <c r="E54" s="418"/>
      <c r="F54" s="426"/>
      <c r="G54" s="253"/>
    </row>
    <row r="55" spans="1:8" ht="18.5" thickBot="1" x14ac:dyDescent="0.45">
      <c r="A55" s="422" t="s">
        <v>59</v>
      </c>
      <c r="B55" s="400"/>
      <c r="C55" s="423" t="e">
        <f>+C42+C51+C46+C48+C53</f>
        <v>#N/A</v>
      </c>
      <c r="D55" s="423" t="e">
        <f>+D42+D51+D46+D48+D53</f>
        <v>#N/A</v>
      </c>
      <c r="E55" s="423" t="e">
        <f>+E42+E51+E46+E48+E53</f>
        <v>#N/A</v>
      </c>
      <c r="F55" s="432" t="e">
        <f>SUM(F42:F53)</f>
        <v>#N/A</v>
      </c>
      <c r="G55" s="253" t="s">
        <v>828</v>
      </c>
      <c r="H55" s="237" t="s">
        <v>833</v>
      </c>
    </row>
    <row r="56" spans="1:8" ht="18.5" thickBot="1" x14ac:dyDescent="0.45">
      <c r="A56" s="405"/>
      <c r="B56" s="433" t="s">
        <v>628</v>
      </c>
      <c r="C56" s="567" t="e">
        <f>VLOOKUP($F$13,'Data FY23-24 Final'!$A$2:$Z$180,17,FALSE)-C55</f>
        <v>#N/A</v>
      </c>
      <c r="D56" s="567" t="e">
        <f>VLOOKUP($F$13,'Data Aug 2024 AV'!$A$2:$Z$180,17,FALSE)-D55</f>
        <v>#N/A</v>
      </c>
      <c r="E56" s="434" t="e">
        <f>+E55-'Calculation Worksheet'!F53</f>
        <v>#N/A</v>
      </c>
      <c r="F56" s="435" t="e">
        <f>+F55-'Calculation Worksheet'!E53</f>
        <v>#N/A</v>
      </c>
      <c r="G56" s="253"/>
    </row>
    <row r="57" spans="1:8" ht="18.5" thickBot="1" x14ac:dyDescent="0.45">
      <c r="A57" s="405"/>
      <c r="B57" s="388"/>
      <c r="C57" s="418"/>
      <c r="D57" s="436"/>
      <c r="E57" s="437"/>
      <c r="F57" s="426"/>
      <c r="G57" s="253"/>
    </row>
    <row r="58" spans="1:8" ht="47.5" thickBot="1" x14ac:dyDescent="0.45">
      <c r="A58" s="405" t="s">
        <v>60</v>
      </c>
      <c r="B58" s="406"/>
      <c r="C58" s="566" t="e">
        <f>VLOOKUP($F$13,'Data FY23-24 Final'!$A$2:$Z$180,18,FALSE)</f>
        <v>#N/A</v>
      </c>
      <c r="D58" s="570" t="s">
        <v>823</v>
      </c>
      <c r="E58" s="437">
        <f>+'Calculation Worksheet'!F60</f>
        <v>0</v>
      </c>
      <c r="F58" s="426">
        <f>($E$26*E58)/1000</f>
        <v>0</v>
      </c>
      <c r="G58" s="253" t="s">
        <v>729</v>
      </c>
      <c r="H58" s="250" t="s">
        <v>834</v>
      </c>
    </row>
    <row r="59" spans="1:8" ht="18.5" thickBot="1" x14ac:dyDescent="0.45">
      <c r="A59" s="405"/>
      <c r="B59" s="388"/>
      <c r="C59" s="418"/>
      <c r="D59" s="436"/>
      <c r="E59" s="437"/>
      <c r="F59" s="426"/>
      <c r="G59" s="253"/>
    </row>
    <row r="60" spans="1:8" ht="32" thickBot="1" x14ac:dyDescent="0.45">
      <c r="A60" s="405" t="s">
        <v>61</v>
      </c>
      <c r="B60" s="406"/>
      <c r="C60" s="566" t="e">
        <f>VLOOKUP($F$13,'Data FY23-24 Final'!$A$2:$Z$180,19,FALSE)</f>
        <v>#N/A</v>
      </c>
      <c r="D60" s="570" t="s">
        <v>823</v>
      </c>
      <c r="E60" s="437">
        <f>+'Calculation Worksheet'!F67</f>
        <v>0</v>
      </c>
      <c r="F60" s="426">
        <f>($E$26*E60)/1000</f>
        <v>0</v>
      </c>
      <c r="G60" s="253" t="s">
        <v>730</v>
      </c>
      <c r="H60" s="250" t="s">
        <v>57</v>
      </c>
    </row>
    <row r="61" spans="1:8" ht="18.5" thickBot="1" x14ac:dyDescent="0.45">
      <c r="A61" s="405"/>
      <c r="B61" s="388"/>
      <c r="C61" s="418"/>
      <c r="D61" s="436"/>
      <c r="E61" s="437"/>
      <c r="F61" s="426"/>
      <c r="G61" s="253"/>
    </row>
    <row r="62" spans="1:8" ht="32" thickBot="1" x14ac:dyDescent="0.45">
      <c r="A62" s="438" t="s">
        <v>649</v>
      </c>
      <c r="B62" s="406"/>
      <c r="C62" s="566" t="e">
        <f>VLOOKUP($F$13,'Data FY23-24 Final'!$A$2:$Z$180,20,FALSE)</f>
        <v>#N/A</v>
      </c>
      <c r="D62" s="570" t="s">
        <v>823</v>
      </c>
      <c r="E62" s="437">
        <f>+'Calculation Worksheet'!L73</f>
        <v>0</v>
      </c>
      <c r="F62" s="426">
        <f>($E$26*E62)/1000</f>
        <v>0</v>
      </c>
      <c r="G62" s="253" t="s">
        <v>731</v>
      </c>
      <c r="H62" s="250" t="s">
        <v>57</v>
      </c>
    </row>
    <row r="63" spans="1:8" ht="18.5" thickBot="1" x14ac:dyDescent="0.45">
      <c r="A63" s="405"/>
      <c r="B63" s="388"/>
      <c r="C63" s="418"/>
      <c r="D63" s="436"/>
      <c r="E63" s="437"/>
      <c r="F63" s="426"/>
      <c r="G63" s="253"/>
    </row>
    <row r="64" spans="1:8" ht="32" thickBot="1" x14ac:dyDescent="0.45">
      <c r="A64" s="438" t="s">
        <v>712</v>
      </c>
      <c r="B64" s="406"/>
      <c r="C64" s="566" t="e">
        <f>VLOOKUP($F$13,'Data FY23-24 Final'!$A$2:$Z$180,21,FALSE)</f>
        <v>#N/A</v>
      </c>
      <c r="D64" s="570" t="s">
        <v>823</v>
      </c>
      <c r="E64" s="437">
        <f>+'Calculation Worksheet'!F82</f>
        <v>0</v>
      </c>
      <c r="F64" s="426">
        <f>($E$26*E64)/1000</f>
        <v>0</v>
      </c>
      <c r="G64" s="253" t="s">
        <v>732</v>
      </c>
      <c r="H64" s="250" t="s">
        <v>57</v>
      </c>
    </row>
    <row r="65" spans="1:8" ht="18.5" thickBot="1" x14ac:dyDescent="0.45">
      <c r="A65" s="405"/>
      <c r="B65" s="388"/>
      <c r="C65" s="418"/>
      <c r="D65" s="436"/>
      <c r="E65" s="437"/>
      <c r="F65" s="426"/>
      <c r="G65" s="253"/>
    </row>
    <row r="66" spans="1:8" ht="32" thickBot="1" x14ac:dyDescent="0.45">
      <c r="A66" s="405" t="s">
        <v>824</v>
      </c>
      <c r="B66" s="406"/>
      <c r="C66" s="566" t="e">
        <f>VLOOKUP($F$13,'Data FY23-24 Final'!$A$2:$Z$180,22,FALSE)</f>
        <v>#N/A</v>
      </c>
      <c r="D66" s="570" t="s">
        <v>823</v>
      </c>
      <c r="E66" s="437">
        <f>+'Calculation Worksheet'!F88</f>
        <v>0</v>
      </c>
      <c r="F66" s="426">
        <f>($E$26*E66)/1000</f>
        <v>0</v>
      </c>
      <c r="G66" s="253" t="s">
        <v>733</v>
      </c>
      <c r="H66" s="250" t="s">
        <v>57</v>
      </c>
    </row>
    <row r="67" spans="1:8" ht="18.5" thickBot="1" x14ac:dyDescent="0.45">
      <c r="A67" s="439" t="s">
        <v>825</v>
      </c>
      <c r="B67" s="440"/>
      <c r="C67" s="441"/>
      <c r="D67" s="442"/>
      <c r="E67" s="443"/>
      <c r="F67" s="444"/>
      <c r="G67" s="253"/>
    </row>
    <row r="68" spans="1:8" ht="18" x14ac:dyDescent="0.4">
      <c r="A68" s="388" t="s">
        <v>629</v>
      </c>
      <c r="B68" s="388"/>
      <c r="C68" s="445" t="e">
        <f>SUM(C55:C66)</f>
        <v>#N/A</v>
      </c>
      <c r="D68" s="445"/>
      <c r="E68" s="446" t="e">
        <f>SUM(E55:E66)</f>
        <v>#N/A</v>
      </c>
      <c r="F68" s="447" t="e">
        <f>SUM(F55:F67)</f>
        <v>#N/A</v>
      </c>
      <c r="G68" s="253" t="s">
        <v>734</v>
      </c>
      <c r="H68" s="237" t="s">
        <v>835</v>
      </c>
    </row>
    <row r="69" spans="1:8" ht="18.5" thickBot="1" x14ac:dyDescent="0.45">
      <c r="A69" s="388"/>
      <c r="B69" s="448" t="s">
        <v>628</v>
      </c>
      <c r="C69" s="568" t="e">
        <f>VLOOKUP($F$13,'Data FY23-24 Final'!$A$2:$Z$180,23,FALSE)-C68</f>
        <v>#N/A</v>
      </c>
      <c r="D69" s="449"/>
      <c r="E69" s="450" t="e">
        <f>+E68-'Calculation Worksheet'!E100</f>
        <v>#N/A</v>
      </c>
      <c r="F69" s="451" t="e">
        <f>+F68-'Calculation Worksheet'!E101</f>
        <v>#N/A</v>
      </c>
      <c r="G69" s="253"/>
      <c r="H69" s="245"/>
    </row>
    <row r="70" spans="1:8" ht="18" x14ac:dyDescent="0.4">
      <c r="A70" s="389" t="s">
        <v>63</v>
      </c>
      <c r="B70" s="388"/>
      <c r="C70" s="726" t="s">
        <v>843</v>
      </c>
      <c r="D70" s="727"/>
      <c r="E70" s="728"/>
      <c r="F70" s="465"/>
      <c r="G70" s="253"/>
    </row>
    <row r="71" spans="1:8" ht="31" x14ac:dyDescent="0.35">
      <c r="A71" s="405" t="s">
        <v>853</v>
      </c>
      <c r="B71" s="452" t="s">
        <v>860</v>
      </c>
      <c r="C71" s="569" t="e">
        <f>VLOOKUP($F$13,'Data FY23-24 Final'!$A$2:$Z$180,24,FALSE)</f>
        <v>#N/A</v>
      </c>
      <c r="D71" s="441" t="e">
        <f>VLOOKUP($F$13,'Data Aug 2024 AV'!$A$3:$Z$180,24,FALSE)</f>
        <v>#N/A</v>
      </c>
      <c r="E71" s="453" t="e">
        <f>VLOOKUP($F$13,'Data Aug 2024 AV'!$A$3:$Z$180,24,FALSE)</f>
        <v>#N/A</v>
      </c>
      <c r="F71" s="454"/>
      <c r="H71" s="242" t="s">
        <v>687</v>
      </c>
    </row>
    <row r="72" spans="1:8" x14ac:dyDescent="0.35">
      <c r="A72" s="405"/>
      <c r="B72" s="455"/>
      <c r="C72" s="456"/>
      <c r="D72" s="443"/>
      <c r="E72" s="457"/>
      <c r="F72" s="454"/>
      <c r="H72" s="242"/>
    </row>
    <row r="73" spans="1:8" ht="31" x14ac:dyDescent="0.35">
      <c r="A73" s="438" t="s">
        <v>854</v>
      </c>
      <c r="B73" s="452" t="s">
        <v>860</v>
      </c>
      <c r="C73" s="458" t="e">
        <f>VLOOKUP($F$13,'Data FY23-24 Final'!$A$2:$Z$180,26,FALSE)</f>
        <v>#N/A</v>
      </c>
      <c r="D73" s="444" t="e">
        <f>VLOOKUP($F$13,'Data Aug 2024 AV'!$A$3:$Z$180,26,FALSE)</f>
        <v>#N/A</v>
      </c>
      <c r="E73" s="459" t="e">
        <f>VLOOKUP($F$13,'Data Aug 2024 AV'!$A$3:$Z$180,26,FALSE)</f>
        <v>#N/A</v>
      </c>
      <c r="F73" s="460"/>
    </row>
    <row r="74" spans="1:8" ht="16" thickBot="1" x14ac:dyDescent="0.4">
      <c r="A74" s="388"/>
      <c r="B74" s="388"/>
      <c r="C74" s="461"/>
      <c r="D74" s="462"/>
      <c r="E74" s="463"/>
      <c r="F74" s="388"/>
    </row>
    <row r="75" spans="1:8" ht="51" customHeight="1" x14ac:dyDescent="0.35">
      <c r="A75" s="388"/>
      <c r="B75" s="388"/>
      <c r="C75" s="464"/>
      <c r="D75" s="391"/>
      <c r="E75" s="391"/>
      <c r="F75" s="388"/>
    </row>
    <row r="76" spans="1:8" ht="16" thickBot="1" x14ac:dyDescent="0.4">
      <c r="A76" s="674">
        <f>E7</f>
        <v>0</v>
      </c>
      <c r="B76" s="388"/>
      <c r="C76" s="673">
        <f>E8</f>
        <v>0</v>
      </c>
      <c r="D76" s="391"/>
      <c r="E76" s="391"/>
      <c r="F76" s="388"/>
    </row>
    <row r="77" spans="1:8" x14ac:dyDescent="0.35">
      <c r="A77" s="388" t="s">
        <v>64</v>
      </c>
      <c r="B77" s="388"/>
      <c r="C77" s="391" t="s">
        <v>65</v>
      </c>
      <c r="D77" s="391"/>
      <c r="E77" s="391"/>
      <c r="F77" s="689" t="s">
        <v>997</v>
      </c>
    </row>
    <row r="79" spans="1:8" x14ac:dyDescent="0.35">
      <c r="A79" s="66"/>
    </row>
    <row r="80" spans="1:8" ht="34.25" customHeight="1" x14ac:dyDescent="0.35">
      <c r="A80" s="725" t="s">
        <v>972</v>
      </c>
      <c r="B80" s="725"/>
      <c r="C80" s="319"/>
      <c r="D80" s="319"/>
      <c r="E80" s="319"/>
    </row>
    <row r="81" spans="1:6" ht="41.4" customHeight="1" x14ac:dyDescent="0.35">
      <c r="A81" s="724" t="s">
        <v>881</v>
      </c>
      <c r="B81" s="724"/>
    </row>
    <row r="83" spans="1:6" x14ac:dyDescent="0.35">
      <c r="E83" s="64"/>
      <c r="F83" s="61"/>
    </row>
    <row r="84" spans="1:6" x14ac:dyDescent="0.35">
      <c r="E84" s="64"/>
      <c r="F84" s="61"/>
    </row>
    <row r="85" spans="1:6" x14ac:dyDescent="0.35">
      <c r="E85" s="64"/>
      <c r="F85" s="61"/>
    </row>
  </sheetData>
  <sheetProtection algorithmName="SHA-512" hashValue="p9maSP0dyEF+hqACZm1fxTncYDrQk6LdQkccHn2C8OcKlm9trLcf8M/MFm9iE1vOHdaudQmJySNOGwaTOWSniA==" saltValue="rQKeLD4ueyvV/SOTuR7oBg==" spinCount="100000" sheet="1" formatCells="0" formatColumns="0" formatRows="0"/>
  <protectedRanges>
    <protectedRange sqref="E7" name="Range1"/>
  </protectedRanges>
  <mergeCells count="13">
    <mergeCell ref="H35:H36"/>
    <mergeCell ref="A4:F4"/>
    <mergeCell ref="A3:F3"/>
    <mergeCell ref="A5:F5"/>
    <mergeCell ref="A6:F6"/>
    <mergeCell ref="A11:F11"/>
    <mergeCell ref="A10:F10"/>
    <mergeCell ref="A81:B81"/>
    <mergeCell ref="A80:B80"/>
    <mergeCell ref="C70:E70"/>
    <mergeCell ref="A2:F2"/>
    <mergeCell ref="C16:D16"/>
    <mergeCell ref="E16:F16"/>
  </mergeCells>
  <phoneticPr fontId="75" type="noConversion"/>
  <hyperlinks>
    <hyperlink ref="G22" location="'Calculation Worksheet'!E10" display="Cell E10" xr:uid="{CD29ECD5-E3E6-42C8-9EB6-45C62A913F5F}"/>
    <hyperlink ref="G24" location="'Calculation Worksheet'!E11" display="Cell E13" xr:uid="{93D54C93-6567-4AAD-894C-F6BCD7ED7842}"/>
    <hyperlink ref="G26" location="'Calculation Worksheet'!E12" display="Cell E12" xr:uid="{F5A54EA0-093E-46AD-AE26-67FCFFEFC6E1}"/>
    <hyperlink ref="G28" location="'Calculation Worksheet'!E21" display="Cell E21" xr:uid="{AEEBB2AF-E968-4864-B31F-DD88FEE54AD8}"/>
    <hyperlink ref="G38" location="'Calculation Worksheet'!F33" display="Cell F33" xr:uid="{F1853467-C824-4F52-97B3-9ADF36D9D7C9}"/>
    <hyperlink ref="G40" location="'Calculation Worksheet'!F34" display="Cell F34" xr:uid="{AC6CA075-B445-4612-88CB-3232B8EAB1A7}"/>
    <hyperlink ref="G42" location="'Calculation Worksheet'!F35" display="Cell F35" xr:uid="{22B1B2D8-3110-41CA-97CB-0B12407ACBB4}"/>
    <hyperlink ref="G46" location="'Calculation Worksheet'!F40" display="Cell F40" xr:uid="{05C4EE68-F5D9-492A-97DE-DB5DCCF74B20}"/>
    <hyperlink ref="G48" location="'Calculation Worksheet'!F41" display="Cell F41" xr:uid="{6343D155-7F1F-408C-BAE9-5F3480B6E6D2}"/>
    <hyperlink ref="G53" location="'Calculation Worksheet'!F51" display="Cell F51" xr:uid="{52E074F9-08C5-4CED-8168-7FC298FB580D}"/>
    <hyperlink ref="G55" location="'Calculation Worksheet'!F53" display="Cell F53" xr:uid="{45B094BF-3CBA-4F2A-9312-05E08446FC01}"/>
    <hyperlink ref="G58" location="'Calculation Worksheet'!F59" display="Cell F59" xr:uid="{AF9A5D72-EFCF-448B-B793-1D13815E9F6E}"/>
    <hyperlink ref="G60" location="'Calculation Worksheet'!F66" display="Cell F66" xr:uid="{6FCF80EF-4311-4DF8-8389-A3BE9DDDF743}"/>
    <hyperlink ref="G62" location="'Calculation Worksheet'!F73" display="Cell F73" xr:uid="{BAACBF52-D419-4EA7-AA9E-E2A102E3B45E}"/>
    <hyperlink ref="G64" location="'Calculation Worksheet'!F81" display="Cell F81" xr:uid="{BE512566-E35A-4254-9BE3-C505E95B1687}"/>
    <hyperlink ref="G66" location="'Calculation Worksheet'!F87" display="Cell F87" xr:uid="{FF7E1B9D-558A-41D4-8D73-074D1A72C45D}"/>
    <hyperlink ref="G68" location="'Calculation Worksheet'!E99" display="Cell E99" xr:uid="{FE510C37-2EC7-4869-85A0-F301F4353581}"/>
    <hyperlink ref="G13" location="'Calculation Worksheet'!C1" display="Cell C1" xr:uid="{8600F410-427C-4EBB-B266-90786766E552}"/>
    <hyperlink ref="G51" location="'Calculation Worksheet'!F49" display="Cell F49" xr:uid="{29C94A5F-0D66-4855-86B6-5FB0BD223E76}"/>
    <hyperlink ref="A81" r:id="rId1" xr:uid="{CAFA011D-9BE5-440A-874E-AC28BA0E6EE6}"/>
    <hyperlink ref="A81:B81" r:id="rId2" display="LINK FOR DATA SUBMISSION" xr:uid="{8A55F33D-D26D-4914-8B93-FDB3A5B2F1E7}"/>
  </hyperlinks>
  <pageMargins left="0.7" right="0.7" top="0.75" bottom="0.75" header="0.3" footer="0.3"/>
  <pageSetup scale="42"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61A3C-149E-4B7A-964E-DCD22D207017}">
  <dimension ref="A1:Z185"/>
  <sheetViews>
    <sheetView topLeftCell="A10" workbookViewId="0">
      <selection activeCell="F1" sqref="F1:F1048576"/>
    </sheetView>
  </sheetViews>
  <sheetFormatPr defaultRowHeight="12.5" x14ac:dyDescent="0.25"/>
  <cols>
    <col min="4" max="4" width="19.33203125" customWidth="1"/>
    <col min="5" max="5" width="21.75" customWidth="1"/>
    <col min="6" max="6" width="20.4140625" customWidth="1"/>
  </cols>
  <sheetData>
    <row r="1" spans="1:26" x14ac:dyDescent="0.25">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row>
    <row r="2" spans="1:26" x14ac:dyDescent="0.25">
      <c r="A2" t="s">
        <v>66</v>
      </c>
      <c r="B2" t="s">
        <v>67</v>
      </c>
      <c r="C2" t="s">
        <v>68</v>
      </c>
      <c r="D2" t="s">
        <v>69</v>
      </c>
      <c r="E2" t="s">
        <v>70</v>
      </c>
      <c r="F2" t="s">
        <v>71</v>
      </c>
      <c r="G2" t="s">
        <v>82</v>
      </c>
      <c r="H2" t="s">
        <v>88</v>
      </c>
      <c r="I2" t="s">
        <v>89</v>
      </c>
      <c r="J2" t="s">
        <v>72</v>
      </c>
      <c r="K2" t="s">
        <v>73</v>
      </c>
      <c r="L2" t="s">
        <v>74</v>
      </c>
      <c r="M2" t="s">
        <v>75</v>
      </c>
      <c r="N2" t="s">
        <v>76</v>
      </c>
      <c r="O2" t="s">
        <v>77</v>
      </c>
      <c r="P2" t="s">
        <v>78</v>
      </c>
      <c r="Q2" t="s">
        <v>31</v>
      </c>
      <c r="R2" t="s">
        <v>86</v>
      </c>
      <c r="S2" t="s">
        <v>83</v>
      </c>
      <c r="T2" t="s">
        <v>84</v>
      </c>
      <c r="U2" t="s">
        <v>757</v>
      </c>
      <c r="V2" t="s">
        <v>85</v>
      </c>
      <c r="W2" t="s">
        <v>87</v>
      </c>
      <c r="X2" t="s">
        <v>79</v>
      </c>
      <c r="Y2" t="s">
        <v>80</v>
      </c>
      <c r="Z2" t="s">
        <v>81</v>
      </c>
    </row>
    <row r="3" spans="1:26" x14ac:dyDescent="0.25">
      <c r="A3" t="s">
        <v>34</v>
      </c>
      <c r="B3" t="s">
        <v>90</v>
      </c>
      <c r="C3" t="s">
        <v>91</v>
      </c>
      <c r="D3">
        <v>988197850</v>
      </c>
      <c r="E3">
        <v>-21510350</v>
      </c>
      <c r="F3">
        <v>966687500</v>
      </c>
      <c r="G3">
        <v>440727.54</v>
      </c>
      <c r="H3">
        <v>27</v>
      </c>
      <c r="I3">
        <v>0</v>
      </c>
      <c r="J3">
        <v>27</v>
      </c>
      <c r="K3">
        <v>0</v>
      </c>
      <c r="L3">
        <v>0</v>
      </c>
      <c r="M3">
        <v>0.221</v>
      </c>
      <c r="N3">
        <v>0</v>
      </c>
      <c r="O3">
        <v>17.244</v>
      </c>
      <c r="P3">
        <v>0.45800000000000002</v>
      </c>
      <c r="Q3">
        <v>44.923000000000002</v>
      </c>
      <c r="R3">
        <v>12.968999999999999</v>
      </c>
      <c r="S3">
        <v>0</v>
      </c>
      <c r="T3">
        <v>0</v>
      </c>
      <c r="U3">
        <v>0</v>
      </c>
      <c r="V3">
        <v>0</v>
      </c>
      <c r="W3">
        <v>44.923000000000002</v>
      </c>
      <c r="X3">
        <v>67.775000000000006</v>
      </c>
      <c r="Y3">
        <v>66719849.18</v>
      </c>
      <c r="Z3">
        <v>39374325</v>
      </c>
    </row>
    <row r="4" spans="1:26" x14ac:dyDescent="0.25">
      <c r="A4" t="s">
        <v>92</v>
      </c>
      <c r="B4" t="s">
        <v>90</v>
      </c>
      <c r="C4" t="s">
        <v>93</v>
      </c>
      <c r="D4">
        <v>3748717500</v>
      </c>
      <c r="E4">
        <v>-343754673</v>
      </c>
      <c r="F4">
        <v>3404962827</v>
      </c>
      <c r="G4">
        <v>1852293.91</v>
      </c>
      <c r="H4">
        <v>27</v>
      </c>
      <c r="I4">
        <v>0</v>
      </c>
      <c r="J4">
        <v>27</v>
      </c>
      <c r="K4">
        <v>0</v>
      </c>
      <c r="L4">
        <v>0</v>
      </c>
      <c r="M4">
        <v>0</v>
      </c>
      <c r="N4">
        <v>0</v>
      </c>
      <c r="O4">
        <v>19.157</v>
      </c>
      <c r="P4">
        <v>0.54400000000000004</v>
      </c>
      <c r="Q4">
        <v>46.700999999999993</v>
      </c>
      <c r="R4">
        <v>21.664999999999999</v>
      </c>
      <c r="S4">
        <v>0</v>
      </c>
      <c r="T4">
        <v>0</v>
      </c>
      <c r="U4">
        <v>0</v>
      </c>
      <c r="V4">
        <v>0</v>
      </c>
      <c r="W4">
        <v>46.700999999999993</v>
      </c>
      <c r="X4">
        <v>116.538</v>
      </c>
      <c r="Y4">
        <v>401052117.13</v>
      </c>
      <c r="Z4">
        <v>303976090</v>
      </c>
    </row>
    <row r="5" spans="1:26" x14ac:dyDescent="0.25">
      <c r="A5" t="s">
        <v>94</v>
      </c>
      <c r="B5" t="s">
        <v>90</v>
      </c>
      <c r="C5" t="s">
        <v>95</v>
      </c>
      <c r="D5">
        <v>993241240</v>
      </c>
      <c r="E5">
        <v>-7607100</v>
      </c>
      <c r="F5">
        <v>985634140</v>
      </c>
      <c r="G5">
        <v>112570.92</v>
      </c>
      <c r="H5">
        <v>27</v>
      </c>
      <c r="I5">
        <v>0.312</v>
      </c>
      <c r="J5">
        <v>26.687999999999999</v>
      </c>
      <c r="K5">
        <v>0</v>
      </c>
      <c r="L5">
        <v>0</v>
      </c>
      <c r="M5">
        <v>0</v>
      </c>
      <c r="N5">
        <v>0</v>
      </c>
      <c r="O5">
        <v>4.9610000000000003</v>
      </c>
      <c r="P5">
        <v>0.114</v>
      </c>
      <c r="Q5">
        <v>31.763000000000002</v>
      </c>
      <c r="R5">
        <v>6.2489999999999997</v>
      </c>
      <c r="S5">
        <v>0</v>
      </c>
      <c r="T5">
        <v>0</v>
      </c>
      <c r="U5">
        <v>0</v>
      </c>
      <c r="V5">
        <v>0</v>
      </c>
      <c r="W5">
        <v>31.763000000000002</v>
      </c>
      <c r="X5">
        <v>68.614999999999995</v>
      </c>
      <c r="Y5">
        <v>69147674.489999995</v>
      </c>
      <c r="Z5">
        <v>41374851</v>
      </c>
    </row>
    <row r="6" spans="1:26" x14ac:dyDescent="0.25">
      <c r="A6" t="s">
        <v>96</v>
      </c>
      <c r="B6" t="s">
        <v>90</v>
      </c>
      <c r="C6" t="s">
        <v>97</v>
      </c>
      <c r="D6">
        <v>2635889820</v>
      </c>
      <c r="E6">
        <v>-202264889</v>
      </c>
      <c r="F6">
        <v>2433624931</v>
      </c>
      <c r="G6">
        <v>544164.4</v>
      </c>
      <c r="H6">
        <v>27</v>
      </c>
      <c r="I6">
        <v>0</v>
      </c>
      <c r="J6">
        <v>27</v>
      </c>
      <c r="K6">
        <v>0</v>
      </c>
      <c r="L6">
        <v>0</v>
      </c>
      <c r="M6">
        <v>0</v>
      </c>
      <c r="N6">
        <v>0</v>
      </c>
      <c r="O6">
        <v>7.0149999999999997</v>
      </c>
      <c r="P6">
        <v>0.20599999999999999</v>
      </c>
      <c r="Q6">
        <v>34.221000000000004</v>
      </c>
      <c r="R6">
        <v>22.068999999999999</v>
      </c>
      <c r="S6">
        <v>0</v>
      </c>
      <c r="T6">
        <v>0</v>
      </c>
      <c r="U6">
        <v>0</v>
      </c>
      <c r="V6">
        <v>0</v>
      </c>
      <c r="W6">
        <v>34.221000000000004</v>
      </c>
      <c r="X6">
        <v>56.29</v>
      </c>
      <c r="Y6">
        <v>204651311.71000001</v>
      </c>
      <c r="Z6">
        <v>137823118</v>
      </c>
    </row>
    <row r="7" spans="1:26" x14ac:dyDescent="0.25">
      <c r="A7" t="s">
        <v>98</v>
      </c>
      <c r="B7" t="s">
        <v>90</v>
      </c>
      <c r="C7" t="s">
        <v>99</v>
      </c>
      <c r="D7">
        <v>311374658</v>
      </c>
      <c r="E7">
        <v>0</v>
      </c>
      <c r="F7">
        <v>311374658</v>
      </c>
      <c r="G7">
        <v>2768.77</v>
      </c>
      <c r="H7">
        <v>25.265000000000001</v>
      </c>
      <c r="I7">
        <v>0.98</v>
      </c>
      <c r="J7">
        <v>24.285</v>
      </c>
      <c r="K7">
        <v>0</v>
      </c>
      <c r="L7">
        <v>0</v>
      </c>
      <c r="M7">
        <v>0</v>
      </c>
      <c r="N7">
        <v>0</v>
      </c>
      <c r="O7">
        <v>0</v>
      </c>
      <c r="P7">
        <v>3.5999999999999997E-2</v>
      </c>
      <c r="Q7">
        <v>24.321000000000002</v>
      </c>
      <c r="R7">
        <v>0</v>
      </c>
      <c r="S7">
        <v>0</v>
      </c>
      <c r="T7">
        <v>0</v>
      </c>
      <c r="U7">
        <v>0</v>
      </c>
      <c r="V7">
        <v>0</v>
      </c>
      <c r="W7">
        <v>24.321000000000002</v>
      </c>
      <c r="X7">
        <v>41.570999999999998</v>
      </c>
      <c r="Y7">
        <v>13453195.119999999</v>
      </c>
      <c r="Z7">
        <v>5403073</v>
      </c>
    </row>
    <row r="8" spans="1:26" x14ac:dyDescent="0.25">
      <c r="A8" t="s">
        <v>100</v>
      </c>
      <c r="B8" t="s">
        <v>90</v>
      </c>
      <c r="C8" t="s">
        <v>101</v>
      </c>
      <c r="D8">
        <v>117484268</v>
      </c>
      <c r="E8">
        <v>0</v>
      </c>
      <c r="F8">
        <v>117484268</v>
      </c>
      <c r="G8">
        <v>5531.62</v>
      </c>
      <c r="H8">
        <v>27</v>
      </c>
      <c r="I8">
        <v>0</v>
      </c>
      <c r="J8">
        <v>27</v>
      </c>
      <c r="K8">
        <v>0</v>
      </c>
      <c r="L8">
        <v>0</v>
      </c>
      <c r="M8">
        <v>0</v>
      </c>
      <c r="N8">
        <v>0</v>
      </c>
      <c r="O8">
        <v>2.5529999999999999</v>
      </c>
      <c r="P8">
        <v>4.7E-2</v>
      </c>
      <c r="Q8">
        <v>29.6</v>
      </c>
      <c r="R8">
        <v>14.536</v>
      </c>
      <c r="S8">
        <v>0</v>
      </c>
      <c r="T8">
        <v>0</v>
      </c>
      <c r="U8">
        <v>0</v>
      </c>
      <c r="V8">
        <v>0</v>
      </c>
      <c r="W8">
        <v>29.6</v>
      </c>
      <c r="X8">
        <v>98.168000000000006</v>
      </c>
      <c r="Y8">
        <v>11696242</v>
      </c>
      <c r="Z8">
        <v>8360962</v>
      </c>
    </row>
    <row r="9" spans="1:26" x14ac:dyDescent="0.25">
      <c r="A9" t="s">
        <v>102</v>
      </c>
      <c r="B9" t="s">
        <v>90</v>
      </c>
      <c r="C9" t="s">
        <v>103</v>
      </c>
      <c r="D9">
        <v>924210570</v>
      </c>
      <c r="E9">
        <v>-2145680</v>
      </c>
      <c r="F9">
        <v>922064890</v>
      </c>
      <c r="G9">
        <v>296344.03000000003</v>
      </c>
      <c r="H9">
        <v>27</v>
      </c>
      <c r="I9">
        <v>0</v>
      </c>
      <c r="J9">
        <v>27</v>
      </c>
      <c r="K9">
        <v>0</v>
      </c>
      <c r="L9">
        <v>0</v>
      </c>
      <c r="M9">
        <v>0.56200000000000006</v>
      </c>
      <c r="N9">
        <v>0</v>
      </c>
      <c r="O9">
        <v>27.855</v>
      </c>
      <c r="P9">
        <v>0.317</v>
      </c>
      <c r="Q9">
        <v>55.734000000000002</v>
      </c>
      <c r="R9">
        <v>9.0429999999999993</v>
      </c>
      <c r="S9">
        <v>0</v>
      </c>
      <c r="T9">
        <v>0</v>
      </c>
      <c r="U9">
        <v>0</v>
      </c>
      <c r="V9">
        <v>0</v>
      </c>
      <c r="W9">
        <v>55.734000000000002</v>
      </c>
      <c r="X9">
        <v>103.68600000000001</v>
      </c>
      <c r="Y9">
        <v>97581917.879999995</v>
      </c>
      <c r="Z9">
        <v>70931604</v>
      </c>
    </row>
    <row r="10" spans="1:26" x14ac:dyDescent="0.25">
      <c r="A10" t="s">
        <v>104</v>
      </c>
      <c r="B10" t="s">
        <v>105</v>
      </c>
      <c r="C10" t="s">
        <v>105</v>
      </c>
      <c r="D10">
        <v>157290313</v>
      </c>
      <c r="E10">
        <v>0</v>
      </c>
      <c r="F10">
        <v>157290313</v>
      </c>
      <c r="G10">
        <v>44102</v>
      </c>
      <c r="H10">
        <v>27</v>
      </c>
      <c r="I10">
        <v>0</v>
      </c>
      <c r="J10">
        <v>27</v>
      </c>
      <c r="K10">
        <v>0</v>
      </c>
      <c r="L10">
        <v>0</v>
      </c>
      <c r="M10">
        <v>0</v>
      </c>
      <c r="N10">
        <v>0</v>
      </c>
      <c r="O10">
        <v>0</v>
      </c>
      <c r="P10">
        <v>0</v>
      </c>
      <c r="Q10">
        <v>27</v>
      </c>
      <c r="R10">
        <v>10.552</v>
      </c>
      <c r="S10">
        <v>0</v>
      </c>
      <c r="T10">
        <v>0</v>
      </c>
      <c r="U10">
        <v>0</v>
      </c>
      <c r="V10">
        <v>0</v>
      </c>
      <c r="W10">
        <v>27</v>
      </c>
      <c r="X10">
        <v>138.161</v>
      </c>
      <c r="Y10">
        <v>22222616.920000002</v>
      </c>
      <c r="Z10">
        <v>17484801</v>
      </c>
    </row>
    <row r="11" spans="1:26" x14ac:dyDescent="0.25">
      <c r="A11" t="s">
        <v>106</v>
      </c>
      <c r="B11" t="s">
        <v>105</v>
      </c>
      <c r="C11" t="s">
        <v>107</v>
      </c>
      <c r="D11">
        <v>45391101</v>
      </c>
      <c r="E11">
        <v>0</v>
      </c>
      <c r="F11">
        <v>45391101</v>
      </c>
      <c r="G11">
        <v>4.45</v>
      </c>
      <c r="H11">
        <v>27</v>
      </c>
      <c r="I11">
        <v>0</v>
      </c>
      <c r="J11">
        <v>27</v>
      </c>
      <c r="K11">
        <v>0</v>
      </c>
      <c r="L11">
        <v>0</v>
      </c>
      <c r="M11">
        <v>0</v>
      </c>
      <c r="N11">
        <v>0</v>
      </c>
      <c r="O11">
        <v>0</v>
      </c>
      <c r="P11">
        <v>0</v>
      </c>
      <c r="Q11">
        <v>27</v>
      </c>
      <c r="R11">
        <v>7.0140000000000002</v>
      </c>
      <c r="S11">
        <v>0</v>
      </c>
      <c r="T11">
        <v>0</v>
      </c>
      <c r="U11">
        <v>0</v>
      </c>
      <c r="V11">
        <v>0</v>
      </c>
      <c r="W11">
        <v>27</v>
      </c>
      <c r="X11">
        <v>76.399000000000001</v>
      </c>
      <c r="Y11">
        <v>3597400.33</v>
      </c>
      <c r="Z11">
        <v>2238885</v>
      </c>
    </row>
    <row r="12" spans="1:26" x14ac:dyDescent="0.25">
      <c r="A12" t="s">
        <v>108</v>
      </c>
      <c r="B12" t="s">
        <v>109</v>
      </c>
      <c r="C12" t="s">
        <v>110</v>
      </c>
      <c r="D12">
        <v>724799393</v>
      </c>
      <c r="E12">
        <v>-14383934</v>
      </c>
      <c r="F12">
        <v>710415459</v>
      </c>
      <c r="G12">
        <v>272628.63</v>
      </c>
      <c r="H12">
        <v>27</v>
      </c>
      <c r="I12">
        <v>3.105</v>
      </c>
      <c r="J12">
        <v>23.895</v>
      </c>
      <c r="K12">
        <v>0</v>
      </c>
      <c r="L12">
        <v>0</v>
      </c>
      <c r="M12">
        <v>0</v>
      </c>
      <c r="N12">
        <v>0</v>
      </c>
      <c r="O12">
        <v>8.6649999999999991</v>
      </c>
      <c r="P12">
        <v>0.38400000000000001</v>
      </c>
      <c r="Q12">
        <v>32.944000000000003</v>
      </c>
      <c r="R12">
        <v>16.131</v>
      </c>
      <c r="S12">
        <v>0</v>
      </c>
      <c r="T12">
        <v>0</v>
      </c>
      <c r="U12">
        <v>0</v>
      </c>
      <c r="V12">
        <v>0</v>
      </c>
      <c r="W12">
        <v>32.944000000000003</v>
      </c>
      <c r="X12">
        <v>33.036000000000001</v>
      </c>
      <c r="Y12">
        <v>24506954.100000001</v>
      </c>
      <c r="Z12">
        <v>6489647</v>
      </c>
    </row>
    <row r="13" spans="1:26" x14ac:dyDescent="0.25">
      <c r="A13" t="s">
        <v>111</v>
      </c>
      <c r="B13" t="s">
        <v>109</v>
      </c>
      <c r="C13" t="s">
        <v>112</v>
      </c>
      <c r="D13">
        <v>302572080</v>
      </c>
      <c r="E13">
        <v>-36236260</v>
      </c>
      <c r="F13">
        <v>266335820</v>
      </c>
      <c r="G13">
        <v>152498.75</v>
      </c>
      <c r="H13">
        <v>27</v>
      </c>
      <c r="I13">
        <v>4.0529999999999999</v>
      </c>
      <c r="J13">
        <v>22.946999999999999</v>
      </c>
      <c r="K13">
        <v>0</v>
      </c>
      <c r="L13">
        <v>0</v>
      </c>
      <c r="M13">
        <v>0</v>
      </c>
      <c r="N13">
        <v>0</v>
      </c>
      <c r="O13">
        <v>14.352</v>
      </c>
      <c r="P13">
        <v>0.57299999999999995</v>
      </c>
      <c r="Q13">
        <v>37.872</v>
      </c>
      <c r="R13">
        <v>5.609</v>
      </c>
      <c r="S13">
        <v>0</v>
      </c>
      <c r="T13">
        <v>0</v>
      </c>
      <c r="U13">
        <v>0</v>
      </c>
      <c r="V13">
        <v>0</v>
      </c>
      <c r="W13">
        <v>37.872</v>
      </c>
      <c r="X13">
        <v>50.747</v>
      </c>
      <c r="Y13">
        <v>13949492.859999999</v>
      </c>
      <c r="Z13">
        <v>7406516</v>
      </c>
    </row>
    <row r="14" spans="1:26" x14ac:dyDescent="0.25">
      <c r="A14" t="s">
        <v>113</v>
      </c>
      <c r="B14" t="s">
        <v>109</v>
      </c>
      <c r="C14" t="s">
        <v>114</v>
      </c>
      <c r="D14">
        <v>7528309112</v>
      </c>
      <c r="E14">
        <v>-57335318</v>
      </c>
      <c r="F14">
        <v>7470973794</v>
      </c>
      <c r="G14">
        <v>2511983.17</v>
      </c>
      <c r="H14">
        <v>18.756</v>
      </c>
      <c r="I14">
        <v>0</v>
      </c>
      <c r="J14">
        <v>18.756</v>
      </c>
      <c r="K14">
        <v>0</v>
      </c>
      <c r="L14">
        <v>0</v>
      </c>
      <c r="M14">
        <v>0.86399999999999999</v>
      </c>
      <c r="N14">
        <v>5.1999999999999998E-2</v>
      </c>
      <c r="O14">
        <v>16.806999999999999</v>
      </c>
      <c r="P14">
        <v>0.33600000000000002</v>
      </c>
      <c r="Q14">
        <v>36.814999999999998</v>
      </c>
      <c r="R14">
        <v>7.7759999999999998</v>
      </c>
      <c r="S14">
        <v>0</v>
      </c>
      <c r="T14">
        <v>0</v>
      </c>
      <c r="U14">
        <v>5.2720000000000002</v>
      </c>
      <c r="V14">
        <v>0</v>
      </c>
      <c r="W14">
        <v>42.086999999999996</v>
      </c>
      <c r="X14">
        <v>69.078999999999994</v>
      </c>
      <c r="Y14">
        <v>525649516</v>
      </c>
      <c r="Z14">
        <v>375792614</v>
      </c>
    </row>
    <row r="15" spans="1:26" x14ac:dyDescent="0.25">
      <c r="A15" t="s">
        <v>115</v>
      </c>
      <c r="B15" t="s">
        <v>109</v>
      </c>
      <c r="C15" t="s">
        <v>116</v>
      </c>
      <c r="D15">
        <v>2079912120</v>
      </c>
      <c r="E15">
        <v>-32495474</v>
      </c>
      <c r="F15">
        <v>2047416646</v>
      </c>
      <c r="G15">
        <v>447659.92</v>
      </c>
      <c r="H15">
        <v>27</v>
      </c>
      <c r="I15">
        <v>0</v>
      </c>
      <c r="J15">
        <v>27</v>
      </c>
      <c r="K15">
        <v>0</v>
      </c>
      <c r="L15">
        <v>0</v>
      </c>
      <c r="M15">
        <v>1.131</v>
      </c>
      <c r="N15">
        <v>0</v>
      </c>
      <c r="O15">
        <v>12.942</v>
      </c>
      <c r="P15">
        <v>0.219</v>
      </c>
      <c r="Q15">
        <v>41.292000000000002</v>
      </c>
      <c r="R15">
        <v>17.768999999999998</v>
      </c>
      <c r="S15">
        <v>0</v>
      </c>
      <c r="T15">
        <v>8</v>
      </c>
      <c r="U15">
        <v>0</v>
      </c>
      <c r="V15">
        <v>0</v>
      </c>
      <c r="W15">
        <v>49.292000000000002</v>
      </c>
      <c r="X15">
        <v>67.061000000000007</v>
      </c>
      <c r="Y15">
        <v>132061724.56</v>
      </c>
      <c r="Z15">
        <v>72526340</v>
      </c>
    </row>
    <row r="16" spans="1:26" x14ac:dyDescent="0.25">
      <c r="A16" t="s">
        <v>117</v>
      </c>
      <c r="B16" t="s">
        <v>109</v>
      </c>
      <c r="C16" t="s">
        <v>118</v>
      </c>
      <c r="D16">
        <v>53331043</v>
      </c>
      <c r="E16">
        <v>0</v>
      </c>
      <c r="F16">
        <v>53331043</v>
      </c>
      <c r="G16">
        <v>4327.3500000000004</v>
      </c>
      <c r="H16">
        <v>27</v>
      </c>
      <c r="I16">
        <v>0</v>
      </c>
      <c r="J16">
        <v>27</v>
      </c>
      <c r="K16">
        <v>0</v>
      </c>
      <c r="L16">
        <v>0</v>
      </c>
      <c r="M16">
        <v>0</v>
      </c>
      <c r="N16">
        <v>0</v>
      </c>
      <c r="O16">
        <v>0</v>
      </c>
      <c r="P16">
        <v>0</v>
      </c>
      <c r="Q16">
        <v>27</v>
      </c>
      <c r="R16">
        <v>9.7590000000000003</v>
      </c>
      <c r="S16">
        <v>0</v>
      </c>
      <c r="T16">
        <v>0</v>
      </c>
      <c r="U16">
        <v>0</v>
      </c>
      <c r="V16">
        <v>0</v>
      </c>
      <c r="W16">
        <v>27</v>
      </c>
      <c r="X16">
        <v>76.081000000000003</v>
      </c>
      <c r="Y16">
        <v>4148906.53</v>
      </c>
      <c r="Z16">
        <v>2617151</v>
      </c>
    </row>
    <row r="17" spans="1:26" x14ac:dyDescent="0.25">
      <c r="A17" t="s">
        <v>119</v>
      </c>
      <c r="B17" t="s">
        <v>109</v>
      </c>
      <c r="C17" t="s">
        <v>120</v>
      </c>
      <c r="D17">
        <v>4044346421</v>
      </c>
      <c r="E17">
        <v>-122911937</v>
      </c>
      <c r="F17">
        <v>3921434484</v>
      </c>
      <c r="G17">
        <v>2675539.11</v>
      </c>
      <c r="H17">
        <v>27</v>
      </c>
      <c r="I17">
        <v>0</v>
      </c>
      <c r="J17">
        <v>27</v>
      </c>
      <c r="K17">
        <v>0</v>
      </c>
      <c r="L17">
        <v>0</v>
      </c>
      <c r="M17">
        <v>0</v>
      </c>
      <c r="N17">
        <v>0</v>
      </c>
      <c r="O17">
        <v>27.164000000000001</v>
      </c>
      <c r="P17">
        <v>0.68200000000000005</v>
      </c>
      <c r="Q17">
        <v>54.846000000000004</v>
      </c>
      <c r="R17">
        <v>23</v>
      </c>
      <c r="S17">
        <v>0</v>
      </c>
      <c r="T17">
        <v>0</v>
      </c>
      <c r="U17">
        <v>0</v>
      </c>
      <c r="V17">
        <v>0</v>
      </c>
      <c r="W17">
        <v>54.846000000000004</v>
      </c>
      <c r="X17">
        <v>103.455</v>
      </c>
      <c r="Y17">
        <v>411488843.22000003</v>
      </c>
      <c r="Z17">
        <v>299747840</v>
      </c>
    </row>
    <row r="18" spans="1:26" x14ac:dyDescent="0.25">
      <c r="A18" t="s">
        <v>121</v>
      </c>
      <c r="B18" t="s">
        <v>109</v>
      </c>
      <c r="C18" t="s">
        <v>122</v>
      </c>
      <c r="D18">
        <v>64287681</v>
      </c>
      <c r="E18">
        <v>0</v>
      </c>
      <c r="F18">
        <v>64287681</v>
      </c>
      <c r="G18">
        <v>5437.51</v>
      </c>
      <c r="H18">
        <v>27</v>
      </c>
      <c r="I18">
        <v>1.091</v>
      </c>
      <c r="J18">
        <v>25.908999999999999</v>
      </c>
      <c r="K18">
        <v>0</v>
      </c>
      <c r="L18">
        <v>0</v>
      </c>
      <c r="M18">
        <v>0</v>
      </c>
      <c r="N18">
        <v>0</v>
      </c>
      <c r="O18">
        <v>3.734</v>
      </c>
      <c r="P18">
        <v>8.5000000000000006E-2</v>
      </c>
      <c r="Q18">
        <v>29.728000000000002</v>
      </c>
      <c r="R18">
        <v>0</v>
      </c>
      <c r="S18">
        <v>0</v>
      </c>
      <c r="T18">
        <v>0</v>
      </c>
      <c r="U18">
        <v>0</v>
      </c>
      <c r="V18">
        <v>0</v>
      </c>
      <c r="W18">
        <v>29.728000000000002</v>
      </c>
      <c r="X18">
        <v>716.10299999999995</v>
      </c>
      <c r="Y18">
        <v>46180103.68</v>
      </c>
      <c r="Z18">
        <v>44371041</v>
      </c>
    </row>
    <row r="19" spans="1:26" x14ac:dyDescent="0.25">
      <c r="A19" t="s">
        <v>123</v>
      </c>
      <c r="B19" t="s">
        <v>124</v>
      </c>
      <c r="C19" t="s">
        <v>124</v>
      </c>
      <c r="D19">
        <v>373811948</v>
      </c>
      <c r="E19">
        <v>0</v>
      </c>
      <c r="F19">
        <v>373811948</v>
      </c>
      <c r="G19">
        <v>34238.129999999997</v>
      </c>
      <c r="H19">
        <v>27</v>
      </c>
      <c r="I19">
        <v>3.9860000000000002</v>
      </c>
      <c r="J19">
        <v>23.013999999999999</v>
      </c>
      <c r="K19">
        <v>0</v>
      </c>
      <c r="L19">
        <v>0</v>
      </c>
      <c r="M19">
        <v>0</v>
      </c>
      <c r="N19">
        <v>0</v>
      </c>
      <c r="O19">
        <v>3.972</v>
      </c>
      <c r="P19">
        <v>9.1999999999999998E-2</v>
      </c>
      <c r="Q19">
        <v>27.077999999999999</v>
      </c>
      <c r="R19">
        <v>0</v>
      </c>
      <c r="S19">
        <v>0</v>
      </c>
      <c r="T19">
        <v>0</v>
      </c>
      <c r="U19">
        <v>0</v>
      </c>
      <c r="V19">
        <v>0</v>
      </c>
      <c r="W19">
        <v>27.077999999999999</v>
      </c>
      <c r="X19">
        <v>43.533999999999999</v>
      </c>
      <c r="Y19">
        <v>17107070.829999998</v>
      </c>
      <c r="Z19">
        <v>7677949</v>
      </c>
    </row>
    <row r="20" spans="1:26" x14ac:dyDescent="0.25">
      <c r="A20" t="s">
        <v>125</v>
      </c>
      <c r="B20" t="s">
        <v>126</v>
      </c>
      <c r="C20" t="s">
        <v>127</v>
      </c>
      <c r="D20">
        <v>29335716</v>
      </c>
      <c r="E20">
        <v>0</v>
      </c>
      <c r="F20">
        <v>29335716</v>
      </c>
      <c r="G20">
        <v>6</v>
      </c>
      <c r="H20">
        <v>27</v>
      </c>
      <c r="I20">
        <v>5.6989999999999998</v>
      </c>
      <c r="J20">
        <v>21.300999999999998</v>
      </c>
      <c r="K20">
        <v>0</v>
      </c>
      <c r="L20">
        <v>0</v>
      </c>
      <c r="M20">
        <v>0</v>
      </c>
      <c r="N20">
        <v>0</v>
      </c>
      <c r="O20">
        <v>6.0970000000000004</v>
      </c>
      <c r="P20">
        <v>0</v>
      </c>
      <c r="Q20">
        <v>27.398</v>
      </c>
      <c r="R20">
        <v>13.976000000000001</v>
      </c>
      <c r="S20">
        <v>0</v>
      </c>
      <c r="T20">
        <v>0</v>
      </c>
      <c r="U20">
        <v>0</v>
      </c>
      <c r="V20">
        <v>0</v>
      </c>
      <c r="W20">
        <v>27.398</v>
      </c>
      <c r="X20">
        <v>87.14</v>
      </c>
      <c r="Y20">
        <v>2617504.7400000002</v>
      </c>
      <c r="Z20">
        <v>1931280</v>
      </c>
    </row>
    <row r="21" spans="1:26" x14ac:dyDescent="0.25">
      <c r="A21" t="s">
        <v>128</v>
      </c>
      <c r="B21" t="s">
        <v>126</v>
      </c>
      <c r="C21" t="s">
        <v>129</v>
      </c>
      <c r="D21">
        <v>29603829</v>
      </c>
      <c r="E21">
        <v>0</v>
      </c>
      <c r="F21">
        <v>29603829</v>
      </c>
      <c r="G21">
        <v>10</v>
      </c>
      <c r="H21">
        <v>26.992000000000001</v>
      </c>
      <c r="I21">
        <v>6.1909999999999998</v>
      </c>
      <c r="J21">
        <v>20.800999999999998</v>
      </c>
      <c r="K21">
        <v>0</v>
      </c>
      <c r="L21">
        <v>0</v>
      </c>
      <c r="M21">
        <v>0</v>
      </c>
      <c r="N21">
        <v>0</v>
      </c>
      <c r="O21">
        <v>3.3780000000000001</v>
      </c>
      <c r="P21">
        <v>0</v>
      </c>
      <c r="Q21">
        <v>24.178999999999998</v>
      </c>
      <c r="R21">
        <v>0</v>
      </c>
      <c r="S21">
        <v>0</v>
      </c>
      <c r="T21">
        <v>0</v>
      </c>
      <c r="U21">
        <v>0</v>
      </c>
      <c r="V21">
        <v>0</v>
      </c>
      <c r="W21">
        <v>24.178999999999998</v>
      </c>
      <c r="X21">
        <v>40.923999999999999</v>
      </c>
      <c r="Y21">
        <v>1250283.8700000001</v>
      </c>
      <c r="Z21">
        <v>595687</v>
      </c>
    </row>
    <row r="22" spans="1:26" x14ac:dyDescent="0.25">
      <c r="A22" t="s">
        <v>130</v>
      </c>
      <c r="B22" t="s">
        <v>126</v>
      </c>
      <c r="C22" t="s">
        <v>131</v>
      </c>
      <c r="D22">
        <v>33970346</v>
      </c>
      <c r="E22">
        <v>0</v>
      </c>
      <c r="F22">
        <v>33970346</v>
      </c>
      <c r="G22">
        <v>0</v>
      </c>
      <c r="H22">
        <v>27</v>
      </c>
      <c r="I22">
        <v>0</v>
      </c>
      <c r="J22">
        <v>27</v>
      </c>
      <c r="K22">
        <v>0</v>
      </c>
      <c r="L22">
        <v>0</v>
      </c>
      <c r="M22">
        <v>0</v>
      </c>
      <c r="N22">
        <v>0</v>
      </c>
      <c r="O22">
        <v>0</v>
      </c>
      <c r="P22">
        <v>0</v>
      </c>
      <c r="Q22">
        <v>27</v>
      </c>
      <c r="R22">
        <v>13.837</v>
      </c>
      <c r="S22">
        <v>0</v>
      </c>
      <c r="T22">
        <v>0</v>
      </c>
      <c r="U22">
        <v>0</v>
      </c>
      <c r="V22">
        <v>0</v>
      </c>
      <c r="W22">
        <v>27</v>
      </c>
      <c r="X22">
        <v>102.235</v>
      </c>
      <c r="Y22">
        <v>3590952.05</v>
      </c>
      <c r="Z22">
        <v>2555554</v>
      </c>
    </row>
    <row r="23" spans="1:26" x14ac:dyDescent="0.25">
      <c r="A23" t="s">
        <v>132</v>
      </c>
      <c r="B23" t="s">
        <v>126</v>
      </c>
      <c r="C23" t="s">
        <v>133</v>
      </c>
      <c r="D23">
        <v>7203151</v>
      </c>
      <c r="E23">
        <v>0</v>
      </c>
      <c r="F23">
        <v>7203151</v>
      </c>
      <c r="G23">
        <v>52</v>
      </c>
      <c r="H23">
        <v>27</v>
      </c>
      <c r="I23">
        <v>0</v>
      </c>
      <c r="J23">
        <v>27</v>
      </c>
      <c r="K23">
        <v>0</v>
      </c>
      <c r="L23">
        <v>0</v>
      </c>
      <c r="M23">
        <v>0</v>
      </c>
      <c r="N23">
        <v>0</v>
      </c>
      <c r="O23">
        <v>0</v>
      </c>
      <c r="P23">
        <v>0</v>
      </c>
      <c r="Q23">
        <v>27</v>
      </c>
      <c r="R23">
        <v>0</v>
      </c>
      <c r="S23">
        <v>0</v>
      </c>
      <c r="T23">
        <v>0</v>
      </c>
      <c r="U23">
        <v>0</v>
      </c>
      <c r="V23">
        <v>0</v>
      </c>
      <c r="W23">
        <v>27</v>
      </c>
      <c r="X23">
        <v>359.71600000000001</v>
      </c>
      <c r="Y23">
        <v>2612680.69</v>
      </c>
      <c r="Z23">
        <v>2396372</v>
      </c>
    </row>
    <row r="24" spans="1:26" x14ac:dyDescent="0.25">
      <c r="A24" t="s">
        <v>134</v>
      </c>
      <c r="B24" t="s">
        <v>126</v>
      </c>
      <c r="C24" t="s">
        <v>135</v>
      </c>
      <c r="D24">
        <v>18451054</v>
      </c>
      <c r="E24">
        <v>0</v>
      </c>
      <c r="F24">
        <v>18451054</v>
      </c>
      <c r="G24">
        <v>0</v>
      </c>
      <c r="H24">
        <v>18.3</v>
      </c>
      <c r="I24">
        <v>5.5439999999999996</v>
      </c>
      <c r="J24">
        <v>12.756</v>
      </c>
      <c r="K24">
        <v>0</v>
      </c>
      <c r="L24">
        <v>0</v>
      </c>
      <c r="M24">
        <v>0</v>
      </c>
      <c r="N24">
        <v>0</v>
      </c>
      <c r="O24">
        <v>8.1300000000000008</v>
      </c>
      <c r="P24">
        <v>0</v>
      </c>
      <c r="Q24">
        <v>20.886000000000003</v>
      </c>
      <c r="R24">
        <v>0</v>
      </c>
      <c r="S24">
        <v>0</v>
      </c>
      <c r="T24">
        <v>0</v>
      </c>
      <c r="U24">
        <v>0</v>
      </c>
      <c r="V24">
        <v>0</v>
      </c>
      <c r="W24">
        <v>20.886000000000003</v>
      </c>
      <c r="X24">
        <v>52.936</v>
      </c>
      <c r="Y24">
        <v>997745.07</v>
      </c>
      <c r="Z24">
        <v>741315</v>
      </c>
    </row>
    <row r="25" spans="1:26" x14ac:dyDescent="0.25">
      <c r="A25" t="s">
        <v>136</v>
      </c>
      <c r="B25" t="s">
        <v>137</v>
      </c>
      <c r="C25" t="s">
        <v>138</v>
      </c>
      <c r="D25">
        <v>73819470</v>
      </c>
      <c r="E25">
        <v>0</v>
      </c>
      <c r="F25">
        <v>73819470</v>
      </c>
      <c r="G25">
        <v>2262.25</v>
      </c>
      <c r="H25">
        <v>27</v>
      </c>
      <c r="I25">
        <v>5.5019999999999998</v>
      </c>
      <c r="J25">
        <v>21.498000000000001</v>
      </c>
      <c r="K25">
        <v>0</v>
      </c>
      <c r="L25">
        <v>0</v>
      </c>
      <c r="M25">
        <v>0</v>
      </c>
      <c r="N25">
        <v>0</v>
      </c>
      <c r="O25">
        <v>0</v>
      </c>
      <c r="P25">
        <v>0</v>
      </c>
      <c r="Q25">
        <v>21.498000000000001</v>
      </c>
      <c r="R25">
        <v>0</v>
      </c>
      <c r="S25">
        <v>0</v>
      </c>
      <c r="T25">
        <v>0</v>
      </c>
      <c r="U25">
        <v>0</v>
      </c>
      <c r="V25">
        <v>0</v>
      </c>
      <c r="W25">
        <v>21.498000000000001</v>
      </c>
      <c r="X25">
        <v>109.122</v>
      </c>
      <c r="Y25">
        <v>8173158.6299999999</v>
      </c>
      <c r="Z25">
        <v>6468175</v>
      </c>
    </row>
    <row r="26" spans="1:26" x14ac:dyDescent="0.25">
      <c r="A26" t="s">
        <v>139</v>
      </c>
      <c r="B26" t="s">
        <v>137</v>
      </c>
      <c r="C26" t="s">
        <v>140</v>
      </c>
      <c r="D26">
        <v>26572970</v>
      </c>
      <c r="E26">
        <v>0</v>
      </c>
      <c r="F26">
        <v>26572970</v>
      </c>
      <c r="G26">
        <v>28353.33</v>
      </c>
      <c r="H26">
        <v>23.59</v>
      </c>
      <c r="I26">
        <v>2.6749999999999998</v>
      </c>
      <c r="J26">
        <v>20.914999999999999</v>
      </c>
      <c r="K26">
        <v>0</v>
      </c>
      <c r="L26">
        <v>0</v>
      </c>
      <c r="M26">
        <v>4.665</v>
      </c>
      <c r="N26">
        <v>0</v>
      </c>
      <c r="O26">
        <v>0</v>
      </c>
      <c r="P26">
        <v>0</v>
      </c>
      <c r="Q26">
        <v>25.58</v>
      </c>
      <c r="R26">
        <v>0</v>
      </c>
      <c r="S26">
        <v>0</v>
      </c>
      <c r="T26">
        <v>0</v>
      </c>
      <c r="U26">
        <v>0</v>
      </c>
      <c r="V26">
        <v>0</v>
      </c>
      <c r="W26">
        <v>25.58</v>
      </c>
      <c r="X26">
        <v>119.021</v>
      </c>
      <c r="Y26">
        <v>3261696.01</v>
      </c>
      <c r="Z26">
        <v>2645242</v>
      </c>
    </row>
    <row r="27" spans="1:26" x14ac:dyDescent="0.25">
      <c r="A27" t="s">
        <v>141</v>
      </c>
      <c r="B27" t="s">
        <v>142</v>
      </c>
      <c r="C27" t="s">
        <v>143</v>
      </c>
      <c r="D27">
        <v>5428112998</v>
      </c>
      <c r="E27">
        <v>-470302110</v>
      </c>
      <c r="F27">
        <v>4957810888</v>
      </c>
      <c r="G27">
        <v>1359370.85</v>
      </c>
      <c r="H27">
        <v>27</v>
      </c>
      <c r="I27">
        <v>5.0000000000000001E-3</v>
      </c>
      <c r="J27">
        <v>26.995000000000001</v>
      </c>
      <c r="K27">
        <v>0</v>
      </c>
      <c r="L27">
        <v>0</v>
      </c>
      <c r="M27">
        <v>0</v>
      </c>
      <c r="N27">
        <v>0</v>
      </c>
      <c r="O27">
        <v>13.59</v>
      </c>
      <c r="P27">
        <v>0.25</v>
      </c>
      <c r="Q27">
        <v>40.835000000000001</v>
      </c>
      <c r="R27">
        <v>17.55</v>
      </c>
      <c r="S27">
        <v>0</v>
      </c>
      <c r="T27">
        <v>0</v>
      </c>
      <c r="U27">
        <v>0</v>
      </c>
      <c r="V27">
        <v>0</v>
      </c>
      <c r="W27">
        <v>40.835000000000001</v>
      </c>
      <c r="X27">
        <v>60.265999999999998</v>
      </c>
      <c r="Y27">
        <v>304443239.94999999</v>
      </c>
      <c r="Z27">
        <v>153800340</v>
      </c>
    </row>
    <row r="28" spans="1:26" x14ac:dyDescent="0.25">
      <c r="A28" t="s">
        <v>144</v>
      </c>
      <c r="B28" t="s">
        <v>142</v>
      </c>
      <c r="C28" t="s">
        <v>142</v>
      </c>
      <c r="D28">
        <v>7896751257</v>
      </c>
      <c r="E28">
        <v>-104322672</v>
      </c>
      <c r="F28">
        <v>7792428585</v>
      </c>
      <c r="G28">
        <v>1385359.49</v>
      </c>
      <c r="H28">
        <v>27</v>
      </c>
      <c r="I28">
        <v>0</v>
      </c>
      <c r="J28">
        <v>27</v>
      </c>
      <c r="K28">
        <v>0</v>
      </c>
      <c r="L28">
        <v>0</v>
      </c>
      <c r="M28">
        <v>0</v>
      </c>
      <c r="N28">
        <v>0</v>
      </c>
      <c r="O28">
        <v>9.8049999999999997</v>
      </c>
      <c r="P28">
        <v>0.17799999999999999</v>
      </c>
      <c r="Q28">
        <v>36.982999999999997</v>
      </c>
      <c r="R28">
        <v>9.15</v>
      </c>
      <c r="S28">
        <v>0.93700000000000006</v>
      </c>
      <c r="T28">
        <v>0</v>
      </c>
      <c r="U28">
        <v>4</v>
      </c>
      <c r="V28">
        <v>0</v>
      </c>
      <c r="W28">
        <v>41.919999999999995</v>
      </c>
      <c r="X28">
        <v>34.835000000000001</v>
      </c>
      <c r="Y28">
        <v>283463415.39999998</v>
      </c>
      <c r="Z28">
        <v>61083444</v>
      </c>
    </row>
    <row r="29" spans="1:26" x14ac:dyDescent="0.25">
      <c r="A29" t="s">
        <v>145</v>
      </c>
      <c r="B29" t="s">
        <v>146</v>
      </c>
      <c r="C29" t="s">
        <v>147</v>
      </c>
      <c r="D29">
        <v>285376860</v>
      </c>
      <c r="E29">
        <v>0</v>
      </c>
      <c r="F29">
        <v>285376860</v>
      </c>
      <c r="G29">
        <v>10783.21</v>
      </c>
      <c r="H29">
        <v>23.149000000000001</v>
      </c>
      <c r="I29">
        <v>5.1669999999999998</v>
      </c>
      <c r="J29">
        <v>17.981999999999999</v>
      </c>
      <c r="K29">
        <v>0</v>
      </c>
      <c r="L29">
        <v>0</v>
      </c>
      <c r="M29">
        <v>0</v>
      </c>
      <c r="N29">
        <v>0</v>
      </c>
      <c r="O29">
        <v>9.31</v>
      </c>
      <c r="P29">
        <v>3.7999999999999999E-2</v>
      </c>
      <c r="Q29">
        <v>27.330000000000002</v>
      </c>
      <c r="R29">
        <v>8.6210000000000004</v>
      </c>
      <c r="S29">
        <v>0</v>
      </c>
      <c r="T29">
        <v>0</v>
      </c>
      <c r="U29">
        <v>0</v>
      </c>
      <c r="V29">
        <v>0</v>
      </c>
      <c r="W29">
        <v>27.330000000000002</v>
      </c>
      <c r="X29">
        <v>34.262</v>
      </c>
      <c r="Y29">
        <v>10241530.539999999</v>
      </c>
      <c r="Z29">
        <v>4635644</v>
      </c>
    </row>
    <row r="30" spans="1:26" x14ac:dyDescent="0.25">
      <c r="A30" t="s">
        <v>148</v>
      </c>
      <c r="B30" t="s">
        <v>146</v>
      </c>
      <c r="C30" t="s">
        <v>149</v>
      </c>
      <c r="D30">
        <v>347511598</v>
      </c>
      <c r="E30">
        <v>0</v>
      </c>
      <c r="F30">
        <v>347511598</v>
      </c>
      <c r="G30">
        <v>4842.53</v>
      </c>
      <c r="H30">
        <v>24.792999999999999</v>
      </c>
      <c r="I30">
        <v>8.1</v>
      </c>
      <c r="J30">
        <v>16.693000000000001</v>
      </c>
      <c r="K30">
        <v>0</v>
      </c>
      <c r="L30">
        <v>0</v>
      </c>
      <c r="M30">
        <v>0</v>
      </c>
      <c r="N30">
        <v>0</v>
      </c>
      <c r="O30">
        <v>6.7389999999999999</v>
      </c>
      <c r="P30">
        <v>1.4E-2</v>
      </c>
      <c r="Q30">
        <v>23.446000000000002</v>
      </c>
      <c r="R30">
        <v>5.6120000000000001</v>
      </c>
      <c r="S30">
        <v>0</v>
      </c>
      <c r="T30">
        <v>0</v>
      </c>
      <c r="U30">
        <v>0</v>
      </c>
      <c r="V30">
        <v>0</v>
      </c>
      <c r="W30">
        <v>23.446000000000002</v>
      </c>
      <c r="X30">
        <v>38.369999999999997</v>
      </c>
      <c r="Y30">
        <v>13914545.619999999</v>
      </c>
      <c r="Z30">
        <v>7546817</v>
      </c>
    </row>
    <row r="31" spans="1:26" x14ac:dyDescent="0.25">
      <c r="A31" t="s">
        <v>150</v>
      </c>
      <c r="B31" t="s">
        <v>151</v>
      </c>
      <c r="C31" t="s">
        <v>152</v>
      </c>
      <c r="D31">
        <v>48231050</v>
      </c>
      <c r="E31">
        <v>0</v>
      </c>
      <c r="F31">
        <v>48231050</v>
      </c>
      <c r="G31">
        <v>64.27</v>
      </c>
      <c r="H31">
        <v>17.88</v>
      </c>
      <c r="I31">
        <v>8.0660000000000007</v>
      </c>
      <c r="J31">
        <v>9.8140000000000001</v>
      </c>
      <c r="K31">
        <v>0</v>
      </c>
      <c r="L31">
        <v>0</v>
      </c>
      <c r="M31">
        <v>1.522</v>
      </c>
      <c r="N31">
        <v>0</v>
      </c>
      <c r="O31">
        <v>7.2569999999999997</v>
      </c>
      <c r="P31">
        <v>1E-3</v>
      </c>
      <c r="Q31">
        <v>18.594000000000001</v>
      </c>
      <c r="R31">
        <v>12.750999999999999</v>
      </c>
      <c r="S31">
        <v>0</v>
      </c>
      <c r="T31">
        <v>0</v>
      </c>
      <c r="U31">
        <v>0</v>
      </c>
      <c r="V31">
        <v>0</v>
      </c>
      <c r="W31">
        <v>18.594000000000001</v>
      </c>
      <c r="X31">
        <v>36.933</v>
      </c>
      <c r="Y31">
        <v>1831391.78</v>
      </c>
      <c r="Z31">
        <v>1308383</v>
      </c>
    </row>
    <row r="32" spans="1:26" x14ac:dyDescent="0.25">
      <c r="A32" t="s">
        <v>153</v>
      </c>
      <c r="B32" t="s">
        <v>151</v>
      </c>
      <c r="C32" t="s">
        <v>151</v>
      </c>
      <c r="D32">
        <v>94259412</v>
      </c>
      <c r="E32">
        <v>0</v>
      </c>
      <c r="F32">
        <v>94259412</v>
      </c>
      <c r="G32">
        <v>1901.81</v>
      </c>
      <c r="H32">
        <v>15.558</v>
      </c>
      <c r="I32">
        <v>6.8840000000000003</v>
      </c>
      <c r="J32">
        <v>8.6739999999999995</v>
      </c>
      <c r="K32">
        <v>0</v>
      </c>
      <c r="L32">
        <v>0</v>
      </c>
      <c r="M32">
        <v>0</v>
      </c>
      <c r="N32">
        <v>0</v>
      </c>
      <c r="O32">
        <v>8.4120000000000008</v>
      </c>
      <c r="P32">
        <v>0</v>
      </c>
      <c r="Q32">
        <v>17.085999999999999</v>
      </c>
      <c r="R32">
        <v>0</v>
      </c>
      <c r="S32">
        <v>0</v>
      </c>
      <c r="T32">
        <v>0</v>
      </c>
      <c r="U32">
        <v>0</v>
      </c>
      <c r="V32">
        <v>0</v>
      </c>
      <c r="W32">
        <v>17.085999999999999</v>
      </c>
      <c r="X32">
        <v>30.532</v>
      </c>
      <c r="Y32">
        <v>2944026.54</v>
      </c>
      <c r="Z32">
        <v>2061700</v>
      </c>
    </row>
    <row r="33" spans="1:26" x14ac:dyDescent="0.25">
      <c r="A33" t="s">
        <v>154</v>
      </c>
      <c r="B33" t="s">
        <v>155</v>
      </c>
      <c r="C33" t="s">
        <v>155</v>
      </c>
      <c r="D33">
        <v>311995840</v>
      </c>
      <c r="E33">
        <v>0</v>
      </c>
      <c r="F33">
        <v>311995840</v>
      </c>
      <c r="G33">
        <v>10685.38</v>
      </c>
      <c r="H33">
        <v>12.484999999999999</v>
      </c>
      <c r="I33">
        <v>0</v>
      </c>
      <c r="J33">
        <v>12.484999999999999</v>
      </c>
      <c r="K33">
        <v>0</v>
      </c>
      <c r="L33">
        <v>0</v>
      </c>
      <c r="M33">
        <v>0</v>
      </c>
      <c r="N33">
        <v>0</v>
      </c>
      <c r="O33">
        <v>8.8539999999999992</v>
      </c>
      <c r="P33">
        <v>3.4000000000000002E-2</v>
      </c>
      <c r="Q33">
        <v>21.372999999999998</v>
      </c>
      <c r="R33">
        <v>8.23</v>
      </c>
      <c r="S33">
        <v>0</v>
      </c>
      <c r="T33">
        <v>0</v>
      </c>
      <c r="U33">
        <v>0</v>
      </c>
      <c r="V33">
        <v>0</v>
      </c>
      <c r="W33">
        <v>21.372999999999998</v>
      </c>
      <c r="X33">
        <v>22.085000000000001</v>
      </c>
      <c r="Y33">
        <v>7255852.0599999996</v>
      </c>
      <c r="Z33">
        <v>2996840</v>
      </c>
    </row>
    <row r="34" spans="1:26" x14ac:dyDescent="0.25">
      <c r="A34" t="s">
        <v>156</v>
      </c>
      <c r="B34" t="s">
        <v>157</v>
      </c>
      <c r="C34" t="s">
        <v>158</v>
      </c>
      <c r="D34">
        <v>39778042</v>
      </c>
      <c r="E34">
        <v>0</v>
      </c>
      <c r="F34">
        <v>39778042</v>
      </c>
      <c r="G34">
        <v>2418</v>
      </c>
      <c r="H34">
        <v>23.405999999999999</v>
      </c>
      <c r="I34">
        <v>4.2830000000000004</v>
      </c>
      <c r="J34">
        <v>19.123000000000001</v>
      </c>
      <c r="K34">
        <v>0</v>
      </c>
      <c r="L34">
        <v>0</v>
      </c>
      <c r="M34">
        <v>4.7729999999999997</v>
      </c>
      <c r="N34">
        <v>0</v>
      </c>
      <c r="O34">
        <v>0</v>
      </c>
      <c r="P34">
        <v>6.0999999999999999E-2</v>
      </c>
      <c r="Q34">
        <v>23.957000000000001</v>
      </c>
      <c r="R34">
        <v>10.055999999999999</v>
      </c>
      <c r="S34">
        <v>0</v>
      </c>
      <c r="T34">
        <v>0</v>
      </c>
      <c r="U34">
        <v>0</v>
      </c>
      <c r="V34">
        <v>0</v>
      </c>
      <c r="W34">
        <v>23.957000000000001</v>
      </c>
      <c r="X34">
        <v>258.99299999999999</v>
      </c>
      <c r="Y34">
        <v>10474934.390000001</v>
      </c>
      <c r="Z34">
        <v>9564413</v>
      </c>
    </row>
    <row r="35" spans="1:26" x14ac:dyDescent="0.25">
      <c r="A35" t="s">
        <v>159</v>
      </c>
      <c r="B35" t="s">
        <v>157</v>
      </c>
      <c r="C35" t="s">
        <v>160</v>
      </c>
      <c r="D35">
        <v>10758151</v>
      </c>
      <c r="E35">
        <v>0</v>
      </c>
      <c r="F35">
        <v>10758151</v>
      </c>
      <c r="G35">
        <v>729</v>
      </c>
      <c r="H35">
        <v>27</v>
      </c>
      <c r="I35">
        <v>0</v>
      </c>
      <c r="J35">
        <v>27</v>
      </c>
      <c r="K35">
        <v>0</v>
      </c>
      <c r="L35">
        <v>0</v>
      </c>
      <c r="M35">
        <v>0</v>
      </c>
      <c r="N35">
        <v>0</v>
      </c>
      <c r="O35">
        <v>0</v>
      </c>
      <c r="P35">
        <v>6.8000000000000005E-2</v>
      </c>
      <c r="Q35">
        <v>27.068000000000001</v>
      </c>
      <c r="R35">
        <v>8.2469999999999999</v>
      </c>
      <c r="S35">
        <v>0</v>
      </c>
      <c r="T35">
        <v>0</v>
      </c>
      <c r="U35">
        <v>0</v>
      </c>
      <c r="V35">
        <v>0</v>
      </c>
      <c r="W35">
        <v>27.068000000000001</v>
      </c>
      <c r="X35">
        <v>403.23899999999998</v>
      </c>
      <c r="Y35">
        <v>4387940.42</v>
      </c>
      <c r="Z35">
        <v>4048593</v>
      </c>
    </row>
    <row r="36" spans="1:26" x14ac:dyDescent="0.25">
      <c r="A36" t="s">
        <v>161</v>
      </c>
      <c r="B36" t="s">
        <v>157</v>
      </c>
      <c r="C36" t="s">
        <v>162</v>
      </c>
      <c r="D36">
        <v>34514743</v>
      </c>
      <c r="E36">
        <v>0</v>
      </c>
      <c r="F36">
        <v>34514743</v>
      </c>
      <c r="G36">
        <v>2093</v>
      </c>
      <c r="H36">
        <v>27</v>
      </c>
      <c r="I36">
        <v>6.2119999999999997</v>
      </c>
      <c r="J36">
        <v>20.788</v>
      </c>
      <c r="K36">
        <v>0</v>
      </c>
      <c r="L36">
        <v>0</v>
      </c>
      <c r="M36">
        <v>0</v>
      </c>
      <c r="N36">
        <v>0</v>
      </c>
      <c r="O36">
        <v>0</v>
      </c>
      <c r="P36">
        <v>6.0999999999999999E-2</v>
      </c>
      <c r="Q36">
        <v>20.849</v>
      </c>
      <c r="R36">
        <v>15.066000000000001</v>
      </c>
      <c r="S36">
        <v>0</v>
      </c>
      <c r="T36">
        <v>0</v>
      </c>
      <c r="U36">
        <v>0</v>
      </c>
      <c r="V36">
        <v>0</v>
      </c>
      <c r="W36">
        <v>20.849</v>
      </c>
      <c r="X36">
        <v>76.334000000000003</v>
      </c>
      <c r="Y36">
        <v>2746300.46</v>
      </c>
      <c r="Z36">
        <v>1919421</v>
      </c>
    </row>
    <row r="37" spans="1:26" x14ac:dyDescent="0.25">
      <c r="A37" t="s">
        <v>163</v>
      </c>
      <c r="B37" t="s">
        <v>164</v>
      </c>
      <c r="C37" t="s">
        <v>165</v>
      </c>
      <c r="D37">
        <v>56436730</v>
      </c>
      <c r="E37">
        <v>0</v>
      </c>
      <c r="F37">
        <v>56436730</v>
      </c>
      <c r="G37">
        <v>1848.15</v>
      </c>
      <c r="H37">
        <v>27</v>
      </c>
      <c r="I37">
        <v>8.7200000000000006</v>
      </c>
      <c r="J37">
        <v>18.28</v>
      </c>
      <c r="K37">
        <v>0</v>
      </c>
      <c r="L37">
        <v>0</v>
      </c>
      <c r="M37">
        <v>0</v>
      </c>
      <c r="N37">
        <v>0</v>
      </c>
      <c r="O37">
        <v>0</v>
      </c>
      <c r="P37">
        <v>3.3000000000000002E-2</v>
      </c>
      <c r="Q37">
        <v>18.313000000000002</v>
      </c>
      <c r="R37">
        <v>8.3089999999999993</v>
      </c>
      <c r="S37">
        <v>0</v>
      </c>
      <c r="T37">
        <v>0</v>
      </c>
      <c r="U37">
        <v>0</v>
      </c>
      <c r="V37">
        <v>0</v>
      </c>
      <c r="W37">
        <v>18.313000000000002</v>
      </c>
      <c r="X37">
        <v>58.183999999999997</v>
      </c>
      <c r="Y37">
        <v>3329167.58</v>
      </c>
      <c r="Z37">
        <v>2231016</v>
      </c>
    </row>
    <row r="38" spans="1:26" x14ac:dyDescent="0.25">
      <c r="A38" t="s">
        <v>166</v>
      </c>
      <c r="B38" t="s">
        <v>164</v>
      </c>
      <c r="C38" t="s">
        <v>167</v>
      </c>
      <c r="D38">
        <v>70193205</v>
      </c>
      <c r="E38">
        <v>0</v>
      </c>
      <c r="F38">
        <v>70193205</v>
      </c>
      <c r="G38">
        <v>70599.97</v>
      </c>
      <c r="H38">
        <v>27</v>
      </c>
      <c r="I38">
        <v>0</v>
      </c>
      <c r="J38">
        <v>27</v>
      </c>
      <c r="K38">
        <v>0</v>
      </c>
      <c r="L38">
        <v>0</v>
      </c>
      <c r="M38">
        <v>0</v>
      </c>
      <c r="N38">
        <v>0</v>
      </c>
      <c r="O38">
        <v>5.4850000000000003</v>
      </c>
      <c r="P38">
        <v>1.006</v>
      </c>
      <c r="Q38">
        <v>33.491</v>
      </c>
      <c r="R38">
        <v>15.678000000000001</v>
      </c>
      <c r="S38">
        <v>0</v>
      </c>
      <c r="T38">
        <v>0</v>
      </c>
      <c r="U38">
        <v>0</v>
      </c>
      <c r="V38">
        <v>0</v>
      </c>
      <c r="W38">
        <v>33.491</v>
      </c>
      <c r="X38">
        <v>52.03</v>
      </c>
      <c r="Y38">
        <v>3727154.18</v>
      </c>
      <c r="Z38">
        <v>1747938</v>
      </c>
    </row>
    <row r="39" spans="1:26" x14ac:dyDescent="0.25">
      <c r="A39" t="s">
        <v>168</v>
      </c>
      <c r="B39" t="s">
        <v>169</v>
      </c>
      <c r="C39" t="s">
        <v>169</v>
      </c>
      <c r="D39">
        <v>57461454</v>
      </c>
      <c r="E39">
        <v>0</v>
      </c>
      <c r="F39">
        <v>57461454</v>
      </c>
      <c r="G39">
        <v>0</v>
      </c>
      <c r="H39">
        <v>27</v>
      </c>
      <c r="I39">
        <v>8.5510000000000002</v>
      </c>
      <c r="J39">
        <v>18.449000000000002</v>
      </c>
      <c r="K39">
        <v>0</v>
      </c>
      <c r="L39">
        <v>0</v>
      </c>
      <c r="M39">
        <v>0</v>
      </c>
      <c r="N39">
        <v>0</v>
      </c>
      <c r="O39">
        <v>6</v>
      </c>
      <c r="P39">
        <v>0</v>
      </c>
      <c r="Q39">
        <v>24.449000000000002</v>
      </c>
      <c r="R39">
        <v>0</v>
      </c>
      <c r="S39">
        <v>0</v>
      </c>
      <c r="T39">
        <v>0</v>
      </c>
      <c r="U39">
        <v>0</v>
      </c>
      <c r="V39">
        <v>0</v>
      </c>
      <c r="W39">
        <v>24.449000000000002</v>
      </c>
      <c r="X39">
        <v>82.335999999999999</v>
      </c>
      <c r="Y39">
        <v>4853084</v>
      </c>
      <c r="Z39">
        <v>3686349</v>
      </c>
    </row>
    <row r="40" spans="1:26" x14ac:dyDescent="0.25">
      <c r="A40" t="s">
        <v>170</v>
      </c>
      <c r="B40" t="s">
        <v>171</v>
      </c>
      <c r="C40" t="s">
        <v>172</v>
      </c>
      <c r="D40">
        <v>121167270</v>
      </c>
      <c r="E40">
        <v>0</v>
      </c>
      <c r="F40">
        <v>121167270</v>
      </c>
      <c r="G40">
        <v>4163.8599999999997</v>
      </c>
      <c r="H40">
        <v>27</v>
      </c>
      <c r="I40">
        <v>2.097</v>
      </c>
      <c r="J40">
        <v>24.902999999999999</v>
      </c>
      <c r="K40">
        <v>0</v>
      </c>
      <c r="L40">
        <v>0</v>
      </c>
      <c r="M40">
        <v>0</v>
      </c>
      <c r="N40">
        <v>0</v>
      </c>
      <c r="O40">
        <v>0</v>
      </c>
      <c r="P40">
        <v>3.4000000000000002E-2</v>
      </c>
      <c r="Q40">
        <v>24.936999999999998</v>
      </c>
      <c r="R40">
        <v>4.9569999999999999</v>
      </c>
      <c r="S40">
        <v>0</v>
      </c>
      <c r="T40">
        <v>0</v>
      </c>
      <c r="U40">
        <v>0</v>
      </c>
      <c r="V40">
        <v>0</v>
      </c>
      <c r="W40">
        <v>24.936999999999998</v>
      </c>
      <c r="X40">
        <v>33.402000000000001</v>
      </c>
      <c r="Y40">
        <v>4445684.7699999996</v>
      </c>
      <c r="Z40">
        <v>1029498</v>
      </c>
    </row>
    <row r="41" spans="1:26" x14ac:dyDescent="0.25">
      <c r="A41" t="s">
        <v>173</v>
      </c>
      <c r="B41" t="s">
        <v>174</v>
      </c>
      <c r="C41" t="s">
        <v>174</v>
      </c>
      <c r="D41">
        <v>436264159</v>
      </c>
      <c r="E41">
        <v>-617720</v>
      </c>
      <c r="F41">
        <v>435646439</v>
      </c>
      <c r="G41">
        <v>14482.6</v>
      </c>
      <c r="H41">
        <v>27</v>
      </c>
      <c r="I41">
        <v>2.3439999999999999</v>
      </c>
      <c r="J41">
        <v>24.655999999999999</v>
      </c>
      <c r="K41">
        <v>0</v>
      </c>
      <c r="L41">
        <v>0</v>
      </c>
      <c r="M41">
        <v>0</v>
      </c>
      <c r="N41">
        <v>0</v>
      </c>
      <c r="O41">
        <v>0</v>
      </c>
      <c r="P41">
        <v>3.3000000000000002E-2</v>
      </c>
      <c r="Q41">
        <v>24.689</v>
      </c>
      <c r="R41">
        <v>4.4240000000000004</v>
      </c>
      <c r="S41">
        <v>0</v>
      </c>
      <c r="T41">
        <v>0</v>
      </c>
      <c r="U41">
        <v>0</v>
      </c>
      <c r="V41">
        <v>0</v>
      </c>
      <c r="W41">
        <v>24.689</v>
      </c>
      <c r="X41">
        <v>98.025000000000006</v>
      </c>
      <c r="Y41">
        <v>43969743.049999997</v>
      </c>
      <c r="Z41">
        <v>31806028</v>
      </c>
    </row>
    <row r="42" spans="1:26" x14ac:dyDescent="0.25">
      <c r="A42" t="s">
        <v>175</v>
      </c>
      <c r="B42" t="s">
        <v>176</v>
      </c>
      <c r="C42" t="s">
        <v>176</v>
      </c>
      <c r="D42">
        <v>23235806840</v>
      </c>
      <c r="E42">
        <v>-1470082495</v>
      </c>
      <c r="F42">
        <v>21765724345</v>
      </c>
      <c r="G42">
        <v>41546092</v>
      </c>
      <c r="H42">
        <v>27</v>
      </c>
      <c r="I42">
        <v>0</v>
      </c>
      <c r="J42">
        <v>27</v>
      </c>
      <c r="K42">
        <v>0</v>
      </c>
      <c r="L42">
        <v>0</v>
      </c>
      <c r="M42">
        <v>0</v>
      </c>
      <c r="N42">
        <v>0</v>
      </c>
      <c r="O42">
        <v>11.208</v>
      </c>
      <c r="P42">
        <v>1.1830000000000001</v>
      </c>
      <c r="Q42">
        <v>39.390999999999998</v>
      </c>
      <c r="R42">
        <v>9.843</v>
      </c>
      <c r="S42">
        <v>0</v>
      </c>
      <c r="T42">
        <v>2.3450000000000002</v>
      </c>
      <c r="U42">
        <v>0</v>
      </c>
      <c r="V42">
        <v>0</v>
      </c>
      <c r="W42">
        <v>41.735999999999997</v>
      </c>
      <c r="X42">
        <v>40.637999999999998</v>
      </c>
      <c r="Y42">
        <v>915418317.79999995</v>
      </c>
      <c r="Z42">
        <v>296871218</v>
      </c>
    </row>
    <row r="43" spans="1:26" x14ac:dyDescent="0.25">
      <c r="A43" t="s">
        <v>177</v>
      </c>
      <c r="B43" t="s">
        <v>178</v>
      </c>
      <c r="C43" t="s">
        <v>178</v>
      </c>
      <c r="D43">
        <v>99073283</v>
      </c>
      <c r="E43">
        <v>0</v>
      </c>
      <c r="F43">
        <v>99073283</v>
      </c>
      <c r="G43">
        <v>308.41999999999996</v>
      </c>
      <c r="H43">
        <v>18.684999999999999</v>
      </c>
      <c r="I43">
        <v>1.1259999999999999</v>
      </c>
      <c r="J43">
        <v>17.559000000000001</v>
      </c>
      <c r="K43">
        <v>0</v>
      </c>
      <c r="L43">
        <v>0</v>
      </c>
      <c r="M43">
        <v>0</v>
      </c>
      <c r="N43">
        <v>0</v>
      </c>
      <c r="O43">
        <v>3</v>
      </c>
      <c r="P43">
        <v>3.0000000000000001E-3</v>
      </c>
      <c r="Q43">
        <v>20.562000000000001</v>
      </c>
      <c r="R43">
        <v>8.7309999999999999</v>
      </c>
      <c r="S43">
        <v>0</v>
      </c>
      <c r="T43">
        <v>0</v>
      </c>
      <c r="U43">
        <v>0</v>
      </c>
      <c r="V43">
        <v>0</v>
      </c>
      <c r="W43">
        <v>20.562000000000001</v>
      </c>
      <c r="X43">
        <v>35.616</v>
      </c>
      <c r="Y43">
        <v>3670950.9</v>
      </c>
      <c r="Z43">
        <v>1795726</v>
      </c>
    </row>
    <row r="44" spans="1:26" x14ac:dyDescent="0.25">
      <c r="A44" t="s">
        <v>179</v>
      </c>
      <c r="B44" t="s">
        <v>180</v>
      </c>
      <c r="C44" t="s">
        <v>180</v>
      </c>
      <c r="D44">
        <v>8223911298</v>
      </c>
      <c r="E44">
        <v>-79310754</v>
      </c>
      <c r="F44">
        <v>8144600544</v>
      </c>
      <c r="G44">
        <v>703422.77</v>
      </c>
      <c r="H44">
        <v>27</v>
      </c>
      <c r="I44">
        <v>0</v>
      </c>
      <c r="J44">
        <v>27</v>
      </c>
      <c r="K44">
        <v>0</v>
      </c>
      <c r="L44">
        <v>0</v>
      </c>
      <c r="M44">
        <v>0</v>
      </c>
      <c r="N44">
        <v>0</v>
      </c>
      <c r="O44">
        <v>9.0500000000000007</v>
      </c>
      <c r="P44">
        <v>8.5999999999999993E-2</v>
      </c>
      <c r="Q44">
        <v>36.135999999999996</v>
      </c>
      <c r="R44">
        <v>6.7</v>
      </c>
      <c r="S44">
        <v>0</v>
      </c>
      <c r="T44">
        <v>0</v>
      </c>
      <c r="U44">
        <v>0</v>
      </c>
      <c r="V44">
        <v>0</v>
      </c>
      <c r="W44">
        <v>36.135999999999996</v>
      </c>
      <c r="X44">
        <v>74.132000000000005</v>
      </c>
      <c r="Y44">
        <v>623723794.23000002</v>
      </c>
      <c r="Z44">
        <v>384413658</v>
      </c>
    </row>
    <row r="45" spans="1:26" x14ac:dyDescent="0.25">
      <c r="A45" t="s">
        <v>181</v>
      </c>
      <c r="B45" t="s">
        <v>182</v>
      </c>
      <c r="C45" t="s">
        <v>182</v>
      </c>
      <c r="D45">
        <v>3371225270</v>
      </c>
      <c r="E45">
        <v>-136046480</v>
      </c>
      <c r="F45">
        <v>3235178790</v>
      </c>
      <c r="G45">
        <v>113447.03</v>
      </c>
      <c r="H45">
        <v>12.138</v>
      </c>
      <c r="I45">
        <v>0</v>
      </c>
      <c r="J45">
        <v>12.138</v>
      </c>
      <c r="K45">
        <v>0</v>
      </c>
      <c r="L45">
        <v>0</v>
      </c>
      <c r="M45">
        <v>0.65400000000000003</v>
      </c>
      <c r="N45">
        <v>0</v>
      </c>
      <c r="O45">
        <v>4.7409999999999997</v>
      </c>
      <c r="P45">
        <v>4.4999999999999998E-2</v>
      </c>
      <c r="Q45">
        <v>17.578000000000003</v>
      </c>
      <c r="R45">
        <v>6.6449999999999996</v>
      </c>
      <c r="S45">
        <v>0.309</v>
      </c>
      <c r="T45">
        <v>0</v>
      </c>
      <c r="U45">
        <v>0</v>
      </c>
      <c r="V45">
        <v>0</v>
      </c>
      <c r="W45">
        <v>17.887000000000004</v>
      </c>
      <c r="X45">
        <v>21.164999999999999</v>
      </c>
      <c r="Y45">
        <v>71372618.310000002</v>
      </c>
      <c r="Z45">
        <v>29437972</v>
      </c>
    </row>
    <row r="46" spans="1:26" x14ac:dyDescent="0.25">
      <c r="A46" t="s">
        <v>183</v>
      </c>
      <c r="B46" t="s">
        <v>184</v>
      </c>
      <c r="C46" t="s">
        <v>185</v>
      </c>
      <c r="D46">
        <v>277573095</v>
      </c>
      <c r="E46">
        <v>0</v>
      </c>
      <c r="F46">
        <v>277573095</v>
      </c>
      <c r="G46">
        <v>8152.21</v>
      </c>
      <c r="H46">
        <v>27</v>
      </c>
      <c r="I46">
        <v>0</v>
      </c>
      <c r="J46">
        <v>27</v>
      </c>
      <c r="K46">
        <v>0</v>
      </c>
      <c r="L46">
        <v>0</v>
      </c>
      <c r="M46">
        <v>0</v>
      </c>
      <c r="N46">
        <v>0</v>
      </c>
      <c r="O46">
        <v>5.7279999999999998</v>
      </c>
      <c r="P46">
        <v>2.9000000000000001E-2</v>
      </c>
      <c r="Q46">
        <v>32.757000000000005</v>
      </c>
      <c r="R46">
        <v>0</v>
      </c>
      <c r="S46">
        <v>0</v>
      </c>
      <c r="T46">
        <v>0</v>
      </c>
      <c r="U46">
        <v>0</v>
      </c>
      <c r="V46">
        <v>0</v>
      </c>
      <c r="W46">
        <v>32.757000000000005</v>
      </c>
      <c r="X46">
        <v>77.706000000000003</v>
      </c>
      <c r="Y46">
        <v>22803775.030000001</v>
      </c>
      <c r="Z46">
        <v>14074345</v>
      </c>
    </row>
    <row r="47" spans="1:26" x14ac:dyDescent="0.25">
      <c r="A47" t="s">
        <v>186</v>
      </c>
      <c r="B47" t="s">
        <v>184</v>
      </c>
      <c r="C47" t="s">
        <v>187</v>
      </c>
      <c r="D47">
        <v>53529092</v>
      </c>
      <c r="E47">
        <v>0</v>
      </c>
      <c r="F47">
        <v>53529092</v>
      </c>
      <c r="G47">
        <v>18.97</v>
      </c>
      <c r="H47">
        <v>27</v>
      </c>
      <c r="I47">
        <v>5.8120000000000003</v>
      </c>
      <c r="J47">
        <v>21.187999999999999</v>
      </c>
      <c r="K47">
        <v>0</v>
      </c>
      <c r="L47">
        <v>0</v>
      </c>
      <c r="M47">
        <v>0</v>
      </c>
      <c r="N47">
        <v>0</v>
      </c>
      <c r="O47">
        <v>0</v>
      </c>
      <c r="P47">
        <v>0</v>
      </c>
      <c r="Q47">
        <v>21.187999999999999</v>
      </c>
      <c r="R47">
        <v>0</v>
      </c>
      <c r="S47">
        <v>0</v>
      </c>
      <c r="T47">
        <v>0</v>
      </c>
      <c r="U47">
        <v>0</v>
      </c>
      <c r="V47">
        <v>0</v>
      </c>
      <c r="W47">
        <v>21.187999999999999</v>
      </c>
      <c r="X47">
        <v>69.147000000000006</v>
      </c>
      <c r="Y47">
        <v>3869015.65</v>
      </c>
      <c r="Z47">
        <v>2567128</v>
      </c>
    </row>
    <row r="48" spans="1:26" x14ac:dyDescent="0.25">
      <c r="A48" t="s">
        <v>188</v>
      </c>
      <c r="B48" t="s">
        <v>184</v>
      </c>
      <c r="C48" t="s">
        <v>189</v>
      </c>
      <c r="D48">
        <v>40838500</v>
      </c>
      <c r="E48">
        <v>0</v>
      </c>
      <c r="F48">
        <v>40838500</v>
      </c>
      <c r="G48">
        <v>3854.5099999999998</v>
      </c>
      <c r="H48">
        <v>27</v>
      </c>
      <c r="I48">
        <v>0</v>
      </c>
      <c r="J48">
        <v>27</v>
      </c>
      <c r="K48">
        <v>0</v>
      </c>
      <c r="L48">
        <v>0</v>
      </c>
      <c r="M48">
        <v>0</v>
      </c>
      <c r="N48">
        <v>0</v>
      </c>
      <c r="O48">
        <v>0</v>
      </c>
      <c r="P48">
        <v>9.1999999999999998E-2</v>
      </c>
      <c r="Q48">
        <v>27.091999999999999</v>
      </c>
      <c r="R48">
        <v>4.8730000000000002</v>
      </c>
      <c r="S48">
        <v>0</v>
      </c>
      <c r="T48">
        <v>0</v>
      </c>
      <c r="U48">
        <v>0</v>
      </c>
      <c r="V48">
        <v>0</v>
      </c>
      <c r="W48">
        <v>27.091999999999999</v>
      </c>
      <c r="X48">
        <v>102.339</v>
      </c>
      <c r="Y48">
        <v>4288096.72</v>
      </c>
      <c r="Z48">
        <v>3066216</v>
      </c>
    </row>
    <row r="49" spans="1:26" x14ac:dyDescent="0.25">
      <c r="A49" t="s">
        <v>190</v>
      </c>
      <c r="B49" t="s">
        <v>184</v>
      </c>
      <c r="C49" t="s">
        <v>184</v>
      </c>
      <c r="D49">
        <v>27177878</v>
      </c>
      <c r="E49">
        <v>0</v>
      </c>
      <c r="F49">
        <v>27177878</v>
      </c>
      <c r="G49">
        <v>870.82999999999993</v>
      </c>
      <c r="H49">
        <v>24.431000000000001</v>
      </c>
      <c r="I49">
        <v>1.835</v>
      </c>
      <c r="J49">
        <v>22.596</v>
      </c>
      <c r="K49">
        <v>0</v>
      </c>
      <c r="L49">
        <v>0</v>
      </c>
      <c r="M49">
        <v>0</v>
      </c>
      <c r="N49">
        <v>0</v>
      </c>
      <c r="O49">
        <v>0</v>
      </c>
      <c r="P49">
        <v>3.2000000000000001E-2</v>
      </c>
      <c r="Q49">
        <v>22.628</v>
      </c>
      <c r="R49">
        <v>7.3239999999999998</v>
      </c>
      <c r="S49">
        <v>0</v>
      </c>
      <c r="T49">
        <v>0</v>
      </c>
      <c r="U49">
        <v>0</v>
      </c>
      <c r="V49">
        <v>0</v>
      </c>
      <c r="W49">
        <v>22.628</v>
      </c>
      <c r="X49">
        <v>135.29900000000001</v>
      </c>
      <c r="Y49">
        <v>3780229.83</v>
      </c>
      <c r="Z49">
        <v>3066444</v>
      </c>
    </row>
    <row r="50" spans="1:26" x14ac:dyDescent="0.25">
      <c r="A50" t="s">
        <v>191</v>
      </c>
      <c r="B50" t="s">
        <v>184</v>
      </c>
      <c r="C50" t="s">
        <v>192</v>
      </c>
      <c r="D50">
        <v>26830186</v>
      </c>
      <c r="E50">
        <v>0</v>
      </c>
      <c r="F50">
        <v>26830186</v>
      </c>
      <c r="G50">
        <v>29.96</v>
      </c>
      <c r="H50">
        <v>27</v>
      </c>
      <c r="I50">
        <v>8.202</v>
      </c>
      <c r="J50">
        <v>18.797999999999998</v>
      </c>
      <c r="K50">
        <v>0</v>
      </c>
      <c r="L50">
        <v>0</v>
      </c>
      <c r="M50">
        <v>0</v>
      </c>
      <c r="N50">
        <v>0</v>
      </c>
      <c r="O50">
        <v>0</v>
      </c>
      <c r="P50">
        <v>1E-3</v>
      </c>
      <c r="Q50">
        <v>18.798999999999999</v>
      </c>
      <c r="R50">
        <v>0</v>
      </c>
      <c r="S50">
        <v>0</v>
      </c>
      <c r="T50">
        <v>0</v>
      </c>
      <c r="U50">
        <v>0</v>
      </c>
      <c r="V50">
        <v>0</v>
      </c>
      <c r="W50">
        <v>18.798999999999999</v>
      </c>
      <c r="X50">
        <v>62.279000000000003</v>
      </c>
      <c r="Y50">
        <v>1730491.42</v>
      </c>
      <c r="Z50">
        <v>1166171</v>
      </c>
    </row>
    <row r="51" spans="1:26" x14ac:dyDescent="0.25">
      <c r="A51" t="s">
        <v>193</v>
      </c>
      <c r="B51" t="s">
        <v>194</v>
      </c>
      <c r="C51" t="s">
        <v>195</v>
      </c>
      <c r="D51">
        <v>50906936</v>
      </c>
      <c r="E51">
        <v>0</v>
      </c>
      <c r="F51">
        <v>50906936</v>
      </c>
      <c r="G51">
        <v>5074.2</v>
      </c>
      <c r="H51">
        <v>27</v>
      </c>
      <c r="I51">
        <v>0</v>
      </c>
      <c r="J51">
        <v>27</v>
      </c>
      <c r="K51">
        <v>0</v>
      </c>
      <c r="L51">
        <v>0</v>
      </c>
      <c r="M51">
        <v>0</v>
      </c>
      <c r="N51">
        <v>0</v>
      </c>
      <c r="O51">
        <v>0</v>
      </c>
      <c r="P51">
        <v>0.34200000000000003</v>
      </c>
      <c r="Q51">
        <v>27.341999999999999</v>
      </c>
      <c r="R51">
        <v>10.151999999999999</v>
      </c>
      <c r="S51">
        <v>0</v>
      </c>
      <c r="T51">
        <v>0</v>
      </c>
      <c r="U51">
        <v>0</v>
      </c>
      <c r="V51">
        <v>0</v>
      </c>
      <c r="W51">
        <v>27.341999999999999</v>
      </c>
      <c r="X51">
        <v>98.878</v>
      </c>
      <c r="Y51">
        <v>5198338.68</v>
      </c>
      <c r="Z51">
        <v>3670122</v>
      </c>
    </row>
    <row r="52" spans="1:26" x14ac:dyDescent="0.25">
      <c r="A52" t="s">
        <v>196</v>
      </c>
      <c r="B52" t="s">
        <v>194</v>
      </c>
      <c r="C52" t="s">
        <v>197</v>
      </c>
      <c r="D52">
        <v>836797720</v>
      </c>
      <c r="E52">
        <v>-10698540</v>
      </c>
      <c r="F52">
        <v>826099180</v>
      </c>
      <c r="G52">
        <v>531234.81999999995</v>
      </c>
      <c r="H52">
        <v>15.72</v>
      </c>
      <c r="I52">
        <v>0</v>
      </c>
      <c r="J52">
        <v>15.72</v>
      </c>
      <c r="K52">
        <v>0</v>
      </c>
      <c r="L52">
        <v>0</v>
      </c>
      <c r="M52">
        <v>0</v>
      </c>
      <c r="N52">
        <v>0</v>
      </c>
      <c r="O52">
        <v>6.9610000000000003</v>
      </c>
      <c r="P52">
        <v>0.64400000000000002</v>
      </c>
      <c r="Q52">
        <v>23.324999999999999</v>
      </c>
      <c r="R52">
        <v>17.474</v>
      </c>
      <c r="S52">
        <v>0</v>
      </c>
      <c r="T52">
        <v>0</v>
      </c>
      <c r="U52">
        <v>0</v>
      </c>
      <c r="V52">
        <v>0</v>
      </c>
      <c r="W52">
        <v>23.324999999999999</v>
      </c>
      <c r="X52">
        <v>156.35900000000001</v>
      </c>
      <c r="Y52">
        <v>130705533.2</v>
      </c>
      <c r="Z52">
        <v>116433786</v>
      </c>
    </row>
    <row r="53" spans="1:26" x14ac:dyDescent="0.25">
      <c r="A53" t="s">
        <v>198</v>
      </c>
      <c r="B53" t="s">
        <v>194</v>
      </c>
      <c r="C53" t="s">
        <v>199</v>
      </c>
      <c r="D53">
        <v>704386240</v>
      </c>
      <c r="E53">
        <v>-1435390</v>
      </c>
      <c r="F53">
        <v>702950850</v>
      </c>
      <c r="G53">
        <v>100847.36</v>
      </c>
      <c r="H53">
        <v>27</v>
      </c>
      <c r="I53">
        <v>3.1059999999999999</v>
      </c>
      <c r="J53">
        <v>23.893999999999998</v>
      </c>
      <c r="K53">
        <v>0</v>
      </c>
      <c r="L53">
        <v>0</v>
      </c>
      <c r="M53">
        <v>0</v>
      </c>
      <c r="N53">
        <v>0</v>
      </c>
      <c r="O53">
        <v>12.471</v>
      </c>
      <c r="P53">
        <v>0.14299999999999999</v>
      </c>
      <c r="Q53">
        <v>36.507999999999996</v>
      </c>
      <c r="R53">
        <v>4.7</v>
      </c>
      <c r="S53">
        <v>0</v>
      </c>
      <c r="T53">
        <v>0</v>
      </c>
      <c r="U53">
        <v>0</v>
      </c>
      <c r="V53">
        <v>6.407</v>
      </c>
      <c r="W53">
        <v>42.914999999999992</v>
      </c>
      <c r="X53">
        <v>130.75800000000001</v>
      </c>
      <c r="Y53">
        <v>87056013.829999998</v>
      </c>
      <c r="Z53">
        <v>67688414</v>
      </c>
    </row>
    <row r="54" spans="1:26" x14ac:dyDescent="0.25">
      <c r="A54" t="s">
        <v>200</v>
      </c>
      <c r="B54" t="s">
        <v>194</v>
      </c>
      <c r="C54" t="s">
        <v>201</v>
      </c>
      <c r="D54">
        <v>205642730</v>
      </c>
      <c r="E54">
        <v>-4032760</v>
      </c>
      <c r="F54">
        <v>201609970</v>
      </c>
      <c r="G54">
        <v>4270.05</v>
      </c>
      <c r="H54">
        <v>27</v>
      </c>
      <c r="I54">
        <v>5.3159999999999998</v>
      </c>
      <c r="J54">
        <v>21.684000000000001</v>
      </c>
      <c r="K54">
        <v>0</v>
      </c>
      <c r="L54">
        <v>0</v>
      </c>
      <c r="M54">
        <v>0</v>
      </c>
      <c r="N54">
        <v>0</v>
      </c>
      <c r="O54">
        <v>5</v>
      </c>
      <c r="P54">
        <v>0.02</v>
      </c>
      <c r="Q54">
        <v>26.704000000000001</v>
      </c>
      <c r="R54">
        <v>0</v>
      </c>
      <c r="S54">
        <v>0</v>
      </c>
      <c r="T54">
        <v>0</v>
      </c>
      <c r="U54">
        <v>0</v>
      </c>
      <c r="V54">
        <v>0</v>
      </c>
      <c r="W54">
        <v>26.704000000000001</v>
      </c>
      <c r="X54">
        <v>381.61099999999999</v>
      </c>
      <c r="Y54">
        <v>77286743.219999999</v>
      </c>
      <c r="Z54">
        <v>72503783</v>
      </c>
    </row>
    <row r="55" spans="1:26" x14ac:dyDescent="0.25">
      <c r="A55" t="s">
        <v>202</v>
      </c>
      <c r="B55" t="s">
        <v>194</v>
      </c>
      <c r="C55" t="s">
        <v>203</v>
      </c>
      <c r="D55">
        <v>3567715230</v>
      </c>
      <c r="E55">
        <v>-81343200</v>
      </c>
      <c r="F55">
        <v>3486372030</v>
      </c>
      <c r="G55">
        <v>1924986.78</v>
      </c>
      <c r="H55">
        <v>20.715</v>
      </c>
      <c r="I55">
        <v>0</v>
      </c>
      <c r="J55">
        <v>20.715</v>
      </c>
      <c r="K55">
        <v>0</v>
      </c>
      <c r="L55">
        <v>0</v>
      </c>
      <c r="M55">
        <v>0</v>
      </c>
      <c r="N55">
        <v>0</v>
      </c>
      <c r="O55">
        <v>21.562000000000001</v>
      </c>
      <c r="P55">
        <v>0.54400000000000004</v>
      </c>
      <c r="Q55">
        <v>42.820999999999998</v>
      </c>
      <c r="R55">
        <v>0</v>
      </c>
      <c r="S55">
        <v>0</v>
      </c>
      <c r="T55">
        <v>0</v>
      </c>
      <c r="U55">
        <v>0</v>
      </c>
      <c r="V55">
        <v>0</v>
      </c>
      <c r="W55">
        <v>42.820999999999998</v>
      </c>
      <c r="X55">
        <v>77.007000000000005</v>
      </c>
      <c r="Y55">
        <v>275601414.35000002</v>
      </c>
      <c r="Z55">
        <v>196096159</v>
      </c>
    </row>
    <row r="56" spans="1:26" x14ac:dyDescent="0.25">
      <c r="A56" t="s">
        <v>204</v>
      </c>
      <c r="B56" t="s">
        <v>194</v>
      </c>
      <c r="C56" t="s">
        <v>205</v>
      </c>
      <c r="D56">
        <v>465514380</v>
      </c>
      <c r="E56">
        <v>0</v>
      </c>
      <c r="F56">
        <v>465514380</v>
      </c>
      <c r="G56">
        <v>53827.03</v>
      </c>
      <c r="H56">
        <v>27</v>
      </c>
      <c r="I56">
        <v>0</v>
      </c>
      <c r="J56">
        <v>27</v>
      </c>
      <c r="K56">
        <v>0</v>
      </c>
      <c r="L56">
        <v>0</v>
      </c>
      <c r="M56">
        <v>0</v>
      </c>
      <c r="N56">
        <v>0</v>
      </c>
      <c r="O56">
        <v>19.954999999999998</v>
      </c>
      <c r="P56">
        <v>0.11600000000000001</v>
      </c>
      <c r="Q56">
        <v>47.070999999999998</v>
      </c>
      <c r="R56">
        <v>7.9290000000000003</v>
      </c>
      <c r="S56">
        <v>0</v>
      </c>
      <c r="T56">
        <v>0</v>
      </c>
      <c r="U56">
        <v>0</v>
      </c>
      <c r="V56">
        <v>0</v>
      </c>
      <c r="W56">
        <v>47.070999999999998</v>
      </c>
      <c r="X56">
        <v>70.248999999999995</v>
      </c>
      <c r="Y56">
        <v>33993691.840000004</v>
      </c>
      <c r="Z56">
        <v>20099229</v>
      </c>
    </row>
    <row r="57" spans="1:26" x14ac:dyDescent="0.25">
      <c r="A57" t="s">
        <v>206</v>
      </c>
      <c r="B57" t="s">
        <v>194</v>
      </c>
      <c r="C57" t="s">
        <v>207</v>
      </c>
      <c r="D57">
        <v>156638330</v>
      </c>
      <c r="E57">
        <v>-1695180</v>
      </c>
      <c r="F57">
        <v>154943150</v>
      </c>
      <c r="G57">
        <v>40086.14</v>
      </c>
      <c r="H57">
        <v>27</v>
      </c>
      <c r="I57">
        <v>2.1840000000000002</v>
      </c>
      <c r="J57">
        <v>24.815999999999999</v>
      </c>
      <c r="K57">
        <v>0</v>
      </c>
      <c r="L57">
        <v>0</v>
      </c>
      <c r="M57">
        <v>0</v>
      </c>
      <c r="N57">
        <v>0</v>
      </c>
      <c r="O57">
        <v>26.646999999999998</v>
      </c>
      <c r="P57">
        <v>0.26900000000000002</v>
      </c>
      <c r="Q57">
        <v>51.731999999999992</v>
      </c>
      <c r="R57">
        <v>0</v>
      </c>
      <c r="S57">
        <v>0</v>
      </c>
      <c r="T57">
        <v>0</v>
      </c>
      <c r="U57">
        <v>0</v>
      </c>
      <c r="V57">
        <v>0</v>
      </c>
      <c r="W57">
        <v>51.731999999999992</v>
      </c>
      <c r="X57">
        <v>90.641000000000005</v>
      </c>
      <c r="Y57">
        <v>13749223.98</v>
      </c>
      <c r="Z57">
        <v>9703326</v>
      </c>
    </row>
    <row r="58" spans="1:26" x14ac:dyDescent="0.25">
      <c r="A58" t="s">
        <v>208</v>
      </c>
      <c r="B58" t="s">
        <v>194</v>
      </c>
      <c r="C58" t="s">
        <v>209</v>
      </c>
      <c r="D58">
        <v>2261480790</v>
      </c>
      <c r="E58">
        <v>-35824740</v>
      </c>
      <c r="F58">
        <v>2225656050</v>
      </c>
      <c r="G58">
        <v>592786.97</v>
      </c>
      <c r="H58">
        <v>27</v>
      </c>
      <c r="I58">
        <v>0</v>
      </c>
      <c r="J58">
        <v>27</v>
      </c>
      <c r="K58">
        <v>0</v>
      </c>
      <c r="L58">
        <v>0</v>
      </c>
      <c r="M58">
        <v>0</v>
      </c>
      <c r="N58">
        <v>0</v>
      </c>
      <c r="O58">
        <v>12.019</v>
      </c>
      <c r="P58">
        <v>0.26300000000000001</v>
      </c>
      <c r="Q58">
        <v>39.281999999999996</v>
      </c>
      <c r="R58">
        <v>13.747999999999999</v>
      </c>
      <c r="S58">
        <v>0</v>
      </c>
      <c r="T58">
        <v>0</v>
      </c>
      <c r="U58">
        <v>0</v>
      </c>
      <c r="V58">
        <v>0</v>
      </c>
      <c r="W58">
        <v>39.281999999999996</v>
      </c>
      <c r="X58">
        <v>105.51</v>
      </c>
      <c r="Y58">
        <v>241200626.87</v>
      </c>
      <c r="Z58">
        <v>174958813</v>
      </c>
    </row>
    <row r="59" spans="1:26" x14ac:dyDescent="0.25">
      <c r="A59" t="s">
        <v>210</v>
      </c>
      <c r="B59" t="s">
        <v>194</v>
      </c>
      <c r="C59" t="s">
        <v>211</v>
      </c>
      <c r="D59">
        <v>46391220</v>
      </c>
      <c r="E59">
        <v>0</v>
      </c>
      <c r="F59">
        <v>46391220</v>
      </c>
      <c r="G59">
        <v>125.19</v>
      </c>
      <c r="H59">
        <v>27</v>
      </c>
      <c r="I59">
        <v>0</v>
      </c>
      <c r="J59">
        <v>27</v>
      </c>
      <c r="K59">
        <v>0</v>
      </c>
      <c r="L59">
        <v>0</v>
      </c>
      <c r="M59">
        <v>0</v>
      </c>
      <c r="N59">
        <v>0</v>
      </c>
      <c r="O59">
        <v>0</v>
      </c>
      <c r="P59">
        <v>0</v>
      </c>
      <c r="Q59">
        <v>27</v>
      </c>
      <c r="R59">
        <v>3</v>
      </c>
      <c r="S59">
        <v>0</v>
      </c>
      <c r="T59">
        <v>0</v>
      </c>
      <c r="U59">
        <v>0</v>
      </c>
      <c r="V59">
        <v>0</v>
      </c>
      <c r="W59">
        <v>27</v>
      </c>
      <c r="X59">
        <v>224.321</v>
      </c>
      <c r="Y59">
        <v>10547333.800000001</v>
      </c>
      <c r="Z59">
        <v>9121287</v>
      </c>
    </row>
    <row r="60" spans="1:26" x14ac:dyDescent="0.25">
      <c r="A60" t="s">
        <v>212</v>
      </c>
      <c r="B60" t="s">
        <v>194</v>
      </c>
      <c r="C60" t="s">
        <v>213</v>
      </c>
      <c r="D60">
        <v>59801070</v>
      </c>
      <c r="E60">
        <v>0</v>
      </c>
      <c r="F60">
        <v>59801070</v>
      </c>
      <c r="G60">
        <v>944.88</v>
      </c>
      <c r="H60">
        <v>27</v>
      </c>
      <c r="I60">
        <v>3.581</v>
      </c>
      <c r="J60">
        <v>23.419</v>
      </c>
      <c r="K60">
        <v>0</v>
      </c>
      <c r="L60">
        <v>0</v>
      </c>
      <c r="M60">
        <v>0</v>
      </c>
      <c r="N60">
        <v>0</v>
      </c>
      <c r="O60">
        <v>7</v>
      </c>
      <c r="P60">
        <v>1.6E-2</v>
      </c>
      <c r="Q60">
        <v>30.434999999999999</v>
      </c>
      <c r="R60">
        <v>0</v>
      </c>
      <c r="S60">
        <v>0</v>
      </c>
      <c r="T60">
        <v>0</v>
      </c>
      <c r="U60">
        <v>0</v>
      </c>
      <c r="V60">
        <v>0</v>
      </c>
      <c r="W60">
        <v>30.434999999999999</v>
      </c>
      <c r="X60">
        <v>105.428</v>
      </c>
      <c r="Y60">
        <v>6471912.9199999999</v>
      </c>
      <c r="Z60">
        <v>4931895</v>
      </c>
    </row>
    <row r="61" spans="1:26" x14ac:dyDescent="0.25">
      <c r="A61" t="s">
        <v>214</v>
      </c>
      <c r="B61" t="s">
        <v>194</v>
      </c>
      <c r="C61" t="s">
        <v>215</v>
      </c>
      <c r="D61">
        <v>50043030</v>
      </c>
      <c r="E61">
        <v>0</v>
      </c>
      <c r="F61">
        <v>50043030</v>
      </c>
      <c r="G61">
        <v>31859.360000000001</v>
      </c>
      <c r="H61">
        <v>26.126000000000001</v>
      </c>
      <c r="I61">
        <v>15.695</v>
      </c>
      <c r="J61">
        <v>10.433</v>
      </c>
      <c r="K61">
        <v>0</v>
      </c>
      <c r="L61">
        <v>0</v>
      </c>
      <c r="M61">
        <v>0</v>
      </c>
      <c r="N61">
        <v>0</v>
      </c>
      <c r="O61">
        <v>0</v>
      </c>
      <c r="P61">
        <v>0.63700000000000001</v>
      </c>
      <c r="Q61">
        <v>11.07</v>
      </c>
      <c r="R61">
        <v>18.75</v>
      </c>
      <c r="S61">
        <v>0</v>
      </c>
      <c r="T61">
        <v>0</v>
      </c>
      <c r="U61">
        <v>0</v>
      </c>
      <c r="V61">
        <v>0</v>
      </c>
      <c r="W61">
        <v>11.07</v>
      </c>
      <c r="X61">
        <v>79.539000000000001</v>
      </c>
      <c r="Y61">
        <v>3998617.75</v>
      </c>
      <c r="Z61">
        <v>3435063</v>
      </c>
    </row>
    <row r="62" spans="1:26" x14ac:dyDescent="0.25">
      <c r="A62" t="s">
        <v>216</v>
      </c>
      <c r="B62" t="s">
        <v>194</v>
      </c>
      <c r="C62" t="s">
        <v>217</v>
      </c>
      <c r="D62">
        <v>701201010</v>
      </c>
      <c r="E62">
        <v>0</v>
      </c>
      <c r="F62">
        <v>701201010</v>
      </c>
      <c r="G62">
        <v>142503.29</v>
      </c>
      <c r="H62">
        <v>27</v>
      </c>
      <c r="I62">
        <v>1.8360000000000001</v>
      </c>
      <c r="J62">
        <v>25.164000000000001</v>
      </c>
      <c r="K62">
        <v>0</v>
      </c>
      <c r="L62">
        <v>0</v>
      </c>
      <c r="M62">
        <v>0</v>
      </c>
      <c r="N62">
        <v>0</v>
      </c>
      <c r="O62">
        <v>5.7039999999999997</v>
      </c>
      <c r="P62">
        <v>0.20300000000000001</v>
      </c>
      <c r="Q62">
        <v>31.071000000000002</v>
      </c>
      <c r="R62">
        <v>9.4290000000000003</v>
      </c>
      <c r="S62">
        <v>0</v>
      </c>
      <c r="T62">
        <v>0</v>
      </c>
      <c r="U62">
        <v>0</v>
      </c>
      <c r="V62">
        <v>0</v>
      </c>
      <c r="W62">
        <v>31.071000000000002</v>
      </c>
      <c r="X62">
        <v>83.971000000000004</v>
      </c>
      <c r="Y62">
        <v>60558049.659999996</v>
      </c>
      <c r="Z62">
        <v>41250801</v>
      </c>
    </row>
    <row r="63" spans="1:26" x14ac:dyDescent="0.25">
      <c r="A63" t="s">
        <v>218</v>
      </c>
      <c r="B63" t="s">
        <v>194</v>
      </c>
      <c r="C63" t="s">
        <v>219</v>
      </c>
      <c r="D63">
        <v>1314377980</v>
      </c>
      <c r="E63">
        <v>0</v>
      </c>
      <c r="F63">
        <v>1314377980</v>
      </c>
      <c r="G63">
        <v>262753.68</v>
      </c>
      <c r="H63">
        <v>27</v>
      </c>
      <c r="I63">
        <v>0.54100000000000004</v>
      </c>
      <c r="J63">
        <v>26.459</v>
      </c>
      <c r="K63">
        <v>0</v>
      </c>
      <c r="L63">
        <v>0</v>
      </c>
      <c r="M63">
        <v>0</v>
      </c>
      <c r="N63">
        <v>0</v>
      </c>
      <c r="O63">
        <v>18.5</v>
      </c>
      <c r="P63">
        <v>0.2</v>
      </c>
      <c r="Q63">
        <v>45.159000000000006</v>
      </c>
      <c r="R63">
        <v>0</v>
      </c>
      <c r="S63">
        <v>0</v>
      </c>
      <c r="T63">
        <v>0</v>
      </c>
      <c r="U63">
        <v>0</v>
      </c>
      <c r="V63">
        <v>0</v>
      </c>
      <c r="W63">
        <v>45.159000000000006</v>
      </c>
      <c r="X63">
        <v>219.309</v>
      </c>
      <c r="Y63">
        <v>291654956.88</v>
      </c>
      <c r="Z63">
        <v>253723597</v>
      </c>
    </row>
    <row r="64" spans="1:26" x14ac:dyDescent="0.25">
      <c r="A64" t="s">
        <v>220</v>
      </c>
      <c r="B64" t="s">
        <v>194</v>
      </c>
      <c r="C64" t="s">
        <v>221</v>
      </c>
      <c r="D64">
        <v>7403567</v>
      </c>
      <c r="E64">
        <v>0</v>
      </c>
      <c r="F64">
        <v>7403567</v>
      </c>
      <c r="G64">
        <v>803.75</v>
      </c>
      <c r="H64">
        <v>27</v>
      </c>
      <c r="I64">
        <v>0</v>
      </c>
      <c r="J64">
        <v>27</v>
      </c>
      <c r="K64">
        <v>0</v>
      </c>
      <c r="L64">
        <v>0</v>
      </c>
      <c r="M64">
        <v>0</v>
      </c>
      <c r="N64">
        <v>0</v>
      </c>
      <c r="O64">
        <v>0</v>
      </c>
      <c r="P64">
        <v>2.1999999999999999E-2</v>
      </c>
      <c r="Q64">
        <v>27.021999999999998</v>
      </c>
      <c r="R64">
        <v>4.3220000000000001</v>
      </c>
      <c r="S64">
        <v>0</v>
      </c>
      <c r="T64">
        <v>0</v>
      </c>
      <c r="U64">
        <v>0</v>
      </c>
      <c r="V64">
        <v>0</v>
      </c>
      <c r="W64">
        <v>27.021999999999998</v>
      </c>
      <c r="X64">
        <v>375.05900000000003</v>
      </c>
      <c r="Y64">
        <v>2792311.05</v>
      </c>
      <c r="Z64">
        <v>2579371</v>
      </c>
    </row>
    <row r="65" spans="1:26" x14ac:dyDescent="0.25">
      <c r="A65" t="s">
        <v>222</v>
      </c>
      <c r="B65" t="s">
        <v>194</v>
      </c>
      <c r="C65" t="s">
        <v>223</v>
      </c>
      <c r="D65">
        <v>36326653</v>
      </c>
      <c r="E65">
        <v>0</v>
      </c>
      <c r="F65">
        <v>36326653</v>
      </c>
      <c r="G65">
        <v>4500.99</v>
      </c>
      <c r="H65">
        <v>27</v>
      </c>
      <c r="I65">
        <v>4.1660000000000004</v>
      </c>
      <c r="J65">
        <v>22.834</v>
      </c>
      <c r="K65">
        <v>0</v>
      </c>
      <c r="L65">
        <v>0</v>
      </c>
      <c r="M65">
        <v>0</v>
      </c>
      <c r="N65">
        <v>0</v>
      </c>
      <c r="O65">
        <v>0</v>
      </c>
      <c r="P65">
        <v>0</v>
      </c>
      <c r="Q65">
        <v>22.834</v>
      </c>
      <c r="R65">
        <v>4.4560000000000004</v>
      </c>
      <c r="S65">
        <v>0</v>
      </c>
      <c r="T65">
        <v>0</v>
      </c>
      <c r="U65">
        <v>0</v>
      </c>
      <c r="V65">
        <v>0</v>
      </c>
      <c r="W65">
        <v>22.834</v>
      </c>
      <c r="X65">
        <v>0</v>
      </c>
      <c r="Y65">
        <v>4032044.62</v>
      </c>
      <c r="Z65">
        <v>3140149</v>
      </c>
    </row>
    <row r="66" spans="1:26" x14ac:dyDescent="0.25">
      <c r="A66" t="s">
        <v>224</v>
      </c>
      <c r="B66" t="s">
        <v>225</v>
      </c>
      <c r="C66" t="s">
        <v>226</v>
      </c>
      <c r="D66">
        <v>313729238</v>
      </c>
      <c r="E66">
        <v>-400597</v>
      </c>
      <c r="F66">
        <v>313328641</v>
      </c>
      <c r="G66">
        <v>0</v>
      </c>
      <c r="H66">
        <v>27</v>
      </c>
      <c r="I66">
        <v>0</v>
      </c>
      <c r="J66">
        <v>27</v>
      </c>
      <c r="K66">
        <v>0</v>
      </c>
      <c r="L66">
        <v>0</v>
      </c>
      <c r="M66">
        <v>0</v>
      </c>
      <c r="N66">
        <v>0</v>
      </c>
      <c r="O66">
        <v>4.42</v>
      </c>
      <c r="P66">
        <v>0</v>
      </c>
      <c r="Q66">
        <v>31.42</v>
      </c>
      <c r="R66">
        <v>12.287000000000001</v>
      </c>
      <c r="S66">
        <v>0</v>
      </c>
      <c r="T66">
        <v>0</v>
      </c>
      <c r="U66">
        <v>0</v>
      </c>
      <c r="V66">
        <v>0</v>
      </c>
      <c r="W66">
        <v>31.42</v>
      </c>
      <c r="X66">
        <v>101.375</v>
      </c>
      <c r="Y66">
        <v>32974807.34</v>
      </c>
      <c r="Z66">
        <v>23296555</v>
      </c>
    </row>
    <row r="67" spans="1:26" x14ac:dyDescent="0.25">
      <c r="A67" t="s">
        <v>227</v>
      </c>
      <c r="B67" t="s">
        <v>225</v>
      </c>
      <c r="C67" t="s">
        <v>228</v>
      </c>
      <c r="D67">
        <v>169808986</v>
      </c>
      <c r="E67">
        <v>0</v>
      </c>
      <c r="F67">
        <v>169808986</v>
      </c>
      <c r="G67">
        <v>5.29</v>
      </c>
      <c r="H67">
        <v>27</v>
      </c>
      <c r="I67">
        <v>9.7970000000000006</v>
      </c>
      <c r="J67">
        <v>17.202999999999999</v>
      </c>
      <c r="K67">
        <v>0</v>
      </c>
      <c r="L67">
        <v>0</v>
      </c>
      <c r="M67">
        <v>0</v>
      </c>
      <c r="N67">
        <v>0</v>
      </c>
      <c r="O67">
        <v>2.0609999999999999</v>
      </c>
      <c r="P67">
        <v>0</v>
      </c>
      <c r="Q67">
        <v>19.263999999999999</v>
      </c>
      <c r="R67">
        <v>11.118</v>
      </c>
      <c r="S67">
        <v>0</v>
      </c>
      <c r="T67">
        <v>0</v>
      </c>
      <c r="U67">
        <v>0</v>
      </c>
      <c r="V67">
        <v>0</v>
      </c>
      <c r="W67">
        <v>19.263999999999999</v>
      </c>
      <c r="X67">
        <v>77.650999999999996</v>
      </c>
      <c r="Y67">
        <v>13431519.279999999</v>
      </c>
      <c r="Z67">
        <v>10263748</v>
      </c>
    </row>
    <row r="68" spans="1:26" x14ac:dyDescent="0.25">
      <c r="A68" t="s">
        <v>229</v>
      </c>
      <c r="B68" t="s">
        <v>225</v>
      </c>
      <c r="C68" t="s">
        <v>230</v>
      </c>
      <c r="D68">
        <v>76843061</v>
      </c>
      <c r="E68">
        <v>0</v>
      </c>
      <c r="F68">
        <v>76843061</v>
      </c>
      <c r="G68">
        <v>0</v>
      </c>
      <c r="H68">
        <v>27</v>
      </c>
      <c r="I68">
        <v>3.298</v>
      </c>
      <c r="J68">
        <v>23.702000000000002</v>
      </c>
      <c r="K68">
        <v>0</v>
      </c>
      <c r="L68">
        <v>0</v>
      </c>
      <c r="M68">
        <v>0</v>
      </c>
      <c r="N68">
        <v>0</v>
      </c>
      <c r="O68">
        <v>2</v>
      </c>
      <c r="P68">
        <v>0</v>
      </c>
      <c r="Q68">
        <v>25.702000000000002</v>
      </c>
      <c r="R68">
        <v>0</v>
      </c>
      <c r="S68">
        <v>0</v>
      </c>
      <c r="T68">
        <v>0</v>
      </c>
      <c r="U68">
        <v>0</v>
      </c>
      <c r="V68">
        <v>0</v>
      </c>
      <c r="W68">
        <v>25.702000000000002</v>
      </c>
      <c r="X68">
        <v>39.726999999999997</v>
      </c>
      <c r="Y68">
        <v>3313669.31</v>
      </c>
      <c r="Z68">
        <v>1237409</v>
      </c>
    </row>
    <row r="69" spans="1:26" x14ac:dyDescent="0.25">
      <c r="A69" t="s">
        <v>231</v>
      </c>
      <c r="B69" t="s">
        <v>232</v>
      </c>
      <c r="C69" t="s">
        <v>233</v>
      </c>
      <c r="D69">
        <v>1274072300</v>
      </c>
      <c r="E69">
        <v>-4323700</v>
      </c>
      <c r="F69">
        <v>1269748600</v>
      </c>
      <c r="G69">
        <v>151370.57999999999</v>
      </c>
      <c r="H69">
        <v>27</v>
      </c>
      <c r="I69">
        <v>3.2410000000000001</v>
      </c>
      <c r="J69">
        <v>23.759</v>
      </c>
      <c r="K69">
        <v>0</v>
      </c>
      <c r="L69">
        <v>0</v>
      </c>
      <c r="M69">
        <v>0</v>
      </c>
      <c r="N69">
        <v>0</v>
      </c>
      <c r="O69">
        <v>13.101000000000001</v>
      </c>
      <c r="P69">
        <v>7.0999999999999994E-2</v>
      </c>
      <c r="Q69">
        <v>36.930999999999997</v>
      </c>
      <c r="R69">
        <v>10.468999999999999</v>
      </c>
      <c r="S69">
        <v>0</v>
      </c>
      <c r="T69">
        <v>0</v>
      </c>
      <c r="U69">
        <v>0</v>
      </c>
      <c r="V69">
        <v>0</v>
      </c>
      <c r="W69">
        <v>36.930999999999997</v>
      </c>
      <c r="X69">
        <v>45.942999999999998</v>
      </c>
      <c r="Y69">
        <v>63425868.539999999</v>
      </c>
      <c r="Z69">
        <v>26274638</v>
      </c>
    </row>
    <row r="70" spans="1:26" x14ac:dyDescent="0.25">
      <c r="A70" t="s">
        <v>234</v>
      </c>
      <c r="B70" t="s">
        <v>232</v>
      </c>
      <c r="C70" t="s">
        <v>235</v>
      </c>
      <c r="D70">
        <v>958617310</v>
      </c>
      <c r="E70">
        <v>-1975700</v>
      </c>
      <c r="F70">
        <v>956641610</v>
      </c>
      <c r="G70">
        <v>22171.54</v>
      </c>
      <c r="H70">
        <v>16.282</v>
      </c>
      <c r="I70">
        <v>9.5820000000000007</v>
      </c>
      <c r="J70">
        <v>6.7</v>
      </c>
      <c r="K70">
        <v>0</v>
      </c>
      <c r="L70">
        <v>0</v>
      </c>
      <c r="M70">
        <v>0</v>
      </c>
      <c r="N70">
        <v>0</v>
      </c>
      <c r="O70">
        <v>9.6159999999999997</v>
      </c>
      <c r="P70">
        <v>2.3E-2</v>
      </c>
      <c r="Q70">
        <v>16.338999999999999</v>
      </c>
      <c r="R70">
        <v>8.9770000000000003</v>
      </c>
      <c r="S70">
        <v>0</v>
      </c>
      <c r="T70">
        <v>0</v>
      </c>
      <c r="U70">
        <v>0</v>
      </c>
      <c r="V70">
        <v>0</v>
      </c>
      <c r="W70">
        <v>16.338999999999999</v>
      </c>
      <c r="X70">
        <v>46.587000000000003</v>
      </c>
      <c r="Y70">
        <v>44729359.560000002</v>
      </c>
      <c r="Z70">
        <v>38070535</v>
      </c>
    </row>
    <row r="71" spans="1:26" x14ac:dyDescent="0.25">
      <c r="A71" t="s">
        <v>236</v>
      </c>
      <c r="B71" t="s">
        <v>232</v>
      </c>
      <c r="C71" t="s">
        <v>237</v>
      </c>
      <c r="D71">
        <v>902625740</v>
      </c>
      <c r="E71">
        <v>0</v>
      </c>
      <c r="F71">
        <v>902625740</v>
      </c>
      <c r="G71">
        <v>8561.52</v>
      </c>
      <c r="H71">
        <v>4.3949999999999996</v>
      </c>
      <c r="I71">
        <v>0.16400000000000001</v>
      </c>
      <c r="J71">
        <v>4.2309999999999999</v>
      </c>
      <c r="K71">
        <v>0</v>
      </c>
      <c r="L71">
        <v>0</v>
      </c>
      <c r="M71">
        <v>0</v>
      </c>
      <c r="N71">
        <v>0</v>
      </c>
      <c r="O71">
        <v>2.4009999999999998</v>
      </c>
      <c r="P71">
        <v>8.9999999999999993E-3</v>
      </c>
      <c r="Q71">
        <v>6.641</v>
      </c>
      <c r="R71">
        <v>6.093</v>
      </c>
      <c r="S71">
        <v>0</v>
      </c>
      <c r="T71">
        <v>0</v>
      </c>
      <c r="U71">
        <v>0</v>
      </c>
      <c r="V71">
        <v>0</v>
      </c>
      <c r="W71">
        <v>6.641</v>
      </c>
      <c r="X71">
        <v>14.616</v>
      </c>
      <c r="Y71">
        <v>13294531.24</v>
      </c>
      <c r="Z71">
        <v>9377266</v>
      </c>
    </row>
    <row r="72" spans="1:26" x14ac:dyDescent="0.25">
      <c r="A72" t="s">
        <v>238</v>
      </c>
      <c r="B72" t="s">
        <v>239</v>
      </c>
      <c r="C72" t="s">
        <v>239</v>
      </c>
      <c r="D72">
        <v>380220813</v>
      </c>
      <c r="E72">
        <v>0</v>
      </c>
      <c r="F72">
        <v>380220813</v>
      </c>
      <c r="G72">
        <v>2786.9900000000002</v>
      </c>
      <c r="H72">
        <v>8.6059999999999999</v>
      </c>
      <c r="I72">
        <v>2.5310000000000001</v>
      </c>
      <c r="J72">
        <v>6.0750000000000002</v>
      </c>
      <c r="K72">
        <v>0</v>
      </c>
      <c r="L72">
        <v>0</v>
      </c>
      <c r="M72">
        <v>0</v>
      </c>
      <c r="N72">
        <v>0</v>
      </c>
      <c r="O72">
        <v>2.464</v>
      </c>
      <c r="P72">
        <v>7.0000000000000001E-3</v>
      </c>
      <c r="Q72">
        <v>8.5459999999999994</v>
      </c>
      <c r="R72">
        <v>0</v>
      </c>
      <c r="S72">
        <v>0.36199999999999999</v>
      </c>
      <c r="T72">
        <v>0</v>
      </c>
      <c r="U72">
        <v>0</v>
      </c>
      <c r="V72">
        <v>0</v>
      </c>
      <c r="W72">
        <v>8.9079999999999995</v>
      </c>
      <c r="X72">
        <v>8.9109999999999996</v>
      </c>
      <c r="Y72">
        <v>5108189.07</v>
      </c>
      <c r="Z72">
        <v>2638857</v>
      </c>
    </row>
    <row r="73" spans="1:26" x14ac:dyDescent="0.25">
      <c r="A73" t="s">
        <v>240</v>
      </c>
      <c r="B73" t="s">
        <v>241</v>
      </c>
      <c r="C73" t="s">
        <v>242</v>
      </c>
      <c r="D73">
        <v>122823480</v>
      </c>
      <c r="E73">
        <v>0</v>
      </c>
      <c r="F73">
        <v>122823480</v>
      </c>
      <c r="G73">
        <v>3576.8199999999997</v>
      </c>
      <c r="H73">
        <v>13.811</v>
      </c>
      <c r="I73">
        <v>0</v>
      </c>
      <c r="J73">
        <v>13.811</v>
      </c>
      <c r="K73">
        <v>0</v>
      </c>
      <c r="L73">
        <v>0</v>
      </c>
      <c r="M73">
        <v>0</v>
      </c>
      <c r="N73">
        <v>0</v>
      </c>
      <c r="O73">
        <v>8.9559999999999995</v>
      </c>
      <c r="P73">
        <v>2.3E-2</v>
      </c>
      <c r="Q73">
        <v>22.79</v>
      </c>
      <c r="R73">
        <v>7.2009999999999996</v>
      </c>
      <c r="S73">
        <v>0</v>
      </c>
      <c r="T73">
        <v>0</v>
      </c>
      <c r="U73">
        <v>0</v>
      </c>
      <c r="V73">
        <v>0</v>
      </c>
      <c r="W73">
        <v>22.79</v>
      </c>
      <c r="X73">
        <v>40.435000000000002</v>
      </c>
      <c r="Y73">
        <v>5105332.01</v>
      </c>
      <c r="Z73">
        <v>3002692.6</v>
      </c>
    </row>
    <row r="74" spans="1:26" x14ac:dyDescent="0.25">
      <c r="A74" t="s">
        <v>243</v>
      </c>
      <c r="B74" t="s">
        <v>241</v>
      </c>
      <c r="C74" t="s">
        <v>244</v>
      </c>
      <c r="D74">
        <v>831773830</v>
      </c>
      <c r="E74">
        <v>0</v>
      </c>
      <c r="F74">
        <v>831773830</v>
      </c>
      <c r="G74">
        <v>54496.84</v>
      </c>
      <c r="H74">
        <v>12.776999999999999</v>
      </c>
      <c r="I74">
        <v>0</v>
      </c>
      <c r="J74">
        <v>12.776999999999999</v>
      </c>
      <c r="K74">
        <v>0</v>
      </c>
      <c r="L74">
        <v>0</v>
      </c>
      <c r="M74">
        <v>0.94299999999999995</v>
      </c>
      <c r="N74">
        <v>0</v>
      </c>
      <c r="O74">
        <v>2.7770000000000001</v>
      </c>
      <c r="P74">
        <v>6.6000000000000003E-2</v>
      </c>
      <c r="Q74">
        <v>16.562999999999999</v>
      </c>
      <c r="R74">
        <v>7.8</v>
      </c>
      <c r="S74">
        <v>0.36099999999999999</v>
      </c>
      <c r="T74">
        <v>0</v>
      </c>
      <c r="U74">
        <v>0</v>
      </c>
      <c r="V74">
        <v>0</v>
      </c>
      <c r="W74">
        <v>16.923999999999999</v>
      </c>
      <c r="X74">
        <v>14.66</v>
      </c>
      <c r="Y74">
        <v>12919929.119999999</v>
      </c>
      <c r="Z74">
        <v>1565573</v>
      </c>
    </row>
    <row r="75" spans="1:26" x14ac:dyDescent="0.25">
      <c r="A75" t="s">
        <v>245</v>
      </c>
      <c r="B75" t="s">
        <v>246</v>
      </c>
      <c r="C75" t="s">
        <v>246</v>
      </c>
      <c r="D75">
        <v>777517113</v>
      </c>
      <c r="E75">
        <v>-13915920</v>
      </c>
      <c r="F75">
        <v>763601193</v>
      </c>
      <c r="G75">
        <v>43700</v>
      </c>
      <c r="H75">
        <v>15.736000000000001</v>
      </c>
      <c r="I75">
        <v>0</v>
      </c>
      <c r="J75">
        <v>15.736000000000001</v>
      </c>
      <c r="K75">
        <v>0</v>
      </c>
      <c r="L75">
        <v>0</v>
      </c>
      <c r="M75">
        <v>0</v>
      </c>
      <c r="N75">
        <v>0</v>
      </c>
      <c r="O75">
        <v>4.9749999999999996</v>
      </c>
      <c r="P75">
        <v>5.7000000000000002E-2</v>
      </c>
      <c r="Q75">
        <v>20.767999999999997</v>
      </c>
      <c r="R75">
        <v>12.23</v>
      </c>
      <c r="S75">
        <v>0</v>
      </c>
      <c r="T75">
        <v>0</v>
      </c>
      <c r="U75">
        <v>0</v>
      </c>
      <c r="V75">
        <v>0</v>
      </c>
      <c r="W75">
        <v>20.767999999999997</v>
      </c>
      <c r="X75">
        <v>25.154</v>
      </c>
      <c r="Y75">
        <v>19975143.93</v>
      </c>
      <c r="Z75">
        <v>7196020</v>
      </c>
    </row>
    <row r="76" spans="1:26" x14ac:dyDescent="0.25">
      <c r="A76" t="s">
        <v>247</v>
      </c>
      <c r="B76" t="s">
        <v>248</v>
      </c>
      <c r="C76" t="s">
        <v>248</v>
      </c>
      <c r="D76">
        <v>56488630</v>
      </c>
      <c r="E76">
        <v>0</v>
      </c>
      <c r="F76">
        <v>56488630</v>
      </c>
      <c r="G76">
        <v>0</v>
      </c>
      <c r="H76">
        <v>19.067</v>
      </c>
      <c r="I76">
        <v>0.46800000000000003</v>
      </c>
      <c r="J76">
        <v>18.599</v>
      </c>
      <c r="K76">
        <v>0</v>
      </c>
      <c r="L76">
        <v>0</v>
      </c>
      <c r="M76">
        <v>0</v>
      </c>
      <c r="N76">
        <v>0</v>
      </c>
      <c r="O76">
        <v>0</v>
      </c>
      <c r="P76">
        <v>0</v>
      </c>
      <c r="Q76">
        <v>18.599</v>
      </c>
      <c r="R76">
        <v>5.6449999999999996</v>
      </c>
      <c r="S76">
        <v>0</v>
      </c>
      <c r="T76">
        <v>0</v>
      </c>
      <c r="U76">
        <v>0</v>
      </c>
      <c r="V76">
        <v>0</v>
      </c>
      <c r="W76">
        <v>18.599</v>
      </c>
      <c r="X76">
        <v>27.123000000000001</v>
      </c>
      <c r="Y76">
        <v>1619685.66</v>
      </c>
      <c r="Z76">
        <v>481686</v>
      </c>
    </row>
    <row r="77" spans="1:26" x14ac:dyDescent="0.25">
      <c r="A77" t="s">
        <v>249</v>
      </c>
      <c r="B77" t="s">
        <v>250</v>
      </c>
      <c r="C77" t="s">
        <v>250</v>
      </c>
      <c r="D77">
        <v>112754331</v>
      </c>
      <c r="E77">
        <v>-338856</v>
      </c>
      <c r="F77">
        <v>112415475</v>
      </c>
      <c r="G77">
        <v>15867.87</v>
      </c>
      <c r="H77">
        <v>27</v>
      </c>
      <c r="I77">
        <v>1.2190000000000001</v>
      </c>
      <c r="J77">
        <v>25.780999999999999</v>
      </c>
      <c r="K77">
        <v>0</v>
      </c>
      <c r="L77">
        <v>0</v>
      </c>
      <c r="M77">
        <v>0</v>
      </c>
      <c r="N77">
        <v>0</v>
      </c>
      <c r="O77">
        <v>0</v>
      </c>
      <c r="P77">
        <v>0.14099999999999999</v>
      </c>
      <c r="Q77">
        <v>25.921999999999997</v>
      </c>
      <c r="R77">
        <v>9.532</v>
      </c>
      <c r="S77">
        <v>0</v>
      </c>
      <c r="T77">
        <v>0</v>
      </c>
      <c r="U77">
        <v>0</v>
      </c>
      <c r="V77">
        <v>0</v>
      </c>
      <c r="W77">
        <v>25.921999999999997</v>
      </c>
      <c r="X77">
        <v>50.658000000000001</v>
      </c>
      <c r="Y77">
        <v>5673908.8499999996</v>
      </c>
      <c r="Z77">
        <v>2647960</v>
      </c>
    </row>
    <row r="78" spans="1:26" x14ac:dyDescent="0.25">
      <c r="A78" t="s">
        <v>251</v>
      </c>
      <c r="B78" t="s">
        <v>250</v>
      </c>
      <c r="C78" t="s">
        <v>252</v>
      </c>
      <c r="D78">
        <v>33389183</v>
      </c>
      <c r="E78">
        <v>0</v>
      </c>
      <c r="F78">
        <v>33389183</v>
      </c>
      <c r="G78">
        <v>0</v>
      </c>
      <c r="H78">
        <v>27</v>
      </c>
      <c r="I78">
        <v>0</v>
      </c>
      <c r="J78">
        <v>27</v>
      </c>
      <c r="K78">
        <v>0</v>
      </c>
      <c r="L78">
        <v>0</v>
      </c>
      <c r="M78">
        <v>0</v>
      </c>
      <c r="N78">
        <v>0</v>
      </c>
      <c r="O78">
        <v>0</v>
      </c>
      <c r="P78">
        <v>0</v>
      </c>
      <c r="Q78">
        <v>27</v>
      </c>
      <c r="R78">
        <v>13.417999999999999</v>
      </c>
      <c r="S78">
        <v>0</v>
      </c>
      <c r="T78">
        <v>0</v>
      </c>
      <c r="U78">
        <v>0</v>
      </c>
      <c r="V78">
        <v>0</v>
      </c>
      <c r="W78">
        <v>27</v>
      </c>
      <c r="X78">
        <v>95.105999999999995</v>
      </c>
      <c r="Y78">
        <v>3129044.67</v>
      </c>
      <c r="Z78">
        <v>2168737</v>
      </c>
    </row>
    <row r="79" spans="1:26" x14ac:dyDescent="0.25">
      <c r="A79" t="s">
        <v>253</v>
      </c>
      <c r="B79" t="s">
        <v>254</v>
      </c>
      <c r="C79" t="s">
        <v>255</v>
      </c>
      <c r="D79">
        <v>88632077</v>
      </c>
      <c r="E79">
        <v>0</v>
      </c>
      <c r="F79">
        <v>88632077</v>
      </c>
      <c r="G79">
        <v>22579.100000000002</v>
      </c>
      <c r="H79">
        <v>23.041</v>
      </c>
      <c r="I79">
        <v>0</v>
      </c>
      <c r="J79">
        <v>23.041</v>
      </c>
      <c r="K79">
        <v>0</v>
      </c>
      <c r="L79">
        <v>0</v>
      </c>
      <c r="M79">
        <v>0</v>
      </c>
      <c r="N79">
        <v>0</v>
      </c>
      <c r="O79">
        <v>0</v>
      </c>
      <c r="P79">
        <v>0.254</v>
      </c>
      <c r="Q79">
        <v>23.295000000000002</v>
      </c>
      <c r="R79">
        <v>0</v>
      </c>
      <c r="S79">
        <v>0</v>
      </c>
      <c r="T79">
        <v>0</v>
      </c>
      <c r="U79">
        <v>0</v>
      </c>
      <c r="V79">
        <v>0</v>
      </c>
      <c r="W79">
        <v>23.295000000000002</v>
      </c>
      <c r="X79">
        <v>27.652999999999999</v>
      </c>
      <c r="Y79">
        <v>2784567.23</v>
      </c>
      <c r="Z79">
        <v>408646</v>
      </c>
    </row>
    <row r="80" spans="1:26" x14ac:dyDescent="0.25">
      <c r="A80" t="s">
        <v>256</v>
      </c>
      <c r="B80" t="s">
        <v>257</v>
      </c>
      <c r="C80" t="s">
        <v>257</v>
      </c>
      <c r="D80">
        <v>12028500067</v>
      </c>
      <c r="E80">
        <v>-514769570</v>
      </c>
      <c r="F80">
        <v>11513730497</v>
      </c>
      <c r="G80">
        <v>2536630.61</v>
      </c>
      <c r="H80">
        <v>27</v>
      </c>
      <c r="I80">
        <v>0</v>
      </c>
      <c r="J80">
        <v>27</v>
      </c>
      <c r="K80">
        <v>0</v>
      </c>
      <c r="L80">
        <v>0</v>
      </c>
      <c r="M80">
        <v>0</v>
      </c>
      <c r="N80">
        <v>0</v>
      </c>
      <c r="O80">
        <v>13.007</v>
      </c>
      <c r="P80">
        <v>0.22</v>
      </c>
      <c r="Q80">
        <v>40.226999999999997</v>
      </c>
      <c r="R80">
        <v>5.9059999999999997</v>
      </c>
      <c r="S80">
        <v>0</v>
      </c>
      <c r="T80">
        <v>0</v>
      </c>
      <c r="U80">
        <v>0</v>
      </c>
      <c r="V80">
        <v>0</v>
      </c>
      <c r="W80">
        <v>40.226999999999997</v>
      </c>
      <c r="X80">
        <v>64.701999999999998</v>
      </c>
      <c r="Y80">
        <v>772843770.21000004</v>
      </c>
      <c r="Z80">
        <v>434341832</v>
      </c>
    </row>
    <row r="81" spans="1:26" x14ac:dyDescent="0.25">
      <c r="A81" t="s">
        <v>258</v>
      </c>
      <c r="B81" t="s">
        <v>187</v>
      </c>
      <c r="C81" t="s">
        <v>259</v>
      </c>
      <c r="D81">
        <v>21902220</v>
      </c>
      <c r="E81">
        <v>0</v>
      </c>
      <c r="F81">
        <v>21902220</v>
      </c>
      <c r="G81">
        <v>75.39</v>
      </c>
      <c r="H81">
        <v>27</v>
      </c>
      <c r="I81">
        <v>2.8010000000000002</v>
      </c>
      <c r="J81">
        <v>24.199000000000002</v>
      </c>
      <c r="K81">
        <v>0</v>
      </c>
      <c r="L81">
        <v>0</v>
      </c>
      <c r="M81">
        <v>0</v>
      </c>
      <c r="N81">
        <v>0</v>
      </c>
      <c r="O81">
        <v>0</v>
      </c>
      <c r="P81">
        <v>3.0000000000000001E-3</v>
      </c>
      <c r="Q81">
        <v>24.202000000000002</v>
      </c>
      <c r="R81">
        <v>0</v>
      </c>
      <c r="S81">
        <v>0</v>
      </c>
      <c r="T81">
        <v>0</v>
      </c>
      <c r="U81">
        <v>0</v>
      </c>
      <c r="V81">
        <v>0</v>
      </c>
      <c r="W81">
        <v>24.202000000000002</v>
      </c>
      <c r="X81">
        <v>130.65899999999999</v>
      </c>
      <c r="Y81">
        <v>2950892.52</v>
      </c>
      <c r="Z81">
        <v>2331506</v>
      </c>
    </row>
    <row r="82" spans="1:26" x14ac:dyDescent="0.25">
      <c r="A82" t="s">
        <v>260</v>
      </c>
      <c r="B82" t="s">
        <v>187</v>
      </c>
      <c r="C82" t="s">
        <v>261</v>
      </c>
      <c r="D82">
        <v>17687840</v>
      </c>
      <c r="E82">
        <v>0</v>
      </c>
      <c r="F82">
        <v>17687840</v>
      </c>
      <c r="G82">
        <v>0</v>
      </c>
      <c r="H82">
        <v>27</v>
      </c>
      <c r="I82">
        <v>5.48</v>
      </c>
      <c r="J82">
        <v>21.52</v>
      </c>
      <c r="K82">
        <v>0</v>
      </c>
      <c r="L82">
        <v>0</v>
      </c>
      <c r="M82">
        <v>0</v>
      </c>
      <c r="N82">
        <v>0</v>
      </c>
      <c r="O82">
        <v>0</v>
      </c>
      <c r="P82">
        <v>0</v>
      </c>
      <c r="Q82">
        <v>21.52</v>
      </c>
      <c r="R82">
        <v>0</v>
      </c>
      <c r="S82">
        <v>0</v>
      </c>
      <c r="T82">
        <v>0</v>
      </c>
      <c r="U82">
        <v>0</v>
      </c>
      <c r="V82">
        <v>0</v>
      </c>
      <c r="W82">
        <v>21.52</v>
      </c>
      <c r="X82">
        <v>86.320999999999998</v>
      </c>
      <c r="Y82">
        <v>1590048.84</v>
      </c>
      <c r="Z82">
        <v>1146568</v>
      </c>
    </row>
    <row r="83" spans="1:26" x14ac:dyDescent="0.25">
      <c r="A83" t="s">
        <v>262</v>
      </c>
      <c r="B83" t="s">
        <v>152</v>
      </c>
      <c r="C83" t="s">
        <v>263</v>
      </c>
      <c r="D83">
        <v>42956593</v>
      </c>
      <c r="E83">
        <v>0</v>
      </c>
      <c r="F83">
        <v>42956593</v>
      </c>
      <c r="G83">
        <v>346.54</v>
      </c>
      <c r="H83">
        <v>27</v>
      </c>
      <c r="I83">
        <v>27</v>
      </c>
      <c r="J83">
        <v>27</v>
      </c>
      <c r="K83">
        <v>0</v>
      </c>
      <c r="L83">
        <v>0</v>
      </c>
      <c r="M83">
        <v>0</v>
      </c>
      <c r="N83">
        <v>0</v>
      </c>
      <c r="O83">
        <v>0</v>
      </c>
      <c r="P83">
        <v>0</v>
      </c>
      <c r="Q83">
        <v>27</v>
      </c>
      <c r="R83">
        <v>0</v>
      </c>
      <c r="S83">
        <v>0</v>
      </c>
      <c r="T83">
        <v>0</v>
      </c>
      <c r="U83">
        <v>0</v>
      </c>
      <c r="V83">
        <v>0</v>
      </c>
      <c r="W83">
        <v>27</v>
      </c>
      <c r="X83">
        <v>53.728999999999999</v>
      </c>
      <c r="Y83">
        <v>2411575.94</v>
      </c>
      <c r="Z83">
        <v>1147961</v>
      </c>
    </row>
    <row r="84" spans="1:26" x14ac:dyDescent="0.25">
      <c r="A84" t="s">
        <v>264</v>
      </c>
      <c r="B84" t="s">
        <v>152</v>
      </c>
      <c r="C84" t="s">
        <v>265</v>
      </c>
      <c r="D84">
        <v>32266074</v>
      </c>
      <c r="E84">
        <v>0</v>
      </c>
      <c r="F84">
        <v>32266074</v>
      </c>
      <c r="G84">
        <v>49.54</v>
      </c>
      <c r="H84">
        <v>24.334</v>
      </c>
      <c r="I84">
        <v>0</v>
      </c>
      <c r="J84">
        <v>24.334</v>
      </c>
      <c r="K84">
        <v>4.319</v>
      </c>
      <c r="L84">
        <v>0</v>
      </c>
      <c r="M84">
        <v>0</v>
      </c>
      <c r="N84">
        <v>0</v>
      </c>
      <c r="O84">
        <v>0</v>
      </c>
      <c r="P84">
        <v>0</v>
      </c>
      <c r="Q84">
        <v>20.015000000000001</v>
      </c>
      <c r="R84">
        <v>6.0880000000000001</v>
      </c>
      <c r="S84">
        <v>0</v>
      </c>
      <c r="T84">
        <v>0</v>
      </c>
      <c r="U84">
        <v>0</v>
      </c>
      <c r="V84">
        <v>0</v>
      </c>
      <c r="W84">
        <v>20.015000000000001</v>
      </c>
      <c r="X84">
        <v>71.391999999999996</v>
      </c>
      <c r="Y84">
        <v>2490848.86</v>
      </c>
      <c r="Z84">
        <v>1584047</v>
      </c>
    </row>
    <row r="85" spans="1:26" x14ac:dyDescent="0.25">
      <c r="A85" t="s">
        <v>266</v>
      </c>
      <c r="B85" t="s">
        <v>152</v>
      </c>
      <c r="C85" t="s">
        <v>267</v>
      </c>
      <c r="D85">
        <v>23013186</v>
      </c>
      <c r="E85">
        <v>0</v>
      </c>
      <c r="F85">
        <v>23013186</v>
      </c>
      <c r="G85">
        <v>1688.49</v>
      </c>
      <c r="H85">
        <v>27</v>
      </c>
      <c r="I85">
        <v>0</v>
      </c>
      <c r="J85">
        <v>27</v>
      </c>
      <c r="K85">
        <v>0</v>
      </c>
      <c r="L85">
        <v>0</v>
      </c>
      <c r="M85">
        <v>0</v>
      </c>
      <c r="N85">
        <v>0</v>
      </c>
      <c r="O85">
        <v>7.5</v>
      </c>
      <c r="P85">
        <v>0</v>
      </c>
      <c r="Q85">
        <v>34.5</v>
      </c>
      <c r="R85">
        <v>0</v>
      </c>
      <c r="S85">
        <v>0</v>
      </c>
      <c r="T85">
        <v>0</v>
      </c>
      <c r="U85">
        <v>0</v>
      </c>
      <c r="V85">
        <v>0</v>
      </c>
      <c r="W85">
        <v>34.5</v>
      </c>
      <c r="X85">
        <v>137.39099999999999</v>
      </c>
      <c r="Y85">
        <v>3239768.81</v>
      </c>
      <c r="Z85">
        <v>2543783</v>
      </c>
    </row>
    <row r="86" spans="1:26" x14ac:dyDescent="0.25">
      <c r="A86" t="s">
        <v>268</v>
      </c>
      <c r="B86" t="s">
        <v>152</v>
      </c>
      <c r="C86" t="s">
        <v>269</v>
      </c>
      <c r="D86">
        <v>17435050</v>
      </c>
      <c r="E86">
        <v>0</v>
      </c>
      <c r="F86">
        <v>17435050</v>
      </c>
      <c r="G86">
        <v>298.31</v>
      </c>
      <c r="H86">
        <v>27</v>
      </c>
      <c r="I86">
        <v>2.8119999999999998</v>
      </c>
      <c r="J86">
        <v>24.187999999999999</v>
      </c>
      <c r="K86">
        <v>0</v>
      </c>
      <c r="L86">
        <v>0</v>
      </c>
      <c r="M86">
        <v>0</v>
      </c>
      <c r="N86">
        <v>0</v>
      </c>
      <c r="O86">
        <v>14.2</v>
      </c>
      <c r="P86">
        <v>1.7000000000000001E-2</v>
      </c>
      <c r="Q86">
        <v>38.405000000000001</v>
      </c>
      <c r="R86">
        <v>0</v>
      </c>
      <c r="S86">
        <v>0</v>
      </c>
      <c r="T86">
        <v>0</v>
      </c>
      <c r="U86">
        <v>0</v>
      </c>
      <c r="V86">
        <v>0</v>
      </c>
      <c r="W86">
        <v>38.405000000000001</v>
      </c>
      <c r="X86">
        <v>114.437</v>
      </c>
      <c r="Y86">
        <v>2032511.16</v>
      </c>
      <c r="Z86">
        <v>1574507</v>
      </c>
    </row>
    <row r="87" spans="1:26" x14ac:dyDescent="0.25">
      <c r="A87" t="s">
        <v>270</v>
      </c>
      <c r="B87" t="s">
        <v>152</v>
      </c>
      <c r="C87" t="s">
        <v>271</v>
      </c>
      <c r="D87">
        <v>108516191</v>
      </c>
      <c r="E87">
        <v>0</v>
      </c>
      <c r="F87">
        <v>108516191</v>
      </c>
      <c r="G87">
        <v>2894.39</v>
      </c>
      <c r="H87">
        <v>27</v>
      </c>
      <c r="I87">
        <v>0.82</v>
      </c>
      <c r="J87">
        <v>26.18</v>
      </c>
      <c r="K87">
        <v>0</v>
      </c>
      <c r="L87">
        <v>0</v>
      </c>
      <c r="M87">
        <v>0</v>
      </c>
      <c r="N87">
        <v>0</v>
      </c>
      <c r="O87">
        <v>3.5150000000000001</v>
      </c>
      <c r="P87">
        <v>2.7E-2</v>
      </c>
      <c r="Q87">
        <v>29.722000000000001</v>
      </c>
      <c r="R87">
        <v>0</v>
      </c>
      <c r="S87">
        <v>0</v>
      </c>
      <c r="T87">
        <v>0</v>
      </c>
      <c r="U87">
        <v>0</v>
      </c>
      <c r="V87">
        <v>0</v>
      </c>
      <c r="W87">
        <v>29.722000000000001</v>
      </c>
      <c r="X87">
        <v>65.900000000000006</v>
      </c>
      <c r="Y87">
        <v>7403011.4000000004</v>
      </c>
      <c r="Z87">
        <v>4310511</v>
      </c>
    </row>
    <row r="88" spans="1:26" x14ac:dyDescent="0.25">
      <c r="A88" t="s">
        <v>272</v>
      </c>
      <c r="B88" t="s">
        <v>273</v>
      </c>
      <c r="C88" t="s">
        <v>273</v>
      </c>
      <c r="D88">
        <v>310790445</v>
      </c>
      <c r="E88">
        <v>-1384314</v>
      </c>
      <c r="F88">
        <v>309406131</v>
      </c>
      <c r="G88">
        <v>17395</v>
      </c>
      <c r="H88">
        <v>26.513999999999999</v>
      </c>
      <c r="I88">
        <v>1.0449999999999999</v>
      </c>
      <c r="J88">
        <v>25.469000000000001</v>
      </c>
      <c r="K88">
        <v>0</v>
      </c>
      <c r="L88">
        <v>0</v>
      </c>
      <c r="M88">
        <v>0</v>
      </c>
      <c r="N88">
        <v>0</v>
      </c>
      <c r="O88">
        <v>2.1589999999999998</v>
      </c>
      <c r="P88">
        <v>5.6000000000000001E-2</v>
      </c>
      <c r="Q88">
        <v>27.684000000000001</v>
      </c>
      <c r="R88">
        <v>6.1539999999999999</v>
      </c>
      <c r="S88">
        <v>0</v>
      </c>
      <c r="T88">
        <v>0</v>
      </c>
      <c r="U88">
        <v>0</v>
      </c>
      <c r="V88">
        <v>0</v>
      </c>
      <c r="W88">
        <v>27.684000000000001</v>
      </c>
      <c r="X88">
        <v>32.200000000000003</v>
      </c>
      <c r="Y88">
        <v>10361280.5</v>
      </c>
      <c r="Z88">
        <v>2082896</v>
      </c>
    </row>
    <row r="89" spans="1:26" x14ac:dyDescent="0.25">
      <c r="A89" t="s">
        <v>274</v>
      </c>
      <c r="B89" t="s">
        <v>275</v>
      </c>
      <c r="C89" t="s">
        <v>276</v>
      </c>
      <c r="D89">
        <v>1414177160</v>
      </c>
      <c r="E89">
        <v>-2642207</v>
      </c>
      <c r="F89">
        <v>1411534953</v>
      </c>
      <c r="G89">
        <v>239515</v>
      </c>
      <c r="H89">
        <v>12.747999999999999</v>
      </c>
      <c r="I89">
        <v>4.1470000000000002</v>
      </c>
      <c r="J89">
        <v>8.6010000000000009</v>
      </c>
      <c r="K89">
        <v>0</v>
      </c>
      <c r="L89">
        <v>0</v>
      </c>
      <c r="M89">
        <v>1.857</v>
      </c>
      <c r="N89">
        <v>0</v>
      </c>
      <c r="O89">
        <v>8.5709999999999997</v>
      </c>
      <c r="P89">
        <v>0.17</v>
      </c>
      <c r="Q89">
        <v>19.199000000000002</v>
      </c>
      <c r="R89">
        <v>5.7759999999999998</v>
      </c>
      <c r="S89">
        <v>0</v>
      </c>
      <c r="T89">
        <v>0</v>
      </c>
      <c r="U89">
        <v>0</v>
      </c>
      <c r="V89">
        <v>0</v>
      </c>
      <c r="W89">
        <v>19.199000000000002</v>
      </c>
      <c r="X89">
        <v>40.146000000000001</v>
      </c>
      <c r="Y89">
        <v>57748531.310000002</v>
      </c>
      <c r="Z89">
        <v>58881370</v>
      </c>
    </row>
    <row r="90" spans="1:26" x14ac:dyDescent="0.25">
      <c r="A90" t="s">
        <v>277</v>
      </c>
      <c r="B90" t="s">
        <v>275</v>
      </c>
      <c r="C90" t="s">
        <v>278</v>
      </c>
      <c r="D90">
        <v>219233740</v>
      </c>
      <c r="E90">
        <v>0</v>
      </c>
      <c r="F90">
        <v>219233740</v>
      </c>
      <c r="G90">
        <v>2750</v>
      </c>
      <c r="H90">
        <v>19.373000000000001</v>
      </c>
      <c r="I90">
        <v>9.1440000000000001</v>
      </c>
      <c r="J90">
        <v>10.228999999999999</v>
      </c>
      <c r="K90">
        <v>0</v>
      </c>
      <c r="L90">
        <v>0</v>
      </c>
      <c r="M90">
        <v>0.157</v>
      </c>
      <c r="N90">
        <v>0</v>
      </c>
      <c r="O90">
        <v>8.5570000000000004</v>
      </c>
      <c r="P90">
        <v>1.2999999999999999E-2</v>
      </c>
      <c r="Q90">
        <v>18.956</v>
      </c>
      <c r="R90">
        <v>15.212</v>
      </c>
      <c r="S90">
        <v>0</v>
      </c>
      <c r="T90">
        <v>0</v>
      </c>
      <c r="U90">
        <v>0</v>
      </c>
      <c r="V90">
        <v>0</v>
      </c>
      <c r="W90">
        <v>18.956</v>
      </c>
      <c r="X90">
        <v>62.156999999999996</v>
      </c>
      <c r="Y90">
        <v>14111193.9</v>
      </c>
      <c r="Z90">
        <v>11611883</v>
      </c>
    </row>
    <row r="91" spans="1:26" x14ac:dyDescent="0.25">
      <c r="A91" t="s">
        <v>279</v>
      </c>
      <c r="B91" t="s">
        <v>275</v>
      </c>
      <c r="C91" t="s">
        <v>280</v>
      </c>
      <c r="D91">
        <v>268860772</v>
      </c>
      <c r="E91">
        <v>0</v>
      </c>
      <c r="F91">
        <v>268860772</v>
      </c>
      <c r="G91">
        <v>5666.1</v>
      </c>
      <c r="H91">
        <v>7.3310000000000004</v>
      </c>
      <c r="I91">
        <v>3.0569999999999999</v>
      </c>
      <c r="J91">
        <v>4.274</v>
      </c>
      <c r="K91">
        <v>0</v>
      </c>
      <c r="L91">
        <v>0</v>
      </c>
      <c r="M91">
        <v>0</v>
      </c>
      <c r="N91">
        <v>0</v>
      </c>
      <c r="O91">
        <v>4.0910000000000002</v>
      </c>
      <c r="P91">
        <v>8.9999999999999993E-3</v>
      </c>
      <c r="Q91">
        <v>8.3740000000000006</v>
      </c>
      <c r="R91">
        <v>11.381</v>
      </c>
      <c r="S91">
        <v>0</v>
      </c>
      <c r="T91">
        <v>0</v>
      </c>
      <c r="U91">
        <v>0</v>
      </c>
      <c r="V91">
        <v>0</v>
      </c>
      <c r="W91">
        <v>8.3740000000000006</v>
      </c>
      <c r="X91">
        <v>31.646000000000001</v>
      </c>
      <c r="Y91">
        <v>8571895.0299999993</v>
      </c>
      <c r="Z91">
        <v>7361652</v>
      </c>
    </row>
    <row r="92" spans="1:26" x14ac:dyDescent="0.25">
      <c r="A92" t="s">
        <v>281</v>
      </c>
      <c r="B92" t="s">
        <v>282</v>
      </c>
      <c r="C92" t="s">
        <v>283</v>
      </c>
      <c r="D92">
        <v>4143175927</v>
      </c>
      <c r="E92">
        <v>-232547024</v>
      </c>
      <c r="F92">
        <v>3910628903</v>
      </c>
      <c r="G92">
        <v>1051676.3400000001</v>
      </c>
      <c r="H92">
        <v>27</v>
      </c>
      <c r="I92">
        <v>0</v>
      </c>
      <c r="J92">
        <v>27</v>
      </c>
      <c r="K92">
        <v>0</v>
      </c>
      <c r="L92">
        <v>0</v>
      </c>
      <c r="M92">
        <v>0</v>
      </c>
      <c r="N92">
        <v>0</v>
      </c>
      <c r="O92">
        <v>15.95</v>
      </c>
      <c r="P92">
        <v>0.26900000000000002</v>
      </c>
      <c r="Q92">
        <v>43.219000000000001</v>
      </c>
      <c r="R92">
        <v>12.646000000000001</v>
      </c>
      <c r="S92">
        <v>0</v>
      </c>
      <c r="T92">
        <v>0</v>
      </c>
      <c r="U92">
        <v>0</v>
      </c>
      <c r="V92">
        <v>0</v>
      </c>
      <c r="W92">
        <v>43.219000000000001</v>
      </c>
      <c r="X92">
        <v>75.923000000000002</v>
      </c>
      <c r="Y92">
        <v>305427921.31999999</v>
      </c>
      <c r="Z92">
        <v>191336733</v>
      </c>
    </row>
    <row r="93" spans="1:26" x14ac:dyDescent="0.25">
      <c r="A93" t="s">
        <v>284</v>
      </c>
      <c r="B93" t="s">
        <v>282</v>
      </c>
      <c r="C93" t="s">
        <v>285</v>
      </c>
      <c r="D93">
        <v>2856347479</v>
      </c>
      <c r="E93">
        <v>-173740516</v>
      </c>
      <c r="F93">
        <v>2682606963</v>
      </c>
      <c r="G93">
        <v>655114.92000000004</v>
      </c>
      <c r="H93">
        <v>27</v>
      </c>
      <c r="I93">
        <v>2.64</v>
      </c>
      <c r="J93">
        <v>24.36</v>
      </c>
      <c r="K93">
        <v>0</v>
      </c>
      <c r="L93">
        <v>0</v>
      </c>
      <c r="M93">
        <v>0</v>
      </c>
      <c r="N93">
        <v>0</v>
      </c>
      <c r="O93">
        <v>12.834</v>
      </c>
      <c r="P93">
        <v>0.24399999999999999</v>
      </c>
      <c r="Q93">
        <v>37.438000000000002</v>
      </c>
      <c r="R93">
        <v>7.133</v>
      </c>
      <c r="S93">
        <v>0</v>
      </c>
      <c r="T93">
        <v>0</v>
      </c>
      <c r="U93">
        <v>0</v>
      </c>
      <c r="V93">
        <v>0</v>
      </c>
      <c r="W93">
        <v>37.438000000000002</v>
      </c>
      <c r="X93">
        <v>51.011000000000003</v>
      </c>
      <c r="Y93">
        <v>141314272.66</v>
      </c>
      <c r="Z93">
        <v>71556559</v>
      </c>
    </row>
    <row r="94" spans="1:26" x14ac:dyDescent="0.25">
      <c r="A94" t="s">
        <v>286</v>
      </c>
      <c r="B94" t="s">
        <v>282</v>
      </c>
      <c r="C94" t="s">
        <v>287</v>
      </c>
      <c r="D94">
        <v>466832311</v>
      </c>
      <c r="E94">
        <v>0</v>
      </c>
      <c r="F94">
        <v>466832311</v>
      </c>
      <c r="G94">
        <v>73038.600000000006</v>
      </c>
      <c r="H94">
        <v>20.548999999999999</v>
      </c>
      <c r="I94">
        <v>0</v>
      </c>
      <c r="J94">
        <v>20.548999999999999</v>
      </c>
      <c r="K94">
        <v>0</v>
      </c>
      <c r="L94">
        <v>0</v>
      </c>
      <c r="M94">
        <v>0</v>
      </c>
      <c r="N94">
        <v>0</v>
      </c>
      <c r="O94">
        <v>6.4279999999999999</v>
      </c>
      <c r="P94">
        <v>0.156</v>
      </c>
      <c r="Q94">
        <v>27.132999999999999</v>
      </c>
      <c r="R94">
        <v>3.6629999999999998</v>
      </c>
      <c r="S94">
        <v>0</v>
      </c>
      <c r="T94">
        <v>0</v>
      </c>
      <c r="U94">
        <v>0</v>
      </c>
      <c r="V94">
        <v>0</v>
      </c>
      <c r="W94">
        <v>27.132999999999999</v>
      </c>
      <c r="X94">
        <v>21.763000000000002</v>
      </c>
      <c r="Y94">
        <v>10850547.109999999</v>
      </c>
      <c r="Z94">
        <v>566208</v>
      </c>
    </row>
    <row r="95" spans="1:26" x14ac:dyDescent="0.25">
      <c r="A95" t="s">
        <v>288</v>
      </c>
      <c r="B95" t="s">
        <v>138</v>
      </c>
      <c r="C95" t="s">
        <v>289</v>
      </c>
      <c r="D95">
        <v>147824343</v>
      </c>
      <c r="E95">
        <v>-410728</v>
      </c>
      <c r="F95">
        <v>147413615</v>
      </c>
      <c r="G95">
        <v>460.33</v>
      </c>
      <c r="H95">
        <v>27</v>
      </c>
      <c r="I95">
        <v>12.573</v>
      </c>
      <c r="J95">
        <v>14.427</v>
      </c>
      <c r="K95">
        <v>0</v>
      </c>
      <c r="L95">
        <v>0</v>
      </c>
      <c r="M95">
        <v>0</v>
      </c>
      <c r="N95">
        <v>0</v>
      </c>
      <c r="O95">
        <v>0</v>
      </c>
      <c r="P95">
        <v>3.0000000000000001E-3</v>
      </c>
      <c r="Q95">
        <v>14.43</v>
      </c>
      <c r="R95">
        <v>3.847</v>
      </c>
      <c r="S95">
        <v>0</v>
      </c>
      <c r="T95">
        <v>0</v>
      </c>
      <c r="U95">
        <v>0</v>
      </c>
      <c r="V95">
        <v>0</v>
      </c>
      <c r="W95">
        <v>14.43</v>
      </c>
      <c r="X95">
        <v>64.061000000000007</v>
      </c>
      <c r="Y95">
        <v>9667081.9700000007</v>
      </c>
      <c r="Z95">
        <v>7318030</v>
      </c>
    </row>
    <row r="96" spans="1:26" x14ac:dyDescent="0.25">
      <c r="A96" t="s">
        <v>290</v>
      </c>
      <c r="B96" t="s">
        <v>138</v>
      </c>
      <c r="C96" t="s">
        <v>291</v>
      </c>
      <c r="D96">
        <v>125418805</v>
      </c>
      <c r="E96">
        <v>0</v>
      </c>
      <c r="F96">
        <v>125418805</v>
      </c>
      <c r="G96">
        <v>67.25</v>
      </c>
      <c r="H96">
        <v>4.1689999999999996</v>
      </c>
      <c r="I96">
        <v>0.48899999999999999</v>
      </c>
      <c r="J96">
        <v>3.68</v>
      </c>
      <c r="K96">
        <v>0</v>
      </c>
      <c r="L96">
        <v>0</v>
      </c>
      <c r="M96">
        <v>0.628</v>
      </c>
      <c r="N96">
        <v>0</v>
      </c>
      <c r="O96">
        <v>2.7909999999999999</v>
      </c>
      <c r="P96">
        <v>1E-3</v>
      </c>
      <c r="Q96">
        <v>7.1000000000000005</v>
      </c>
      <c r="R96">
        <v>7.4950000000000001</v>
      </c>
      <c r="S96">
        <v>0.996</v>
      </c>
      <c r="T96">
        <v>0</v>
      </c>
      <c r="U96">
        <v>0</v>
      </c>
      <c r="V96">
        <v>0</v>
      </c>
      <c r="W96">
        <v>8.0960000000000001</v>
      </c>
      <c r="X96">
        <v>26.396999999999998</v>
      </c>
      <c r="Y96">
        <v>3354540.33</v>
      </c>
      <c r="Z96">
        <v>2849788</v>
      </c>
    </row>
    <row r="97" spans="1:26" x14ac:dyDescent="0.25">
      <c r="A97" t="s">
        <v>292</v>
      </c>
      <c r="B97" t="s">
        <v>138</v>
      </c>
      <c r="C97" t="s">
        <v>293</v>
      </c>
      <c r="D97">
        <v>55528664</v>
      </c>
      <c r="E97">
        <v>-50764</v>
      </c>
      <c r="F97">
        <v>55477900</v>
      </c>
      <c r="G97">
        <v>207.43</v>
      </c>
      <c r="H97">
        <v>27</v>
      </c>
      <c r="I97">
        <v>2.3420000000000001</v>
      </c>
      <c r="J97">
        <v>24.658000000000001</v>
      </c>
      <c r="K97">
        <v>0</v>
      </c>
      <c r="L97">
        <v>0</v>
      </c>
      <c r="M97">
        <v>0</v>
      </c>
      <c r="N97">
        <v>0</v>
      </c>
      <c r="O97">
        <v>0</v>
      </c>
      <c r="P97">
        <v>4.0000000000000001E-3</v>
      </c>
      <c r="Q97">
        <v>24.662000000000003</v>
      </c>
      <c r="R97">
        <v>4.5</v>
      </c>
      <c r="S97">
        <v>0</v>
      </c>
      <c r="T97">
        <v>0</v>
      </c>
      <c r="U97">
        <v>0</v>
      </c>
      <c r="V97">
        <v>0</v>
      </c>
      <c r="W97">
        <v>24.662000000000003</v>
      </c>
      <c r="X97">
        <v>72.191999999999993</v>
      </c>
      <c r="Y97">
        <v>4217199.87</v>
      </c>
      <c r="Z97">
        <v>2636212</v>
      </c>
    </row>
    <row r="98" spans="1:26" x14ac:dyDescent="0.25">
      <c r="A98" t="s">
        <v>294</v>
      </c>
      <c r="B98" t="s">
        <v>138</v>
      </c>
      <c r="C98" t="s">
        <v>295</v>
      </c>
      <c r="D98">
        <v>52766447</v>
      </c>
      <c r="E98">
        <v>0</v>
      </c>
      <c r="F98">
        <v>52766447</v>
      </c>
      <c r="G98">
        <v>88.89</v>
      </c>
      <c r="H98">
        <v>23.288</v>
      </c>
      <c r="I98">
        <v>12.768000000000001</v>
      </c>
      <c r="J98">
        <v>10.52</v>
      </c>
      <c r="K98">
        <v>0</v>
      </c>
      <c r="L98">
        <v>0</v>
      </c>
      <c r="M98">
        <v>0.56200000000000006</v>
      </c>
      <c r="N98">
        <v>0</v>
      </c>
      <c r="O98">
        <v>0</v>
      </c>
      <c r="P98">
        <v>2E-3</v>
      </c>
      <c r="Q98">
        <v>11.084</v>
      </c>
      <c r="R98">
        <v>0</v>
      </c>
      <c r="S98">
        <v>0</v>
      </c>
      <c r="T98">
        <v>0</v>
      </c>
      <c r="U98">
        <v>0</v>
      </c>
      <c r="V98">
        <v>0</v>
      </c>
      <c r="W98">
        <v>11.084</v>
      </c>
      <c r="X98">
        <v>36.118000000000002</v>
      </c>
      <c r="Y98">
        <v>1969085.4</v>
      </c>
      <c r="Z98">
        <v>1350583</v>
      </c>
    </row>
    <row r="99" spans="1:26" x14ac:dyDescent="0.25">
      <c r="A99" t="s">
        <v>296</v>
      </c>
      <c r="B99" t="s">
        <v>138</v>
      </c>
      <c r="C99" t="s">
        <v>297</v>
      </c>
      <c r="D99">
        <v>19864971</v>
      </c>
      <c r="E99">
        <v>0</v>
      </c>
      <c r="F99">
        <v>19864971</v>
      </c>
      <c r="G99">
        <v>102.99</v>
      </c>
      <c r="H99">
        <v>21.616</v>
      </c>
      <c r="I99">
        <v>0</v>
      </c>
      <c r="J99">
        <v>21.616</v>
      </c>
      <c r="K99">
        <v>0</v>
      </c>
      <c r="L99">
        <v>0</v>
      </c>
      <c r="M99">
        <v>0</v>
      </c>
      <c r="N99">
        <v>0</v>
      </c>
      <c r="O99">
        <v>6.64</v>
      </c>
      <c r="P99">
        <v>0</v>
      </c>
      <c r="Q99">
        <v>28.256</v>
      </c>
      <c r="R99">
        <v>0</v>
      </c>
      <c r="S99">
        <v>0</v>
      </c>
      <c r="T99">
        <v>0</v>
      </c>
      <c r="U99">
        <v>0</v>
      </c>
      <c r="V99">
        <v>0</v>
      </c>
      <c r="W99">
        <v>28.256</v>
      </c>
      <c r="X99">
        <v>224.261</v>
      </c>
      <c r="Y99">
        <v>4496356.8899999997</v>
      </c>
      <c r="Z99">
        <v>4024605</v>
      </c>
    </row>
    <row r="100" spans="1:26" x14ac:dyDescent="0.25">
      <c r="A100" t="s">
        <v>298</v>
      </c>
      <c r="B100" t="s">
        <v>138</v>
      </c>
      <c r="C100" t="s">
        <v>299</v>
      </c>
      <c r="D100">
        <v>25512170</v>
      </c>
      <c r="E100">
        <v>0</v>
      </c>
      <c r="F100">
        <v>25512170</v>
      </c>
      <c r="G100">
        <v>60.4</v>
      </c>
      <c r="H100">
        <v>27</v>
      </c>
      <c r="I100">
        <v>14.021000000000001</v>
      </c>
      <c r="J100">
        <v>12.978999999999999</v>
      </c>
      <c r="K100">
        <v>0</v>
      </c>
      <c r="L100">
        <v>0</v>
      </c>
      <c r="M100">
        <v>1.111</v>
      </c>
      <c r="N100">
        <v>0</v>
      </c>
      <c r="O100">
        <v>6.7279999999999998</v>
      </c>
      <c r="P100">
        <v>2E-3</v>
      </c>
      <c r="Q100">
        <v>20.819999999999997</v>
      </c>
      <c r="R100">
        <v>9.0150000000000006</v>
      </c>
      <c r="S100">
        <v>0</v>
      </c>
      <c r="T100">
        <v>0</v>
      </c>
      <c r="U100">
        <v>0</v>
      </c>
      <c r="V100">
        <v>0</v>
      </c>
      <c r="W100">
        <v>20.819999999999997</v>
      </c>
      <c r="X100">
        <v>35.000999999999998</v>
      </c>
      <c r="Y100">
        <v>927869.74</v>
      </c>
      <c r="Z100">
        <v>561808</v>
      </c>
    </row>
    <row r="101" spans="1:26" x14ac:dyDescent="0.25">
      <c r="A101" t="s">
        <v>300</v>
      </c>
      <c r="B101" t="s">
        <v>301</v>
      </c>
      <c r="C101" t="s">
        <v>302</v>
      </c>
      <c r="D101">
        <v>71534994</v>
      </c>
      <c r="E101">
        <v>0</v>
      </c>
      <c r="F101">
        <v>71534994</v>
      </c>
      <c r="G101">
        <v>795.62</v>
      </c>
      <c r="H101">
        <v>17.379000000000001</v>
      </c>
      <c r="I101">
        <v>0</v>
      </c>
      <c r="J101">
        <v>17.379000000000001</v>
      </c>
      <c r="K101">
        <v>0</v>
      </c>
      <c r="L101">
        <v>0</v>
      </c>
      <c r="M101">
        <v>0</v>
      </c>
      <c r="N101">
        <v>0</v>
      </c>
      <c r="O101">
        <v>0</v>
      </c>
      <c r="P101">
        <v>0</v>
      </c>
      <c r="Q101">
        <v>17.379000000000001</v>
      </c>
      <c r="R101">
        <v>6.9470000000000001</v>
      </c>
      <c r="S101">
        <v>0</v>
      </c>
      <c r="T101">
        <v>0</v>
      </c>
      <c r="U101">
        <v>0</v>
      </c>
      <c r="V101">
        <v>0</v>
      </c>
      <c r="W101">
        <v>17.379000000000001</v>
      </c>
      <c r="X101">
        <v>41.862000000000002</v>
      </c>
      <c r="Y101">
        <v>3123676.14</v>
      </c>
      <c r="Z101">
        <v>1751380</v>
      </c>
    </row>
    <row r="102" spans="1:26" x14ac:dyDescent="0.25">
      <c r="A102" t="s">
        <v>303</v>
      </c>
      <c r="B102" t="s">
        <v>301</v>
      </c>
      <c r="C102" t="s">
        <v>304</v>
      </c>
      <c r="D102">
        <v>84235113</v>
      </c>
      <c r="E102">
        <v>0</v>
      </c>
      <c r="F102">
        <v>84235113</v>
      </c>
      <c r="G102">
        <v>2111.7200000000003</v>
      </c>
      <c r="H102">
        <v>27</v>
      </c>
      <c r="I102">
        <v>3.1760000000000002</v>
      </c>
      <c r="J102">
        <v>23.824000000000002</v>
      </c>
      <c r="K102">
        <v>0</v>
      </c>
      <c r="L102">
        <v>0</v>
      </c>
      <c r="M102">
        <v>0</v>
      </c>
      <c r="N102">
        <v>0</v>
      </c>
      <c r="O102">
        <v>0</v>
      </c>
      <c r="P102">
        <v>1.9E-2</v>
      </c>
      <c r="Q102">
        <v>23.843</v>
      </c>
      <c r="R102">
        <v>6.3730000000000002</v>
      </c>
      <c r="S102">
        <v>0</v>
      </c>
      <c r="T102">
        <v>0</v>
      </c>
      <c r="U102">
        <v>0</v>
      </c>
      <c r="V102">
        <v>0</v>
      </c>
      <c r="W102">
        <v>23.843</v>
      </c>
      <c r="X102">
        <v>58.235999999999997</v>
      </c>
      <c r="Y102">
        <v>5113049.0199999996</v>
      </c>
      <c r="Z102">
        <v>2897640</v>
      </c>
    </row>
    <row r="103" spans="1:26" x14ac:dyDescent="0.25">
      <c r="A103" t="s">
        <v>305</v>
      </c>
      <c r="B103" t="s">
        <v>301</v>
      </c>
      <c r="C103" t="s">
        <v>306</v>
      </c>
      <c r="D103">
        <v>6504618</v>
      </c>
      <c r="E103">
        <v>0</v>
      </c>
      <c r="F103">
        <v>6504618</v>
      </c>
      <c r="G103">
        <v>3.83</v>
      </c>
      <c r="H103">
        <v>27</v>
      </c>
      <c r="I103">
        <v>0</v>
      </c>
      <c r="J103">
        <v>27</v>
      </c>
      <c r="K103">
        <v>0</v>
      </c>
      <c r="L103">
        <v>0</v>
      </c>
      <c r="M103">
        <v>0</v>
      </c>
      <c r="N103">
        <v>0</v>
      </c>
      <c r="O103">
        <v>0</v>
      </c>
      <c r="P103">
        <v>0</v>
      </c>
      <c r="Q103">
        <v>27</v>
      </c>
      <c r="R103">
        <v>0</v>
      </c>
      <c r="S103">
        <v>0</v>
      </c>
      <c r="T103">
        <v>0</v>
      </c>
      <c r="U103">
        <v>0</v>
      </c>
      <c r="V103">
        <v>0</v>
      </c>
      <c r="W103">
        <v>27</v>
      </c>
      <c r="X103">
        <v>153.04</v>
      </c>
      <c r="Y103">
        <v>1012983.36</v>
      </c>
      <c r="Z103">
        <v>818133</v>
      </c>
    </row>
    <row r="104" spans="1:26" x14ac:dyDescent="0.25">
      <c r="A104" t="s">
        <v>307</v>
      </c>
      <c r="B104" t="s">
        <v>308</v>
      </c>
      <c r="C104" t="s">
        <v>309</v>
      </c>
      <c r="D104">
        <v>237622760</v>
      </c>
      <c r="E104">
        <v>-7143910</v>
      </c>
      <c r="F104">
        <v>230478850</v>
      </c>
      <c r="G104">
        <v>22800.54</v>
      </c>
      <c r="H104">
        <v>27</v>
      </c>
      <c r="I104">
        <v>0</v>
      </c>
      <c r="J104">
        <v>27</v>
      </c>
      <c r="K104">
        <v>0</v>
      </c>
      <c r="L104">
        <v>0</v>
      </c>
      <c r="M104">
        <v>0</v>
      </c>
      <c r="N104">
        <v>0</v>
      </c>
      <c r="O104">
        <v>2.169</v>
      </c>
      <c r="P104">
        <v>0</v>
      </c>
      <c r="Q104">
        <v>29.169</v>
      </c>
      <c r="R104">
        <v>8.2789999999999999</v>
      </c>
      <c r="S104">
        <v>0</v>
      </c>
      <c r="T104">
        <v>0</v>
      </c>
      <c r="U104">
        <v>0</v>
      </c>
      <c r="V104">
        <v>0</v>
      </c>
      <c r="W104">
        <v>29.169</v>
      </c>
      <c r="X104">
        <v>82.760999999999996</v>
      </c>
      <c r="Y104">
        <v>19736826.550000001</v>
      </c>
      <c r="Z104">
        <v>12842112</v>
      </c>
    </row>
    <row r="105" spans="1:26" x14ac:dyDescent="0.25">
      <c r="A105" t="s">
        <v>310</v>
      </c>
      <c r="B105" t="s">
        <v>308</v>
      </c>
      <c r="C105" t="s">
        <v>311</v>
      </c>
      <c r="D105">
        <v>43249040</v>
      </c>
      <c r="E105">
        <v>0</v>
      </c>
      <c r="F105">
        <v>43249040</v>
      </c>
      <c r="G105">
        <v>8693.93</v>
      </c>
      <c r="H105">
        <v>27</v>
      </c>
      <c r="I105">
        <v>0</v>
      </c>
      <c r="J105">
        <v>27</v>
      </c>
      <c r="K105">
        <v>0</v>
      </c>
      <c r="L105">
        <v>0</v>
      </c>
      <c r="M105">
        <v>0.43099999999999999</v>
      </c>
      <c r="N105">
        <v>0</v>
      </c>
      <c r="O105">
        <v>0.50900000000000001</v>
      </c>
      <c r="P105">
        <v>0.20100000000000001</v>
      </c>
      <c r="Q105">
        <v>28.141000000000002</v>
      </c>
      <c r="R105">
        <v>0</v>
      </c>
      <c r="S105">
        <v>0</v>
      </c>
      <c r="T105">
        <v>0</v>
      </c>
      <c r="U105">
        <v>0</v>
      </c>
      <c r="V105">
        <v>0</v>
      </c>
      <c r="W105">
        <v>28.141000000000002</v>
      </c>
      <c r="X105">
        <v>69.816999999999993</v>
      </c>
      <c r="Y105">
        <v>3154789.73</v>
      </c>
      <c r="Z105">
        <v>1851916</v>
      </c>
    </row>
    <row r="106" spans="1:26" x14ac:dyDescent="0.25">
      <c r="A106" t="s">
        <v>312</v>
      </c>
      <c r="B106" t="s">
        <v>308</v>
      </c>
      <c r="C106" t="s">
        <v>313</v>
      </c>
      <c r="D106">
        <v>36149546</v>
      </c>
      <c r="E106">
        <v>0</v>
      </c>
      <c r="F106">
        <v>36149546</v>
      </c>
      <c r="G106">
        <v>925.8900000000001</v>
      </c>
      <c r="H106">
        <v>27</v>
      </c>
      <c r="I106">
        <v>0</v>
      </c>
      <c r="J106">
        <v>27</v>
      </c>
      <c r="K106">
        <v>0</v>
      </c>
      <c r="L106">
        <v>0</v>
      </c>
      <c r="M106">
        <v>0</v>
      </c>
      <c r="N106">
        <v>0</v>
      </c>
      <c r="O106">
        <v>0</v>
      </c>
      <c r="P106">
        <v>0</v>
      </c>
      <c r="Q106">
        <v>27</v>
      </c>
      <c r="R106">
        <v>4.4690000000000003</v>
      </c>
      <c r="S106">
        <v>0</v>
      </c>
      <c r="T106">
        <v>0</v>
      </c>
      <c r="U106">
        <v>0</v>
      </c>
      <c r="V106">
        <v>0</v>
      </c>
      <c r="W106">
        <v>27</v>
      </c>
      <c r="X106">
        <v>109.899</v>
      </c>
      <c r="Y106">
        <v>4052304.29</v>
      </c>
      <c r="Z106">
        <v>2994134</v>
      </c>
    </row>
    <row r="107" spans="1:26" x14ac:dyDescent="0.25">
      <c r="A107" t="s">
        <v>314</v>
      </c>
      <c r="B107" t="s">
        <v>308</v>
      </c>
      <c r="C107" t="s">
        <v>315</v>
      </c>
      <c r="D107">
        <v>59758950</v>
      </c>
      <c r="E107">
        <v>0</v>
      </c>
      <c r="F107">
        <v>59758950</v>
      </c>
      <c r="G107">
        <v>103.26</v>
      </c>
      <c r="H107">
        <v>25.81</v>
      </c>
      <c r="I107">
        <v>6.3920000000000003</v>
      </c>
      <c r="J107">
        <v>19.417999999999999</v>
      </c>
      <c r="K107">
        <v>0</v>
      </c>
      <c r="L107">
        <v>0</v>
      </c>
      <c r="M107">
        <v>7.4470000000000001</v>
      </c>
      <c r="N107">
        <v>0</v>
      </c>
      <c r="O107">
        <v>0</v>
      </c>
      <c r="P107">
        <v>2E-3</v>
      </c>
      <c r="Q107">
        <v>26.866999999999997</v>
      </c>
      <c r="R107">
        <v>14.425000000000001</v>
      </c>
      <c r="S107">
        <v>0</v>
      </c>
      <c r="T107">
        <v>0</v>
      </c>
      <c r="U107">
        <v>0</v>
      </c>
      <c r="V107">
        <v>0</v>
      </c>
      <c r="W107">
        <v>26.866999999999997</v>
      </c>
      <c r="X107">
        <v>41.274999999999999</v>
      </c>
      <c r="Y107">
        <v>2601021.4</v>
      </c>
      <c r="Z107">
        <v>1306152</v>
      </c>
    </row>
    <row r="108" spans="1:26" x14ac:dyDescent="0.25">
      <c r="A108" t="s">
        <v>316</v>
      </c>
      <c r="B108" t="s">
        <v>317</v>
      </c>
      <c r="C108" t="s">
        <v>318</v>
      </c>
      <c r="D108">
        <v>338003280</v>
      </c>
      <c r="E108">
        <v>0</v>
      </c>
      <c r="F108">
        <v>338003280</v>
      </c>
      <c r="G108">
        <v>136.01</v>
      </c>
      <c r="H108">
        <v>3.43</v>
      </c>
      <c r="I108">
        <v>0</v>
      </c>
      <c r="J108">
        <v>3.43</v>
      </c>
      <c r="K108">
        <v>0</v>
      </c>
      <c r="L108">
        <v>0</v>
      </c>
      <c r="M108">
        <v>1.4999999999999999E-2</v>
      </c>
      <c r="N108">
        <v>0</v>
      </c>
      <c r="O108">
        <v>0</v>
      </c>
      <c r="P108">
        <v>0</v>
      </c>
      <c r="Q108">
        <v>3.4450000000000003</v>
      </c>
      <c r="R108">
        <v>3.3140000000000001</v>
      </c>
      <c r="S108">
        <v>0</v>
      </c>
      <c r="T108">
        <v>0</v>
      </c>
      <c r="U108">
        <v>0</v>
      </c>
      <c r="V108">
        <v>0</v>
      </c>
      <c r="W108">
        <v>3.4450000000000003</v>
      </c>
      <c r="X108">
        <v>8.5779999999999994</v>
      </c>
      <c r="Y108">
        <v>2949343.28</v>
      </c>
      <c r="Z108">
        <v>1719845</v>
      </c>
    </row>
    <row r="109" spans="1:26" x14ac:dyDescent="0.25">
      <c r="A109" t="s">
        <v>319</v>
      </c>
      <c r="B109" t="s">
        <v>317</v>
      </c>
      <c r="C109" t="s">
        <v>320</v>
      </c>
      <c r="D109">
        <v>206670540</v>
      </c>
      <c r="E109">
        <v>0</v>
      </c>
      <c r="F109">
        <v>206670540</v>
      </c>
      <c r="G109">
        <v>11618.1</v>
      </c>
      <c r="H109">
        <v>11.895</v>
      </c>
      <c r="I109">
        <v>0</v>
      </c>
      <c r="J109">
        <v>11.895</v>
      </c>
      <c r="K109">
        <v>0</v>
      </c>
      <c r="L109">
        <v>0</v>
      </c>
      <c r="M109">
        <v>0</v>
      </c>
      <c r="N109">
        <v>0</v>
      </c>
      <c r="O109">
        <v>1.6930000000000001</v>
      </c>
      <c r="P109">
        <v>5.6000000000000001E-2</v>
      </c>
      <c r="Q109">
        <v>13.643999999999998</v>
      </c>
      <c r="R109">
        <v>0</v>
      </c>
      <c r="S109">
        <v>0</v>
      </c>
      <c r="T109">
        <v>0</v>
      </c>
      <c r="U109">
        <v>0</v>
      </c>
      <c r="V109">
        <v>0</v>
      </c>
      <c r="W109">
        <v>13.643999999999998</v>
      </c>
      <c r="X109">
        <v>18.978000000000002</v>
      </c>
      <c r="Y109">
        <v>4304175.45</v>
      </c>
      <c r="Z109">
        <v>1466972</v>
      </c>
    </row>
    <row r="110" spans="1:26" x14ac:dyDescent="0.25">
      <c r="A110" t="s">
        <v>321</v>
      </c>
      <c r="B110" t="s">
        <v>317</v>
      </c>
      <c r="C110" t="s">
        <v>322</v>
      </c>
      <c r="D110">
        <v>2124704190</v>
      </c>
      <c r="E110">
        <v>-23274118</v>
      </c>
      <c r="F110">
        <v>2101430072</v>
      </c>
      <c r="G110">
        <v>436604.17</v>
      </c>
      <c r="H110">
        <v>27</v>
      </c>
      <c r="I110">
        <v>0.78600000000000003</v>
      </c>
      <c r="J110">
        <v>26.213999999999999</v>
      </c>
      <c r="K110">
        <v>0</v>
      </c>
      <c r="L110">
        <v>0</v>
      </c>
      <c r="M110">
        <v>0</v>
      </c>
      <c r="N110">
        <v>0</v>
      </c>
      <c r="O110">
        <v>7.6269999999999998</v>
      </c>
      <c r="P110">
        <v>0.20799999999999999</v>
      </c>
      <c r="Q110">
        <v>34.048999999999999</v>
      </c>
      <c r="R110">
        <v>11.028</v>
      </c>
      <c r="S110">
        <v>0</v>
      </c>
      <c r="T110">
        <v>0</v>
      </c>
      <c r="U110">
        <v>0</v>
      </c>
      <c r="V110">
        <v>0</v>
      </c>
      <c r="W110">
        <v>34.048999999999999</v>
      </c>
      <c r="X110">
        <v>94.21</v>
      </c>
      <c r="Y110">
        <v>205406712.05000001</v>
      </c>
      <c r="Z110">
        <v>143153259</v>
      </c>
    </row>
    <row r="111" spans="1:26" x14ac:dyDescent="0.25">
      <c r="A111" t="s">
        <v>323</v>
      </c>
      <c r="B111" t="s">
        <v>324</v>
      </c>
      <c r="C111" t="s">
        <v>325</v>
      </c>
      <c r="D111">
        <v>50077808</v>
      </c>
      <c r="E111">
        <v>0</v>
      </c>
      <c r="F111">
        <v>50077808</v>
      </c>
      <c r="G111">
        <v>100</v>
      </c>
      <c r="H111">
        <v>27</v>
      </c>
      <c r="I111">
        <v>4.5469999999999997</v>
      </c>
      <c r="J111">
        <v>22.452999999999999</v>
      </c>
      <c r="K111">
        <v>0</v>
      </c>
      <c r="L111">
        <v>0</v>
      </c>
      <c r="M111">
        <v>0</v>
      </c>
      <c r="N111">
        <v>0</v>
      </c>
      <c r="O111">
        <v>1.3979999999999999</v>
      </c>
      <c r="P111">
        <v>0</v>
      </c>
      <c r="Q111">
        <v>23.850999999999999</v>
      </c>
      <c r="R111">
        <v>11.528</v>
      </c>
      <c r="S111">
        <v>0</v>
      </c>
      <c r="T111">
        <v>0</v>
      </c>
      <c r="U111">
        <v>0</v>
      </c>
      <c r="V111">
        <v>0</v>
      </c>
      <c r="W111">
        <v>23.850999999999999</v>
      </c>
      <c r="X111">
        <v>32.228999999999999</v>
      </c>
      <c r="Y111">
        <v>1724436.21</v>
      </c>
      <c r="Z111">
        <v>488758</v>
      </c>
    </row>
    <row r="112" spans="1:26" x14ac:dyDescent="0.25">
      <c r="A112" t="s">
        <v>326</v>
      </c>
      <c r="B112" t="s">
        <v>327</v>
      </c>
      <c r="C112" t="s">
        <v>327</v>
      </c>
      <c r="D112">
        <v>417239516</v>
      </c>
      <c r="E112">
        <v>0</v>
      </c>
      <c r="F112">
        <v>417239516</v>
      </c>
      <c r="G112">
        <v>62426.97</v>
      </c>
      <c r="H112">
        <v>27</v>
      </c>
      <c r="I112">
        <v>4.484</v>
      </c>
      <c r="J112">
        <v>22.515999999999998</v>
      </c>
      <c r="K112">
        <v>0</v>
      </c>
      <c r="L112">
        <v>0</v>
      </c>
      <c r="M112">
        <v>0.66500000000000004</v>
      </c>
      <c r="N112">
        <v>0</v>
      </c>
      <c r="O112">
        <v>4.5529999999999999</v>
      </c>
      <c r="P112">
        <v>0.14899999999999999</v>
      </c>
      <c r="Q112">
        <v>27.882999999999999</v>
      </c>
      <c r="R112">
        <v>6.4109999999999996</v>
      </c>
      <c r="S112">
        <v>0</v>
      </c>
      <c r="T112">
        <v>0</v>
      </c>
      <c r="U112">
        <v>0</v>
      </c>
      <c r="V112">
        <v>0</v>
      </c>
      <c r="W112">
        <v>27.882999999999999</v>
      </c>
      <c r="X112">
        <v>43.999000000000002</v>
      </c>
      <c r="Y112">
        <v>19283620.140000001</v>
      </c>
      <c r="Z112">
        <v>8970322</v>
      </c>
    </row>
    <row r="113" spans="1:26" x14ac:dyDescent="0.25">
      <c r="A113" t="s">
        <v>328</v>
      </c>
      <c r="B113" t="s">
        <v>329</v>
      </c>
      <c r="C113" t="s">
        <v>329</v>
      </c>
      <c r="D113">
        <v>501695470</v>
      </c>
      <c r="E113">
        <v>0</v>
      </c>
      <c r="F113">
        <v>501695470</v>
      </c>
      <c r="G113">
        <v>6078.07</v>
      </c>
      <c r="H113">
        <v>27</v>
      </c>
      <c r="I113">
        <v>6.1550000000000002</v>
      </c>
      <c r="J113">
        <v>20.844999999999999</v>
      </c>
      <c r="K113">
        <v>0</v>
      </c>
      <c r="L113">
        <v>0</v>
      </c>
      <c r="M113">
        <v>0</v>
      </c>
      <c r="N113">
        <v>0</v>
      </c>
      <c r="O113">
        <v>0</v>
      </c>
      <c r="P113">
        <v>1.2E-2</v>
      </c>
      <c r="Q113">
        <v>20.856999999999999</v>
      </c>
      <c r="R113">
        <v>2.847</v>
      </c>
      <c r="S113">
        <v>0</v>
      </c>
      <c r="T113">
        <v>0</v>
      </c>
      <c r="U113">
        <v>0</v>
      </c>
      <c r="V113">
        <v>0</v>
      </c>
      <c r="W113">
        <v>20.856999999999999</v>
      </c>
      <c r="X113">
        <v>48.805999999999997</v>
      </c>
      <c r="Y113">
        <v>25669778.629999999</v>
      </c>
      <c r="Z113">
        <v>14027894</v>
      </c>
    </row>
    <row r="114" spans="1:26" x14ac:dyDescent="0.25">
      <c r="A114" t="s">
        <v>330</v>
      </c>
      <c r="B114" t="s">
        <v>329</v>
      </c>
      <c r="C114" t="s">
        <v>178</v>
      </c>
      <c r="D114">
        <v>62236420</v>
      </c>
      <c r="E114">
        <v>0</v>
      </c>
      <c r="F114">
        <v>62236420</v>
      </c>
      <c r="G114">
        <v>8368.27</v>
      </c>
      <c r="H114">
        <v>27</v>
      </c>
      <c r="I114">
        <v>4.117</v>
      </c>
      <c r="J114">
        <v>22.882999999999999</v>
      </c>
      <c r="K114">
        <v>0</v>
      </c>
      <c r="L114">
        <v>0</v>
      </c>
      <c r="M114">
        <v>0</v>
      </c>
      <c r="N114">
        <v>0</v>
      </c>
      <c r="O114">
        <v>6.266</v>
      </c>
      <c r="P114">
        <v>0.13500000000000001</v>
      </c>
      <c r="Q114">
        <v>29.284000000000002</v>
      </c>
      <c r="R114">
        <v>4.0339999999999998</v>
      </c>
      <c r="S114">
        <v>0</v>
      </c>
      <c r="T114">
        <v>0</v>
      </c>
      <c r="U114">
        <v>0</v>
      </c>
      <c r="V114">
        <v>0</v>
      </c>
      <c r="W114">
        <v>29.284000000000002</v>
      </c>
      <c r="X114">
        <v>112.197</v>
      </c>
      <c r="Y114">
        <v>7111285.1900000004</v>
      </c>
      <c r="Z114">
        <v>5558065</v>
      </c>
    </row>
    <row r="115" spans="1:26" x14ac:dyDescent="0.25">
      <c r="A115" t="s">
        <v>331</v>
      </c>
      <c r="B115" t="s">
        <v>329</v>
      </c>
      <c r="C115" t="s">
        <v>332</v>
      </c>
      <c r="D115">
        <v>51351730</v>
      </c>
      <c r="E115">
        <v>0</v>
      </c>
      <c r="F115">
        <v>51351730</v>
      </c>
      <c r="G115">
        <v>13300.22</v>
      </c>
      <c r="H115">
        <v>27</v>
      </c>
      <c r="I115">
        <v>9.3420000000000005</v>
      </c>
      <c r="J115">
        <v>17.658000000000001</v>
      </c>
      <c r="K115">
        <v>0</v>
      </c>
      <c r="L115">
        <v>0</v>
      </c>
      <c r="M115">
        <v>0</v>
      </c>
      <c r="N115">
        <v>0</v>
      </c>
      <c r="O115">
        <v>1.1259999999999999</v>
      </c>
      <c r="P115">
        <v>0.25900000000000001</v>
      </c>
      <c r="Q115">
        <v>19.043000000000003</v>
      </c>
      <c r="R115">
        <v>7.3029999999999999</v>
      </c>
      <c r="S115">
        <v>0</v>
      </c>
      <c r="T115">
        <v>0</v>
      </c>
      <c r="U115">
        <v>0</v>
      </c>
      <c r="V115">
        <v>0</v>
      </c>
      <c r="W115">
        <v>19.043000000000003</v>
      </c>
      <c r="X115">
        <v>100.259</v>
      </c>
      <c r="Y115">
        <v>5211322.96</v>
      </c>
      <c r="Z115">
        <v>4241118</v>
      </c>
    </row>
    <row r="116" spans="1:26" x14ac:dyDescent="0.25">
      <c r="A116" t="s">
        <v>333</v>
      </c>
      <c r="B116" t="s">
        <v>334</v>
      </c>
      <c r="C116" t="s">
        <v>334</v>
      </c>
      <c r="D116">
        <v>653762051</v>
      </c>
      <c r="E116">
        <v>-6534666</v>
      </c>
      <c r="F116">
        <v>647227385</v>
      </c>
      <c r="G116">
        <v>37386.54</v>
      </c>
      <c r="H116">
        <v>27</v>
      </c>
      <c r="I116">
        <v>3.0329999999999999</v>
      </c>
      <c r="J116">
        <v>23.966999999999999</v>
      </c>
      <c r="K116">
        <v>0</v>
      </c>
      <c r="L116">
        <v>0</v>
      </c>
      <c r="M116">
        <v>0</v>
      </c>
      <c r="N116">
        <v>0</v>
      </c>
      <c r="O116">
        <v>0</v>
      </c>
      <c r="P116">
        <v>6.0000000000000001E-3</v>
      </c>
      <c r="Q116">
        <v>23.972999999999999</v>
      </c>
      <c r="R116">
        <v>3.024</v>
      </c>
      <c r="S116">
        <v>0</v>
      </c>
      <c r="T116">
        <v>0</v>
      </c>
      <c r="U116">
        <v>0</v>
      </c>
      <c r="V116">
        <v>0</v>
      </c>
      <c r="W116">
        <v>23.972999999999999</v>
      </c>
      <c r="X116">
        <v>87.290999999999997</v>
      </c>
      <c r="Y116">
        <v>58400673.609999999</v>
      </c>
      <c r="Z116">
        <v>40892043</v>
      </c>
    </row>
    <row r="117" spans="1:26" x14ac:dyDescent="0.25">
      <c r="A117" t="s">
        <v>335</v>
      </c>
      <c r="B117" t="s">
        <v>334</v>
      </c>
      <c r="C117" t="s">
        <v>336</v>
      </c>
      <c r="D117">
        <v>23607867</v>
      </c>
      <c r="E117">
        <v>0</v>
      </c>
      <c r="F117">
        <v>23607867</v>
      </c>
      <c r="G117">
        <v>2436.48</v>
      </c>
      <c r="H117">
        <v>27</v>
      </c>
      <c r="I117">
        <v>5.101</v>
      </c>
      <c r="J117">
        <v>21.899000000000001</v>
      </c>
      <c r="K117">
        <v>0</v>
      </c>
      <c r="L117">
        <v>0</v>
      </c>
      <c r="M117">
        <v>0</v>
      </c>
      <c r="N117">
        <v>0</v>
      </c>
      <c r="O117">
        <v>10.505000000000001</v>
      </c>
      <c r="P117">
        <v>0.10299999999999999</v>
      </c>
      <c r="Q117">
        <v>32.507000000000005</v>
      </c>
      <c r="R117">
        <v>3.8119999999999998</v>
      </c>
      <c r="S117">
        <v>0</v>
      </c>
      <c r="T117">
        <v>0</v>
      </c>
      <c r="U117">
        <v>0</v>
      </c>
      <c r="V117">
        <v>0</v>
      </c>
      <c r="W117">
        <v>32.507000000000005</v>
      </c>
      <c r="X117">
        <v>165.03299999999999</v>
      </c>
      <c r="Y117">
        <v>4018783.77</v>
      </c>
      <c r="Z117">
        <v>3387971</v>
      </c>
    </row>
    <row r="118" spans="1:26" x14ac:dyDescent="0.25">
      <c r="A118" t="s">
        <v>337</v>
      </c>
      <c r="B118" t="s">
        <v>338</v>
      </c>
      <c r="C118" t="s">
        <v>339</v>
      </c>
      <c r="D118">
        <v>257721593</v>
      </c>
      <c r="E118">
        <v>0</v>
      </c>
      <c r="F118">
        <v>257721593</v>
      </c>
      <c r="G118">
        <v>18249.82</v>
      </c>
      <c r="H118">
        <v>27</v>
      </c>
      <c r="I118">
        <v>0</v>
      </c>
      <c r="J118">
        <v>27</v>
      </c>
      <c r="K118">
        <v>0</v>
      </c>
      <c r="L118">
        <v>0</v>
      </c>
      <c r="M118">
        <v>0</v>
      </c>
      <c r="N118">
        <v>0</v>
      </c>
      <c r="O118">
        <v>9.3119999999999994</v>
      </c>
      <c r="P118">
        <v>0.04</v>
      </c>
      <c r="Q118">
        <v>36.351999999999997</v>
      </c>
      <c r="R118">
        <v>12.747</v>
      </c>
      <c r="S118">
        <v>0</v>
      </c>
      <c r="T118">
        <v>0</v>
      </c>
      <c r="U118">
        <v>0</v>
      </c>
      <c r="V118">
        <v>0</v>
      </c>
      <c r="W118">
        <v>36.351999999999997</v>
      </c>
      <c r="X118">
        <v>54.875999999999998</v>
      </c>
      <c r="Y118">
        <v>14797471.5</v>
      </c>
      <c r="Z118">
        <v>7174166</v>
      </c>
    </row>
    <row r="119" spans="1:26" x14ac:dyDescent="0.25">
      <c r="A119" t="s">
        <v>340</v>
      </c>
      <c r="B119" t="s">
        <v>338</v>
      </c>
      <c r="C119" t="s">
        <v>341</v>
      </c>
      <c r="D119">
        <v>309198470</v>
      </c>
      <c r="E119">
        <v>0</v>
      </c>
      <c r="F119">
        <v>309198470</v>
      </c>
      <c r="G119">
        <v>32344.48</v>
      </c>
      <c r="H119">
        <v>27</v>
      </c>
      <c r="I119">
        <v>0</v>
      </c>
      <c r="J119">
        <v>27</v>
      </c>
      <c r="K119">
        <v>0</v>
      </c>
      <c r="L119">
        <v>0</v>
      </c>
      <c r="M119">
        <v>0</v>
      </c>
      <c r="N119">
        <v>0</v>
      </c>
      <c r="O119">
        <v>1.7729999999999999</v>
      </c>
      <c r="P119">
        <v>8.4000000000000005E-2</v>
      </c>
      <c r="Q119">
        <v>28.856999999999999</v>
      </c>
      <c r="R119">
        <v>8.8740000000000006</v>
      </c>
      <c r="S119">
        <v>0</v>
      </c>
      <c r="T119">
        <v>0</v>
      </c>
      <c r="U119">
        <v>0</v>
      </c>
      <c r="V119">
        <v>0</v>
      </c>
      <c r="W119">
        <v>28.856999999999999</v>
      </c>
      <c r="X119">
        <v>102.367</v>
      </c>
      <c r="Y119">
        <v>32455902</v>
      </c>
      <c r="Z119">
        <v>23355893</v>
      </c>
    </row>
    <row r="120" spans="1:26" x14ac:dyDescent="0.25">
      <c r="A120" t="s">
        <v>342</v>
      </c>
      <c r="B120" t="s">
        <v>338</v>
      </c>
      <c r="C120" t="s">
        <v>343</v>
      </c>
      <c r="D120">
        <v>31294240</v>
      </c>
      <c r="E120">
        <v>0</v>
      </c>
      <c r="F120">
        <v>31294240</v>
      </c>
      <c r="G120">
        <v>75.08</v>
      </c>
      <c r="H120">
        <v>27</v>
      </c>
      <c r="I120">
        <v>0</v>
      </c>
      <c r="J120">
        <v>27</v>
      </c>
      <c r="K120">
        <v>0</v>
      </c>
      <c r="L120">
        <v>0</v>
      </c>
      <c r="M120">
        <v>0.307</v>
      </c>
      <c r="N120">
        <v>0</v>
      </c>
      <c r="O120">
        <v>0</v>
      </c>
      <c r="P120">
        <v>2E-3</v>
      </c>
      <c r="Q120">
        <v>27.308999999999997</v>
      </c>
      <c r="R120">
        <v>0.6</v>
      </c>
      <c r="S120">
        <v>0</v>
      </c>
      <c r="T120">
        <v>0</v>
      </c>
      <c r="U120">
        <v>0</v>
      </c>
      <c r="V120">
        <v>0</v>
      </c>
      <c r="W120">
        <v>27.308999999999997</v>
      </c>
      <c r="X120">
        <v>106.4</v>
      </c>
      <c r="Y120">
        <v>3369729.4</v>
      </c>
      <c r="Z120">
        <v>2464880</v>
      </c>
    </row>
    <row r="121" spans="1:26" x14ac:dyDescent="0.25">
      <c r="A121" t="s">
        <v>344</v>
      </c>
      <c r="B121" t="s">
        <v>338</v>
      </c>
      <c r="C121" t="s">
        <v>345</v>
      </c>
      <c r="D121">
        <v>305651780</v>
      </c>
      <c r="E121">
        <v>0</v>
      </c>
      <c r="F121">
        <v>305651780</v>
      </c>
      <c r="G121">
        <v>10122.049999999999</v>
      </c>
      <c r="H121">
        <v>24.545000000000002</v>
      </c>
      <c r="I121">
        <v>0</v>
      </c>
      <c r="J121">
        <v>24.545000000000002</v>
      </c>
      <c r="K121">
        <v>0</v>
      </c>
      <c r="L121">
        <v>0</v>
      </c>
      <c r="M121">
        <v>0</v>
      </c>
      <c r="N121">
        <v>0</v>
      </c>
      <c r="O121">
        <v>0</v>
      </c>
      <c r="P121">
        <v>3.3000000000000002E-2</v>
      </c>
      <c r="Q121">
        <v>24.578000000000003</v>
      </c>
      <c r="R121">
        <v>14.695</v>
      </c>
      <c r="S121">
        <v>0</v>
      </c>
      <c r="T121">
        <v>0</v>
      </c>
      <c r="U121">
        <v>0</v>
      </c>
      <c r="V121">
        <v>0</v>
      </c>
      <c r="W121">
        <v>24.578000000000003</v>
      </c>
      <c r="X121">
        <v>27.960999999999999</v>
      </c>
      <c r="Y121">
        <v>9020096.1600000001</v>
      </c>
      <c r="Z121">
        <v>1051454</v>
      </c>
    </row>
    <row r="122" spans="1:26" x14ac:dyDescent="0.25">
      <c r="A122" t="s">
        <v>346</v>
      </c>
      <c r="B122" t="s">
        <v>347</v>
      </c>
      <c r="C122" t="s">
        <v>348</v>
      </c>
      <c r="D122">
        <v>84403039</v>
      </c>
      <c r="E122">
        <v>-2460090</v>
      </c>
      <c r="F122">
        <v>81942949</v>
      </c>
      <c r="G122">
        <v>107053.86</v>
      </c>
      <c r="H122">
        <v>27</v>
      </c>
      <c r="I122">
        <v>0.58299999999999996</v>
      </c>
      <c r="J122">
        <v>26.417000000000002</v>
      </c>
      <c r="K122">
        <v>0</v>
      </c>
      <c r="L122">
        <v>0</v>
      </c>
      <c r="M122">
        <v>0</v>
      </c>
      <c r="N122">
        <v>0</v>
      </c>
      <c r="O122">
        <v>0</v>
      </c>
      <c r="P122">
        <v>1.306</v>
      </c>
      <c r="Q122">
        <v>27.723000000000003</v>
      </c>
      <c r="R122">
        <v>5.492</v>
      </c>
      <c r="S122">
        <v>0</v>
      </c>
      <c r="T122">
        <v>0</v>
      </c>
      <c r="U122">
        <v>0</v>
      </c>
      <c r="V122">
        <v>0</v>
      </c>
      <c r="W122">
        <v>27.723000000000003</v>
      </c>
      <c r="X122">
        <v>178.24700000000001</v>
      </c>
      <c r="Y122">
        <v>14975984.630000001</v>
      </c>
      <c r="Z122">
        <v>12430687</v>
      </c>
    </row>
    <row r="123" spans="1:26" x14ac:dyDescent="0.25">
      <c r="A123" t="s">
        <v>349</v>
      </c>
      <c r="B123" t="s">
        <v>347</v>
      </c>
      <c r="C123" t="s">
        <v>350</v>
      </c>
      <c r="D123">
        <v>38297240</v>
      </c>
      <c r="E123">
        <v>0</v>
      </c>
      <c r="F123">
        <v>38297240</v>
      </c>
      <c r="G123">
        <v>393.61</v>
      </c>
      <c r="H123">
        <v>27</v>
      </c>
      <c r="I123">
        <v>0</v>
      </c>
      <c r="J123">
        <v>27</v>
      </c>
      <c r="K123">
        <v>0</v>
      </c>
      <c r="L123">
        <v>0</v>
      </c>
      <c r="M123">
        <v>0</v>
      </c>
      <c r="N123">
        <v>0</v>
      </c>
      <c r="O123">
        <v>0</v>
      </c>
      <c r="P123">
        <v>0</v>
      </c>
      <c r="Q123">
        <v>27</v>
      </c>
      <c r="R123">
        <v>7.9</v>
      </c>
      <c r="S123">
        <v>0</v>
      </c>
      <c r="T123">
        <v>0</v>
      </c>
      <c r="U123">
        <v>0</v>
      </c>
      <c r="V123">
        <v>0</v>
      </c>
      <c r="W123">
        <v>27</v>
      </c>
      <c r="X123">
        <v>214.571</v>
      </c>
      <c r="Y123">
        <v>8429420.1199999992</v>
      </c>
      <c r="Z123">
        <v>7185154</v>
      </c>
    </row>
    <row r="124" spans="1:26" x14ac:dyDescent="0.25">
      <c r="A124" t="s">
        <v>351</v>
      </c>
      <c r="B124" t="s">
        <v>347</v>
      </c>
      <c r="C124" t="s">
        <v>352</v>
      </c>
      <c r="D124">
        <v>11256992</v>
      </c>
      <c r="E124">
        <v>0</v>
      </c>
      <c r="F124">
        <v>11256992</v>
      </c>
      <c r="G124">
        <v>6.59</v>
      </c>
      <c r="H124">
        <v>23.728999999999999</v>
      </c>
      <c r="I124">
        <v>0</v>
      </c>
      <c r="J124">
        <v>23.728999999999999</v>
      </c>
      <c r="K124">
        <v>0</v>
      </c>
      <c r="L124">
        <v>0</v>
      </c>
      <c r="M124">
        <v>0</v>
      </c>
      <c r="N124">
        <v>0</v>
      </c>
      <c r="O124">
        <v>0</v>
      </c>
      <c r="P124">
        <v>0</v>
      </c>
      <c r="Q124">
        <v>23.728999999999999</v>
      </c>
      <c r="R124">
        <v>0</v>
      </c>
      <c r="S124">
        <v>0</v>
      </c>
      <c r="T124">
        <v>0</v>
      </c>
      <c r="U124">
        <v>0</v>
      </c>
      <c r="V124">
        <v>0</v>
      </c>
      <c r="W124">
        <v>23.728999999999999</v>
      </c>
      <c r="X124">
        <v>250.14099999999999</v>
      </c>
      <c r="Y124">
        <v>2867310.86</v>
      </c>
      <c r="Z124">
        <v>2548441</v>
      </c>
    </row>
    <row r="125" spans="1:26" x14ac:dyDescent="0.25">
      <c r="A125" t="s">
        <v>353</v>
      </c>
      <c r="B125" t="s">
        <v>347</v>
      </c>
      <c r="C125" t="s">
        <v>354</v>
      </c>
      <c r="D125">
        <v>27811563</v>
      </c>
      <c r="E125">
        <v>0</v>
      </c>
      <c r="F125">
        <v>27811563</v>
      </c>
      <c r="G125">
        <v>4775.08</v>
      </c>
      <c r="H125">
        <v>27</v>
      </c>
      <c r="I125">
        <v>0</v>
      </c>
      <c r="J125">
        <v>27</v>
      </c>
      <c r="K125">
        <v>0</v>
      </c>
      <c r="L125">
        <v>0</v>
      </c>
      <c r="M125">
        <v>0</v>
      </c>
      <c r="N125">
        <v>0</v>
      </c>
      <c r="O125">
        <v>0</v>
      </c>
      <c r="P125">
        <v>0.17199999999999999</v>
      </c>
      <c r="Q125">
        <v>27.172000000000001</v>
      </c>
      <c r="R125">
        <v>13.324999999999999</v>
      </c>
      <c r="S125">
        <v>0</v>
      </c>
      <c r="T125">
        <v>0</v>
      </c>
      <c r="U125">
        <v>0</v>
      </c>
      <c r="V125">
        <v>0</v>
      </c>
      <c r="W125">
        <v>27.172000000000001</v>
      </c>
      <c r="X125">
        <v>161.29300000000001</v>
      </c>
      <c r="Y125">
        <v>4605720.43</v>
      </c>
      <c r="Z125">
        <v>3730783</v>
      </c>
    </row>
    <row r="126" spans="1:26" x14ac:dyDescent="0.25">
      <c r="A126" t="s">
        <v>355</v>
      </c>
      <c r="B126" t="s">
        <v>347</v>
      </c>
      <c r="C126" t="s">
        <v>356</v>
      </c>
      <c r="D126">
        <v>8491512</v>
      </c>
      <c r="E126">
        <v>0</v>
      </c>
      <c r="F126">
        <v>8491512</v>
      </c>
      <c r="G126">
        <v>0</v>
      </c>
      <c r="H126">
        <v>27</v>
      </c>
      <c r="I126">
        <v>0</v>
      </c>
      <c r="J126">
        <v>27</v>
      </c>
      <c r="K126">
        <v>0</v>
      </c>
      <c r="L126">
        <v>0</v>
      </c>
      <c r="M126">
        <v>0</v>
      </c>
      <c r="N126">
        <v>0</v>
      </c>
      <c r="O126">
        <v>0</v>
      </c>
      <c r="P126">
        <v>0</v>
      </c>
      <c r="Q126">
        <v>27</v>
      </c>
      <c r="R126">
        <v>0</v>
      </c>
      <c r="S126">
        <v>0</v>
      </c>
      <c r="T126">
        <v>0</v>
      </c>
      <c r="U126">
        <v>0</v>
      </c>
      <c r="V126">
        <v>0</v>
      </c>
      <c r="W126">
        <v>27</v>
      </c>
      <c r="X126">
        <v>389.22800000000001</v>
      </c>
      <c r="Y126">
        <v>3353720.72</v>
      </c>
      <c r="Z126">
        <v>3075862</v>
      </c>
    </row>
    <row r="127" spans="1:26" x14ac:dyDescent="0.25">
      <c r="A127" t="s">
        <v>357</v>
      </c>
      <c r="B127" t="s">
        <v>347</v>
      </c>
      <c r="C127" t="s">
        <v>358</v>
      </c>
      <c r="D127">
        <v>20878961</v>
      </c>
      <c r="E127">
        <v>-738625</v>
      </c>
      <c r="F127">
        <v>20140336</v>
      </c>
      <c r="G127">
        <v>2668.25</v>
      </c>
      <c r="H127">
        <v>27</v>
      </c>
      <c r="I127">
        <v>3.0030000000000001</v>
      </c>
      <c r="J127">
        <v>23.997</v>
      </c>
      <c r="K127">
        <v>0</v>
      </c>
      <c r="L127">
        <v>0</v>
      </c>
      <c r="M127">
        <v>0</v>
      </c>
      <c r="N127">
        <v>0</v>
      </c>
      <c r="O127">
        <v>0.78800000000000003</v>
      </c>
      <c r="P127">
        <v>0.13300000000000001</v>
      </c>
      <c r="Q127">
        <v>24.917999999999999</v>
      </c>
      <c r="R127">
        <v>9.4</v>
      </c>
      <c r="S127">
        <v>0</v>
      </c>
      <c r="T127">
        <v>0</v>
      </c>
      <c r="U127">
        <v>0</v>
      </c>
      <c r="V127">
        <v>0</v>
      </c>
      <c r="W127">
        <v>24.917999999999999</v>
      </c>
      <c r="X127">
        <v>199.964</v>
      </c>
      <c r="Y127">
        <v>4128757.67</v>
      </c>
      <c r="Z127">
        <v>3543901</v>
      </c>
    </row>
    <row r="128" spans="1:26" x14ac:dyDescent="0.25">
      <c r="A128" t="s">
        <v>359</v>
      </c>
      <c r="B128" t="s">
        <v>360</v>
      </c>
      <c r="C128" t="s">
        <v>360</v>
      </c>
      <c r="D128">
        <v>71813890</v>
      </c>
      <c r="E128">
        <v>0</v>
      </c>
      <c r="F128">
        <v>71813890</v>
      </c>
      <c r="G128">
        <v>250.09000000000003</v>
      </c>
      <c r="H128">
        <v>27</v>
      </c>
      <c r="I128">
        <v>6.069</v>
      </c>
      <c r="J128">
        <v>20.931000000000001</v>
      </c>
      <c r="K128">
        <v>0</v>
      </c>
      <c r="L128">
        <v>0</v>
      </c>
      <c r="M128">
        <v>0</v>
      </c>
      <c r="N128">
        <v>0</v>
      </c>
      <c r="O128">
        <v>6.8719999999999999</v>
      </c>
      <c r="P128">
        <v>4.0000000000000001E-3</v>
      </c>
      <c r="Q128">
        <v>27.807000000000002</v>
      </c>
      <c r="R128">
        <v>2.7269999999999999</v>
      </c>
      <c r="S128">
        <v>0</v>
      </c>
      <c r="T128">
        <v>0</v>
      </c>
      <c r="U128">
        <v>0</v>
      </c>
      <c r="V128">
        <v>0</v>
      </c>
      <c r="W128">
        <v>27.807000000000002</v>
      </c>
      <c r="X128">
        <v>43.984999999999999</v>
      </c>
      <c r="Y128">
        <v>3298855.25</v>
      </c>
      <c r="Z128">
        <v>1658355</v>
      </c>
    </row>
    <row r="129" spans="1:26" x14ac:dyDescent="0.25">
      <c r="A129" t="s">
        <v>361</v>
      </c>
      <c r="B129" t="s">
        <v>360</v>
      </c>
      <c r="C129" t="s">
        <v>362</v>
      </c>
      <c r="D129">
        <v>126328260</v>
      </c>
      <c r="E129">
        <v>0</v>
      </c>
      <c r="F129">
        <v>126328260</v>
      </c>
      <c r="G129">
        <v>3967.1799999999994</v>
      </c>
      <c r="H129">
        <v>21.643000000000001</v>
      </c>
      <c r="I129">
        <v>6.7149999999999999</v>
      </c>
      <c r="J129">
        <v>14.928000000000001</v>
      </c>
      <c r="K129">
        <v>0</v>
      </c>
      <c r="L129">
        <v>0</v>
      </c>
      <c r="M129">
        <v>0</v>
      </c>
      <c r="N129">
        <v>0</v>
      </c>
      <c r="O129">
        <v>10.512</v>
      </c>
      <c r="P129">
        <v>3.1E-2</v>
      </c>
      <c r="Q129">
        <v>25.471</v>
      </c>
      <c r="R129">
        <v>7.4530000000000003</v>
      </c>
      <c r="S129">
        <v>0</v>
      </c>
      <c r="T129">
        <v>0</v>
      </c>
      <c r="U129">
        <v>0</v>
      </c>
      <c r="V129">
        <v>0</v>
      </c>
      <c r="W129">
        <v>25.471</v>
      </c>
      <c r="X129">
        <v>34.936999999999998</v>
      </c>
      <c r="Y129">
        <v>4436322.12</v>
      </c>
      <c r="Z129">
        <v>2527774</v>
      </c>
    </row>
    <row r="130" spans="1:26" x14ac:dyDescent="0.25">
      <c r="A130" t="s">
        <v>363</v>
      </c>
      <c r="B130" t="s">
        <v>364</v>
      </c>
      <c r="C130" t="s">
        <v>365</v>
      </c>
      <c r="D130">
        <v>179994023</v>
      </c>
      <c r="E130">
        <v>0</v>
      </c>
      <c r="F130">
        <v>179994023</v>
      </c>
      <c r="G130">
        <v>6569.05</v>
      </c>
      <c r="H130">
        <v>27</v>
      </c>
      <c r="I130">
        <v>7.3380000000000001</v>
      </c>
      <c r="J130">
        <v>19.661999999999999</v>
      </c>
      <c r="K130">
        <v>0</v>
      </c>
      <c r="L130">
        <v>0</v>
      </c>
      <c r="M130">
        <v>0</v>
      </c>
      <c r="N130">
        <v>0</v>
      </c>
      <c r="O130">
        <v>3.5739999999999998</v>
      </c>
      <c r="P130">
        <v>3.5999999999999997E-2</v>
      </c>
      <c r="Q130">
        <v>23.271999999999998</v>
      </c>
      <c r="R130">
        <v>4</v>
      </c>
      <c r="S130">
        <v>0</v>
      </c>
      <c r="T130">
        <v>0</v>
      </c>
      <c r="U130">
        <v>0</v>
      </c>
      <c r="V130">
        <v>0</v>
      </c>
      <c r="W130">
        <v>23.271999999999998</v>
      </c>
      <c r="X130">
        <v>45.4</v>
      </c>
      <c r="Y130">
        <v>8560790.4700000007</v>
      </c>
      <c r="Z130">
        <v>4632457</v>
      </c>
    </row>
    <row r="131" spans="1:26" x14ac:dyDescent="0.25">
      <c r="A131" t="s">
        <v>366</v>
      </c>
      <c r="B131" t="s">
        <v>364</v>
      </c>
      <c r="C131" t="s">
        <v>364</v>
      </c>
      <c r="D131">
        <v>387060088</v>
      </c>
      <c r="E131">
        <v>0</v>
      </c>
      <c r="F131">
        <v>387060088</v>
      </c>
      <c r="G131">
        <v>14067.05</v>
      </c>
      <c r="H131">
        <v>12.173</v>
      </c>
      <c r="I131">
        <v>0</v>
      </c>
      <c r="J131">
        <v>12.173</v>
      </c>
      <c r="K131">
        <v>0</v>
      </c>
      <c r="L131">
        <v>0</v>
      </c>
      <c r="M131">
        <v>1.423</v>
      </c>
      <c r="N131">
        <v>0</v>
      </c>
      <c r="O131">
        <v>3.28</v>
      </c>
      <c r="P131">
        <v>0</v>
      </c>
      <c r="Q131">
        <v>16.876000000000001</v>
      </c>
      <c r="R131">
        <v>2.613</v>
      </c>
      <c r="S131">
        <v>0</v>
      </c>
      <c r="T131">
        <v>0</v>
      </c>
      <c r="U131">
        <v>0</v>
      </c>
      <c r="V131">
        <v>0</v>
      </c>
      <c r="W131">
        <v>16.876000000000001</v>
      </c>
      <c r="X131">
        <v>15.1</v>
      </c>
      <c r="Y131">
        <v>6529849.6799999997</v>
      </c>
      <c r="Z131">
        <v>1132905</v>
      </c>
    </row>
    <row r="132" spans="1:26" x14ac:dyDescent="0.25">
      <c r="A132" t="s">
        <v>367</v>
      </c>
      <c r="B132" t="s">
        <v>368</v>
      </c>
      <c r="C132" t="s">
        <v>369</v>
      </c>
      <c r="D132">
        <v>77969670</v>
      </c>
      <c r="E132">
        <v>0</v>
      </c>
      <c r="F132">
        <v>77969670</v>
      </c>
      <c r="G132">
        <v>65.349999999999994</v>
      </c>
      <c r="H132">
        <v>27</v>
      </c>
      <c r="I132">
        <v>0</v>
      </c>
      <c r="J132">
        <v>27</v>
      </c>
      <c r="K132">
        <v>0</v>
      </c>
      <c r="L132">
        <v>0</v>
      </c>
      <c r="M132">
        <v>0</v>
      </c>
      <c r="N132">
        <v>0</v>
      </c>
      <c r="O132">
        <v>7</v>
      </c>
      <c r="P132">
        <v>0</v>
      </c>
      <c r="Q132">
        <v>34</v>
      </c>
      <c r="R132">
        <v>3.31</v>
      </c>
      <c r="S132">
        <v>0</v>
      </c>
      <c r="T132">
        <v>0</v>
      </c>
      <c r="U132">
        <v>0</v>
      </c>
      <c r="V132">
        <v>0</v>
      </c>
      <c r="W132">
        <v>34</v>
      </c>
      <c r="X132">
        <v>78.927000000000007</v>
      </c>
      <c r="Y132">
        <v>6396331.5700000003</v>
      </c>
      <c r="Z132">
        <v>4048667</v>
      </c>
    </row>
    <row r="133" spans="1:26" x14ac:dyDescent="0.25">
      <c r="A133" t="s">
        <v>370</v>
      </c>
      <c r="B133" t="s">
        <v>368</v>
      </c>
      <c r="C133" t="s">
        <v>371</v>
      </c>
      <c r="D133">
        <v>34505725</v>
      </c>
      <c r="E133">
        <v>0</v>
      </c>
      <c r="F133">
        <v>34505725</v>
      </c>
      <c r="G133">
        <v>432.7</v>
      </c>
      <c r="H133">
        <v>27</v>
      </c>
      <c r="I133">
        <v>0</v>
      </c>
      <c r="J133">
        <v>27</v>
      </c>
      <c r="K133">
        <v>0</v>
      </c>
      <c r="L133">
        <v>0</v>
      </c>
      <c r="M133">
        <v>0</v>
      </c>
      <c r="N133">
        <v>0</v>
      </c>
      <c r="O133">
        <v>5</v>
      </c>
      <c r="P133">
        <v>0</v>
      </c>
      <c r="Q133">
        <v>32</v>
      </c>
      <c r="R133">
        <v>7.6</v>
      </c>
      <c r="S133">
        <v>0</v>
      </c>
      <c r="T133">
        <v>0</v>
      </c>
      <c r="U133">
        <v>0</v>
      </c>
      <c r="V133">
        <v>0</v>
      </c>
      <c r="W133">
        <v>32</v>
      </c>
      <c r="X133">
        <v>111.70099999999999</v>
      </c>
      <c r="Y133">
        <v>3975160.76</v>
      </c>
      <c r="Z133">
        <v>2922190</v>
      </c>
    </row>
    <row r="134" spans="1:26" x14ac:dyDescent="0.25">
      <c r="A134" t="s">
        <v>372</v>
      </c>
      <c r="B134" t="s">
        <v>373</v>
      </c>
      <c r="C134" t="s">
        <v>374</v>
      </c>
      <c r="D134">
        <v>3464936300</v>
      </c>
      <c r="E134">
        <v>0</v>
      </c>
      <c r="F134">
        <v>3464936300</v>
      </c>
      <c r="G134">
        <v>37229.94</v>
      </c>
      <c r="H134">
        <v>4.4119999999999999</v>
      </c>
      <c r="I134">
        <v>0</v>
      </c>
      <c r="J134">
        <v>4.4119999999999999</v>
      </c>
      <c r="K134">
        <v>0</v>
      </c>
      <c r="L134">
        <v>0</v>
      </c>
      <c r="M134">
        <v>0.20499999999999999</v>
      </c>
      <c r="N134">
        <v>0</v>
      </c>
      <c r="O134">
        <v>1.847</v>
      </c>
      <c r="P134">
        <v>1.0999999999999999E-2</v>
      </c>
      <c r="Q134">
        <v>6.4750000000000005</v>
      </c>
      <c r="R134">
        <v>2.4409999999999998</v>
      </c>
      <c r="S134">
        <v>0</v>
      </c>
      <c r="T134">
        <v>0</v>
      </c>
      <c r="U134">
        <v>0</v>
      </c>
      <c r="V134">
        <v>0</v>
      </c>
      <c r="W134">
        <v>6.4750000000000005</v>
      </c>
      <c r="X134">
        <v>5.9690000000000003</v>
      </c>
      <c r="Y134">
        <v>21131733.359999999</v>
      </c>
      <c r="Z134">
        <v>5389136</v>
      </c>
    </row>
    <row r="135" spans="1:26" x14ac:dyDescent="0.25">
      <c r="A135" t="s">
        <v>375</v>
      </c>
      <c r="B135" t="s">
        <v>376</v>
      </c>
      <c r="C135" t="s">
        <v>377</v>
      </c>
      <c r="D135">
        <v>16233539</v>
      </c>
      <c r="E135">
        <v>0</v>
      </c>
      <c r="F135">
        <v>16233539</v>
      </c>
      <c r="G135">
        <v>114</v>
      </c>
      <c r="H135">
        <v>27</v>
      </c>
      <c r="I135">
        <v>0</v>
      </c>
      <c r="J135">
        <v>27</v>
      </c>
      <c r="K135">
        <v>0</v>
      </c>
      <c r="L135">
        <v>0</v>
      </c>
      <c r="M135">
        <v>0</v>
      </c>
      <c r="N135">
        <v>0</v>
      </c>
      <c r="O135">
        <v>0</v>
      </c>
      <c r="P135">
        <v>0</v>
      </c>
      <c r="Q135">
        <v>27</v>
      </c>
      <c r="R135">
        <v>0</v>
      </c>
      <c r="S135">
        <v>0</v>
      </c>
      <c r="T135">
        <v>0</v>
      </c>
      <c r="U135">
        <v>0</v>
      </c>
      <c r="V135">
        <v>0</v>
      </c>
      <c r="W135">
        <v>27</v>
      </c>
      <c r="X135">
        <v>182.828</v>
      </c>
      <c r="Y135">
        <v>3038532.79</v>
      </c>
      <c r="Z135">
        <v>2528816</v>
      </c>
    </row>
    <row r="136" spans="1:26" x14ac:dyDescent="0.25">
      <c r="A136" t="s">
        <v>378</v>
      </c>
      <c r="B136" t="s">
        <v>376</v>
      </c>
      <c r="C136" t="s">
        <v>379</v>
      </c>
      <c r="D136">
        <v>99410870</v>
      </c>
      <c r="E136">
        <v>-2720700</v>
      </c>
      <c r="F136">
        <v>96690170</v>
      </c>
      <c r="G136">
        <v>15364</v>
      </c>
      <c r="H136">
        <v>27</v>
      </c>
      <c r="I136">
        <v>5.4050000000000002</v>
      </c>
      <c r="J136">
        <v>21.594999999999999</v>
      </c>
      <c r="K136">
        <v>0</v>
      </c>
      <c r="L136">
        <v>0</v>
      </c>
      <c r="M136">
        <v>0</v>
      </c>
      <c r="N136">
        <v>0</v>
      </c>
      <c r="O136">
        <v>0</v>
      </c>
      <c r="P136">
        <v>0.159</v>
      </c>
      <c r="Q136">
        <v>21.753999999999998</v>
      </c>
      <c r="R136">
        <v>3.3610000000000002</v>
      </c>
      <c r="S136">
        <v>0</v>
      </c>
      <c r="T136">
        <v>0</v>
      </c>
      <c r="U136">
        <v>0</v>
      </c>
      <c r="V136">
        <v>0</v>
      </c>
      <c r="W136">
        <v>21.753999999999998</v>
      </c>
      <c r="X136">
        <v>155.536</v>
      </c>
      <c r="Y136">
        <v>15323547.789999999</v>
      </c>
      <c r="Z136">
        <v>12946407</v>
      </c>
    </row>
    <row r="137" spans="1:26" x14ac:dyDescent="0.25">
      <c r="A137" t="s">
        <v>380</v>
      </c>
      <c r="B137" t="s">
        <v>376</v>
      </c>
      <c r="C137" t="s">
        <v>381</v>
      </c>
      <c r="D137">
        <v>28123665</v>
      </c>
      <c r="E137">
        <v>0</v>
      </c>
      <c r="F137">
        <v>28123665</v>
      </c>
      <c r="G137">
        <v>16562</v>
      </c>
      <c r="H137">
        <v>27</v>
      </c>
      <c r="I137">
        <v>0</v>
      </c>
      <c r="J137">
        <v>27</v>
      </c>
      <c r="K137">
        <v>0</v>
      </c>
      <c r="L137">
        <v>0</v>
      </c>
      <c r="M137">
        <v>0</v>
      </c>
      <c r="N137">
        <v>0</v>
      </c>
      <c r="O137">
        <v>0</v>
      </c>
      <c r="P137">
        <v>2.9000000000000001E-2</v>
      </c>
      <c r="Q137">
        <v>27.029</v>
      </c>
      <c r="R137">
        <v>8.9960000000000004</v>
      </c>
      <c r="S137">
        <v>0</v>
      </c>
      <c r="T137">
        <v>0</v>
      </c>
      <c r="U137">
        <v>0</v>
      </c>
      <c r="V137">
        <v>0</v>
      </c>
      <c r="W137">
        <v>27.029</v>
      </c>
      <c r="X137">
        <v>123.32299999999999</v>
      </c>
      <c r="Y137">
        <v>3581197.21</v>
      </c>
      <c r="Z137">
        <v>2708826</v>
      </c>
    </row>
    <row r="138" spans="1:26" x14ac:dyDescent="0.25">
      <c r="A138" t="s">
        <v>382</v>
      </c>
      <c r="B138" t="s">
        <v>376</v>
      </c>
      <c r="C138" t="s">
        <v>383</v>
      </c>
      <c r="D138">
        <v>13478602</v>
      </c>
      <c r="E138">
        <v>0</v>
      </c>
      <c r="F138">
        <v>13478602</v>
      </c>
      <c r="G138">
        <v>3074.23</v>
      </c>
      <c r="H138">
        <v>27</v>
      </c>
      <c r="I138">
        <v>0</v>
      </c>
      <c r="J138">
        <v>27</v>
      </c>
      <c r="K138">
        <v>0</v>
      </c>
      <c r="L138">
        <v>0</v>
      </c>
      <c r="M138">
        <v>0</v>
      </c>
      <c r="N138">
        <v>0</v>
      </c>
      <c r="O138">
        <v>0</v>
      </c>
      <c r="P138">
        <v>0.22800000000000001</v>
      </c>
      <c r="Q138">
        <v>27.228000000000002</v>
      </c>
      <c r="R138">
        <v>0</v>
      </c>
      <c r="S138">
        <v>0</v>
      </c>
      <c r="T138">
        <v>0</v>
      </c>
      <c r="U138">
        <v>0</v>
      </c>
      <c r="V138">
        <v>0</v>
      </c>
      <c r="W138">
        <v>27.228000000000002</v>
      </c>
      <c r="X138">
        <v>252.99199999999999</v>
      </c>
      <c r="Y138">
        <v>3454620.19</v>
      </c>
      <c r="Z138">
        <v>3043181</v>
      </c>
    </row>
    <row r="139" spans="1:26" x14ac:dyDescent="0.25">
      <c r="A139" t="s">
        <v>384</v>
      </c>
      <c r="B139" t="s">
        <v>385</v>
      </c>
      <c r="C139" t="s">
        <v>386</v>
      </c>
      <c r="D139">
        <v>1236232913</v>
      </c>
      <c r="E139">
        <v>-48388044</v>
      </c>
      <c r="F139">
        <v>1187844869</v>
      </c>
      <c r="G139">
        <v>1248535.17</v>
      </c>
      <c r="H139">
        <v>27</v>
      </c>
      <c r="I139">
        <v>0</v>
      </c>
      <c r="J139">
        <v>27</v>
      </c>
      <c r="K139">
        <v>0</v>
      </c>
      <c r="L139">
        <v>0</v>
      </c>
      <c r="M139">
        <v>0</v>
      </c>
      <c r="N139">
        <v>0</v>
      </c>
      <c r="O139">
        <v>0</v>
      </c>
      <c r="P139">
        <v>1.0509999999999999</v>
      </c>
      <c r="Q139">
        <v>28.050999999999998</v>
      </c>
      <c r="R139">
        <v>14.9</v>
      </c>
      <c r="S139">
        <v>0</v>
      </c>
      <c r="T139">
        <v>0</v>
      </c>
      <c r="U139">
        <v>0</v>
      </c>
      <c r="V139">
        <v>0</v>
      </c>
      <c r="W139">
        <v>28.050999999999998</v>
      </c>
      <c r="X139">
        <v>129.05699999999999</v>
      </c>
      <c r="Y139">
        <v>155065584.93000001</v>
      </c>
      <c r="Z139">
        <v>121262966</v>
      </c>
    </row>
    <row r="140" spans="1:26" x14ac:dyDescent="0.25">
      <c r="A140" t="s">
        <v>387</v>
      </c>
      <c r="B140" t="s">
        <v>385</v>
      </c>
      <c r="C140" t="s">
        <v>388</v>
      </c>
      <c r="D140">
        <v>888510287</v>
      </c>
      <c r="E140">
        <v>-19862364</v>
      </c>
      <c r="F140">
        <v>868647923</v>
      </c>
      <c r="G140">
        <v>46584.89</v>
      </c>
      <c r="H140">
        <v>27</v>
      </c>
      <c r="I140">
        <v>0</v>
      </c>
      <c r="J140">
        <v>27</v>
      </c>
      <c r="K140">
        <v>0</v>
      </c>
      <c r="L140">
        <v>0</v>
      </c>
      <c r="M140">
        <v>0</v>
      </c>
      <c r="N140">
        <v>0</v>
      </c>
      <c r="O140">
        <v>0</v>
      </c>
      <c r="P140">
        <v>0</v>
      </c>
      <c r="Q140">
        <v>27</v>
      </c>
      <c r="R140">
        <v>12.962999999999999</v>
      </c>
      <c r="S140">
        <v>0</v>
      </c>
      <c r="T140">
        <v>0</v>
      </c>
      <c r="U140">
        <v>0</v>
      </c>
      <c r="V140">
        <v>0</v>
      </c>
      <c r="W140">
        <v>27</v>
      </c>
      <c r="X140">
        <v>110.73</v>
      </c>
      <c r="Y140">
        <v>98173042.159999996</v>
      </c>
      <c r="Z140">
        <v>72680826</v>
      </c>
    </row>
    <row r="141" spans="1:26" x14ac:dyDescent="0.25">
      <c r="A141" t="s">
        <v>389</v>
      </c>
      <c r="B141" t="s">
        <v>390</v>
      </c>
      <c r="C141" t="s">
        <v>391</v>
      </c>
      <c r="D141">
        <v>560088190</v>
      </c>
      <c r="E141">
        <v>0</v>
      </c>
      <c r="F141">
        <v>560088190</v>
      </c>
      <c r="G141">
        <v>25.21</v>
      </c>
      <c r="H141">
        <v>5.7670000000000003</v>
      </c>
      <c r="I141">
        <v>0</v>
      </c>
      <c r="J141">
        <v>5.7670000000000003</v>
      </c>
      <c r="K141">
        <v>0</v>
      </c>
      <c r="L141">
        <v>0</v>
      </c>
      <c r="M141">
        <v>0</v>
      </c>
      <c r="N141">
        <v>0</v>
      </c>
      <c r="O141">
        <v>0.72199999999999998</v>
      </c>
      <c r="P141">
        <v>0</v>
      </c>
      <c r="Q141">
        <v>6.4890000000000008</v>
      </c>
      <c r="R141">
        <v>8.2119999999999997</v>
      </c>
      <c r="S141">
        <v>0</v>
      </c>
      <c r="T141">
        <v>0</v>
      </c>
      <c r="U141">
        <v>0</v>
      </c>
      <c r="V141">
        <v>0</v>
      </c>
      <c r="W141">
        <v>6.4890000000000008</v>
      </c>
      <c r="X141">
        <v>12.587999999999999</v>
      </c>
      <c r="Y141">
        <v>7122858.3899999997</v>
      </c>
      <c r="Z141">
        <v>3794194</v>
      </c>
    </row>
    <row r="142" spans="1:26" x14ac:dyDescent="0.25">
      <c r="A142" t="s">
        <v>392</v>
      </c>
      <c r="B142" t="s">
        <v>390</v>
      </c>
      <c r="C142" t="s">
        <v>393</v>
      </c>
      <c r="D142">
        <v>274192770</v>
      </c>
      <c r="E142">
        <v>0</v>
      </c>
      <c r="F142">
        <v>274192770</v>
      </c>
      <c r="G142">
        <v>71389.209999999992</v>
      </c>
      <c r="H142">
        <v>6.1429999999999998</v>
      </c>
      <c r="I142">
        <v>2.0270000000000001</v>
      </c>
      <c r="J142">
        <v>4.1159999999999997</v>
      </c>
      <c r="K142">
        <v>0</v>
      </c>
      <c r="L142">
        <v>0</v>
      </c>
      <c r="M142">
        <v>2.4470000000000001</v>
      </c>
      <c r="N142">
        <v>0</v>
      </c>
      <c r="O142">
        <v>2.67</v>
      </c>
      <c r="P142">
        <v>0.26</v>
      </c>
      <c r="Q142">
        <v>9.4930000000000003</v>
      </c>
      <c r="R142">
        <v>0</v>
      </c>
      <c r="S142">
        <v>0.96499999999999997</v>
      </c>
      <c r="T142">
        <v>0</v>
      </c>
      <c r="U142">
        <v>0</v>
      </c>
      <c r="V142">
        <v>0</v>
      </c>
      <c r="W142">
        <v>10.458</v>
      </c>
      <c r="X142">
        <v>17.64</v>
      </c>
      <c r="Y142">
        <v>4983519.76</v>
      </c>
      <c r="Z142">
        <v>3761012</v>
      </c>
    </row>
    <row r="143" spans="1:26" x14ac:dyDescent="0.25">
      <c r="A143" t="s">
        <v>394</v>
      </c>
      <c r="B143" t="s">
        <v>395</v>
      </c>
      <c r="C143" t="s">
        <v>396</v>
      </c>
      <c r="D143">
        <v>98215782</v>
      </c>
      <c r="E143">
        <v>0</v>
      </c>
      <c r="F143">
        <v>98215782</v>
      </c>
      <c r="G143">
        <v>628.75</v>
      </c>
      <c r="H143">
        <v>27</v>
      </c>
      <c r="I143">
        <v>8.6920000000000002</v>
      </c>
      <c r="J143">
        <v>18.308</v>
      </c>
      <c r="K143">
        <v>0</v>
      </c>
      <c r="L143">
        <v>0</v>
      </c>
      <c r="M143">
        <v>0</v>
      </c>
      <c r="N143">
        <v>0</v>
      </c>
      <c r="O143">
        <v>9</v>
      </c>
      <c r="P143">
        <v>6.0000000000000001E-3</v>
      </c>
      <c r="Q143">
        <v>27.314</v>
      </c>
      <c r="R143">
        <v>13.367000000000001</v>
      </c>
      <c r="S143">
        <v>0</v>
      </c>
      <c r="T143">
        <v>0</v>
      </c>
      <c r="U143">
        <v>0</v>
      </c>
      <c r="V143">
        <v>0</v>
      </c>
      <c r="W143">
        <v>27.314</v>
      </c>
      <c r="X143">
        <v>46.341999999999999</v>
      </c>
      <c r="Y143">
        <v>4767206.7699999996</v>
      </c>
      <c r="Z143">
        <v>2755559</v>
      </c>
    </row>
    <row r="144" spans="1:26" x14ac:dyDescent="0.25">
      <c r="A144" t="s">
        <v>397</v>
      </c>
      <c r="B144" t="s">
        <v>395</v>
      </c>
      <c r="C144" t="s">
        <v>398</v>
      </c>
      <c r="D144">
        <v>66545953</v>
      </c>
      <c r="E144">
        <v>0</v>
      </c>
      <c r="F144">
        <v>66545953</v>
      </c>
      <c r="G144">
        <v>272.02</v>
      </c>
      <c r="H144">
        <v>27</v>
      </c>
      <c r="I144">
        <v>0</v>
      </c>
      <c r="J144">
        <v>27</v>
      </c>
      <c r="K144">
        <v>0</v>
      </c>
      <c r="L144">
        <v>0</v>
      </c>
      <c r="M144">
        <v>0</v>
      </c>
      <c r="N144">
        <v>0</v>
      </c>
      <c r="O144">
        <v>2.93</v>
      </c>
      <c r="P144">
        <v>4.0000000000000001E-3</v>
      </c>
      <c r="Q144">
        <v>29.934000000000001</v>
      </c>
      <c r="R144">
        <v>9</v>
      </c>
      <c r="S144">
        <v>0</v>
      </c>
      <c r="T144">
        <v>0</v>
      </c>
      <c r="U144">
        <v>0</v>
      </c>
      <c r="V144">
        <v>0</v>
      </c>
      <c r="W144">
        <v>29.934000000000001</v>
      </c>
      <c r="X144">
        <v>161.84200000000001</v>
      </c>
      <c r="Y144">
        <v>11027692.5</v>
      </c>
      <c r="Z144">
        <v>8975063</v>
      </c>
    </row>
    <row r="145" spans="1:26" x14ac:dyDescent="0.25">
      <c r="A145" t="s">
        <v>399</v>
      </c>
      <c r="B145" t="s">
        <v>395</v>
      </c>
      <c r="C145" t="s">
        <v>400</v>
      </c>
      <c r="D145">
        <v>42938347</v>
      </c>
      <c r="E145">
        <v>0</v>
      </c>
      <c r="F145">
        <v>42938347</v>
      </c>
      <c r="G145">
        <v>0.56000000000000005</v>
      </c>
      <c r="H145">
        <v>27</v>
      </c>
      <c r="I145">
        <v>0</v>
      </c>
      <c r="J145">
        <v>27</v>
      </c>
      <c r="K145">
        <v>0</v>
      </c>
      <c r="L145">
        <v>0</v>
      </c>
      <c r="M145">
        <v>0</v>
      </c>
      <c r="N145">
        <v>0</v>
      </c>
      <c r="O145">
        <v>1.7470000000000001</v>
      </c>
      <c r="P145">
        <v>0</v>
      </c>
      <c r="Q145">
        <v>28.747</v>
      </c>
      <c r="R145">
        <v>9.0779999999999994</v>
      </c>
      <c r="S145">
        <v>0</v>
      </c>
      <c r="T145">
        <v>0</v>
      </c>
      <c r="U145">
        <v>0</v>
      </c>
      <c r="V145">
        <v>0</v>
      </c>
      <c r="W145">
        <v>28.747</v>
      </c>
      <c r="X145">
        <v>95.176000000000002</v>
      </c>
      <c r="Y145">
        <v>4219755.97</v>
      </c>
      <c r="Z145">
        <v>2927981</v>
      </c>
    </row>
    <row r="146" spans="1:26" x14ac:dyDescent="0.25">
      <c r="A146" t="s">
        <v>401</v>
      </c>
      <c r="B146" t="s">
        <v>402</v>
      </c>
      <c r="C146" t="s">
        <v>403</v>
      </c>
      <c r="D146">
        <v>131076800</v>
      </c>
      <c r="E146">
        <v>0</v>
      </c>
      <c r="F146">
        <v>131076800</v>
      </c>
      <c r="G146">
        <v>63895.81</v>
      </c>
      <c r="H146">
        <v>27</v>
      </c>
      <c r="I146">
        <v>4.4139999999999997</v>
      </c>
      <c r="J146">
        <v>22.585999999999999</v>
      </c>
      <c r="K146">
        <v>0</v>
      </c>
      <c r="L146">
        <v>0</v>
      </c>
      <c r="M146">
        <v>0</v>
      </c>
      <c r="N146">
        <v>0</v>
      </c>
      <c r="O146">
        <v>6.9080000000000004</v>
      </c>
      <c r="P146">
        <v>0.48699999999999999</v>
      </c>
      <c r="Q146">
        <v>29.980999999999998</v>
      </c>
      <c r="R146">
        <v>14.839</v>
      </c>
      <c r="S146">
        <v>0</v>
      </c>
      <c r="T146">
        <v>0</v>
      </c>
      <c r="U146">
        <v>0</v>
      </c>
      <c r="V146">
        <v>0</v>
      </c>
      <c r="W146">
        <v>29.980999999999998</v>
      </c>
      <c r="X146">
        <v>36.948</v>
      </c>
      <c r="Y146">
        <v>5038887.46</v>
      </c>
      <c r="Z146">
        <v>1892894</v>
      </c>
    </row>
    <row r="147" spans="1:26" x14ac:dyDescent="0.25">
      <c r="A147" t="s">
        <v>404</v>
      </c>
      <c r="B147" t="s">
        <v>402</v>
      </c>
      <c r="C147" t="s">
        <v>405</v>
      </c>
      <c r="D147">
        <v>1138972450</v>
      </c>
      <c r="E147">
        <v>-56339404</v>
      </c>
      <c r="F147">
        <v>1082633046</v>
      </c>
      <c r="G147">
        <v>61559.929999999993</v>
      </c>
      <c r="H147">
        <v>8.5960000000000001</v>
      </c>
      <c r="I147">
        <v>0</v>
      </c>
      <c r="J147">
        <v>8.5960000000000001</v>
      </c>
      <c r="K147">
        <v>0</v>
      </c>
      <c r="L147">
        <v>0</v>
      </c>
      <c r="M147">
        <v>0.98299999999999998</v>
      </c>
      <c r="N147">
        <v>0</v>
      </c>
      <c r="O147">
        <v>5.2309999999999999</v>
      </c>
      <c r="P147">
        <v>5.7000000000000002E-2</v>
      </c>
      <c r="Q147">
        <v>14.867000000000001</v>
      </c>
      <c r="R147">
        <v>8.702</v>
      </c>
      <c r="S147">
        <v>0</v>
      </c>
      <c r="T147">
        <v>0</v>
      </c>
      <c r="U147">
        <v>1.1459999999999999</v>
      </c>
      <c r="V147">
        <v>0</v>
      </c>
      <c r="W147">
        <v>16.013000000000002</v>
      </c>
      <c r="X147">
        <v>22.792999999999999</v>
      </c>
      <c r="Y147">
        <v>26819236.190000001</v>
      </c>
      <c r="Z147">
        <v>16552815</v>
      </c>
    </row>
    <row r="148" spans="1:26" x14ac:dyDescent="0.25">
      <c r="A148" t="s">
        <v>406</v>
      </c>
      <c r="B148" t="s">
        <v>402</v>
      </c>
      <c r="C148" t="s">
        <v>407</v>
      </c>
      <c r="D148">
        <v>99967890</v>
      </c>
      <c r="E148">
        <v>0</v>
      </c>
      <c r="F148">
        <v>99967890</v>
      </c>
      <c r="G148">
        <v>6070.39</v>
      </c>
      <c r="H148">
        <v>27</v>
      </c>
      <c r="I148">
        <v>5.7169999999999996</v>
      </c>
      <c r="J148">
        <v>21.283000000000001</v>
      </c>
      <c r="K148">
        <v>0</v>
      </c>
      <c r="L148">
        <v>0</v>
      </c>
      <c r="M148">
        <v>0</v>
      </c>
      <c r="N148">
        <v>0</v>
      </c>
      <c r="O148">
        <v>11.648999999999999</v>
      </c>
      <c r="P148">
        <v>8.6999999999999994E-2</v>
      </c>
      <c r="Q148">
        <v>33.019000000000005</v>
      </c>
      <c r="R148">
        <v>0</v>
      </c>
      <c r="S148">
        <v>2.379</v>
      </c>
      <c r="T148">
        <v>0</v>
      </c>
      <c r="U148">
        <v>0</v>
      </c>
      <c r="V148">
        <v>6.7320000000000002</v>
      </c>
      <c r="W148">
        <v>42.13000000000001</v>
      </c>
      <c r="X148">
        <v>41.64</v>
      </c>
      <c r="Y148">
        <v>4306820.08</v>
      </c>
      <c r="Z148">
        <v>2037910</v>
      </c>
    </row>
    <row r="149" spans="1:26" x14ac:dyDescent="0.25">
      <c r="A149" t="s">
        <v>408</v>
      </c>
      <c r="B149" t="s">
        <v>409</v>
      </c>
      <c r="C149" t="s">
        <v>410</v>
      </c>
      <c r="D149">
        <v>27733892</v>
      </c>
      <c r="E149">
        <v>0</v>
      </c>
      <c r="F149">
        <v>27733892</v>
      </c>
      <c r="G149">
        <v>224.19</v>
      </c>
      <c r="H149">
        <v>27</v>
      </c>
      <c r="I149">
        <v>1.4419999999999999</v>
      </c>
      <c r="J149">
        <v>25.558</v>
      </c>
      <c r="K149">
        <v>0</v>
      </c>
      <c r="L149">
        <v>0</v>
      </c>
      <c r="M149">
        <v>0</v>
      </c>
      <c r="N149">
        <v>0</v>
      </c>
      <c r="O149">
        <v>0</v>
      </c>
      <c r="P149">
        <v>0</v>
      </c>
      <c r="Q149">
        <v>25.558</v>
      </c>
      <c r="R149">
        <v>10.457000000000001</v>
      </c>
      <c r="S149">
        <v>0</v>
      </c>
      <c r="T149">
        <v>0</v>
      </c>
      <c r="U149">
        <v>0</v>
      </c>
      <c r="V149">
        <v>0</v>
      </c>
      <c r="W149">
        <v>25.558</v>
      </c>
      <c r="X149">
        <v>96.531999999999996</v>
      </c>
      <c r="Y149">
        <v>2723078.91</v>
      </c>
      <c r="Z149">
        <v>1941350</v>
      </c>
    </row>
    <row r="150" spans="1:26" x14ac:dyDescent="0.25">
      <c r="A150" t="s">
        <v>411</v>
      </c>
      <c r="B150" t="s">
        <v>409</v>
      </c>
      <c r="C150" t="s">
        <v>327</v>
      </c>
      <c r="D150">
        <v>32226512</v>
      </c>
      <c r="E150">
        <v>0</v>
      </c>
      <c r="F150">
        <v>32226512</v>
      </c>
      <c r="G150">
        <v>4519.59</v>
      </c>
      <c r="H150">
        <v>27</v>
      </c>
      <c r="I150">
        <v>0</v>
      </c>
      <c r="J150">
        <v>27</v>
      </c>
      <c r="K150">
        <v>0</v>
      </c>
      <c r="L150">
        <v>0</v>
      </c>
      <c r="M150">
        <v>0</v>
      </c>
      <c r="N150">
        <v>0</v>
      </c>
      <c r="O150">
        <v>7.3449999999999998</v>
      </c>
      <c r="P150">
        <v>0.14099999999999999</v>
      </c>
      <c r="Q150">
        <v>34.485999999999997</v>
      </c>
      <c r="R150">
        <v>12.36</v>
      </c>
      <c r="S150">
        <v>0</v>
      </c>
      <c r="T150">
        <v>0</v>
      </c>
      <c r="U150">
        <v>0</v>
      </c>
      <c r="V150">
        <v>0</v>
      </c>
      <c r="W150">
        <v>34.485999999999997</v>
      </c>
      <c r="X150">
        <v>109.745</v>
      </c>
      <c r="Y150">
        <v>3861075.65</v>
      </c>
      <c r="Z150">
        <v>2554170</v>
      </c>
    </row>
    <row r="151" spans="1:26" x14ac:dyDescent="0.25">
      <c r="A151" t="s">
        <v>412</v>
      </c>
      <c r="B151" t="s">
        <v>409</v>
      </c>
      <c r="C151" t="s">
        <v>413</v>
      </c>
      <c r="D151">
        <v>38528484</v>
      </c>
      <c r="E151">
        <v>0</v>
      </c>
      <c r="F151">
        <v>38528484</v>
      </c>
      <c r="G151">
        <v>2344.59</v>
      </c>
      <c r="H151">
        <v>27</v>
      </c>
      <c r="I151">
        <v>0</v>
      </c>
      <c r="J151">
        <v>27</v>
      </c>
      <c r="K151">
        <v>0</v>
      </c>
      <c r="L151">
        <v>0</v>
      </c>
      <c r="M151">
        <v>0</v>
      </c>
      <c r="N151">
        <v>0</v>
      </c>
      <c r="O151">
        <v>0</v>
      </c>
      <c r="P151">
        <v>6.0999999999999999E-2</v>
      </c>
      <c r="Q151">
        <v>27.061</v>
      </c>
      <c r="R151">
        <v>9.07</v>
      </c>
      <c r="S151">
        <v>0</v>
      </c>
      <c r="T151">
        <v>0</v>
      </c>
      <c r="U151">
        <v>0</v>
      </c>
      <c r="V151">
        <v>0</v>
      </c>
      <c r="W151">
        <v>27.061</v>
      </c>
      <c r="X151">
        <v>179.816</v>
      </c>
      <c r="Y151">
        <v>7118095.5300000003</v>
      </c>
      <c r="Z151">
        <v>5900015</v>
      </c>
    </row>
    <row r="152" spans="1:26" x14ac:dyDescent="0.25">
      <c r="A152" t="s">
        <v>414</v>
      </c>
      <c r="B152" t="s">
        <v>415</v>
      </c>
      <c r="C152" t="s">
        <v>416</v>
      </c>
      <c r="D152">
        <v>53479692</v>
      </c>
      <c r="E152">
        <v>0</v>
      </c>
      <c r="F152">
        <v>53479692</v>
      </c>
      <c r="G152">
        <v>4377.84</v>
      </c>
      <c r="H152">
        <v>15.009</v>
      </c>
      <c r="I152">
        <v>2.044</v>
      </c>
      <c r="J152">
        <v>12.965</v>
      </c>
      <c r="K152">
        <v>0</v>
      </c>
      <c r="L152">
        <v>0</v>
      </c>
      <c r="M152">
        <v>0.371</v>
      </c>
      <c r="N152">
        <v>0</v>
      </c>
      <c r="O152">
        <v>0</v>
      </c>
      <c r="P152">
        <v>8.2000000000000003E-2</v>
      </c>
      <c r="Q152">
        <v>13.418000000000001</v>
      </c>
      <c r="R152">
        <v>1.6</v>
      </c>
      <c r="S152">
        <v>0</v>
      </c>
      <c r="T152">
        <v>0</v>
      </c>
      <c r="U152">
        <v>0</v>
      </c>
      <c r="V152">
        <v>0</v>
      </c>
      <c r="W152">
        <v>13.418000000000001</v>
      </c>
      <c r="X152">
        <v>32.561</v>
      </c>
      <c r="Y152">
        <v>1770145.84</v>
      </c>
      <c r="Z152">
        <v>1042227</v>
      </c>
    </row>
    <row r="153" spans="1:26" x14ac:dyDescent="0.25">
      <c r="A153" t="s">
        <v>417</v>
      </c>
      <c r="B153" t="s">
        <v>418</v>
      </c>
      <c r="C153" t="s">
        <v>419</v>
      </c>
      <c r="D153">
        <v>914809044</v>
      </c>
      <c r="E153">
        <v>0</v>
      </c>
      <c r="F153">
        <v>914809044</v>
      </c>
      <c r="G153">
        <v>34994.99</v>
      </c>
      <c r="H153">
        <v>7.2809999999999997</v>
      </c>
      <c r="I153">
        <v>0</v>
      </c>
      <c r="J153">
        <v>7.2809999999999997</v>
      </c>
      <c r="K153">
        <v>0</v>
      </c>
      <c r="L153">
        <v>0</v>
      </c>
      <c r="M153">
        <v>0</v>
      </c>
      <c r="N153">
        <v>0</v>
      </c>
      <c r="O153">
        <v>3.68</v>
      </c>
      <c r="P153">
        <v>3.7999999999999999E-2</v>
      </c>
      <c r="Q153">
        <v>10.999000000000001</v>
      </c>
      <c r="R153">
        <v>2.0219999999999998</v>
      </c>
      <c r="S153">
        <v>0.24099999999999999</v>
      </c>
      <c r="T153">
        <v>0</v>
      </c>
      <c r="U153">
        <v>0</v>
      </c>
      <c r="V153">
        <v>0</v>
      </c>
      <c r="W153">
        <v>11.24</v>
      </c>
      <c r="X153">
        <v>12.756</v>
      </c>
      <c r="Y153">
        <v>11865998.57</v>
      </c>
      <c r="Z153">
        <v>5008734</v>
      </c>
    </row>
    <row r="154" spans="1:26" x14ac:dyDescent="0.25">
      <c r="A154" t="s">
        <v>420</v>
      </c>
      <c r="B154" t="s">
        <v>418</v>
      </c>
      <c r="C154" t="s">
        <v>421</v>
      </c>
      <c r="D154">
        <v>51050886</v>
      </c>
      <c r="E154">
        <v>0</v>
      </c>
      <c r="F154">
        <v>51050886</v>
      </c>
      <c r="G154">
        <v>177.52</v>
      </c>
      <c r="H154">
        <v>16.998999999999999</v>
      </c>
      <c r="I154">
        <v>11.089</v>
      </c>
      <c r="J154">
        <v>5.91</v>
      </c>
      <c r="K154">
        <v>0</v>
      </c>
      <c r="L154">
        <v>0</v>
      </c>
      <c r="M154">
        <v>0</v>
      </c>
      <c r="N154">
        <v>0</v>
      </c>
      <c r="O154">
        <v>7.7919999999999998</v>
      </c>
      <c r="P154">
        <v>4.0000000000000001E-3</v>
      </c>
      <c r="Q154">
        <v>13.706</v>
      </c>
      <c r="R154">
        <v>0</v>
      </c>
      <c r="S154">
        <v>0</v>
      </c>
      <c r="T154">
        <v>0</v>
      </c>
      <c r="U154">
        <v>0</v>
      </c>
      <c r="V154">
        <v>0</v>
      </c>
      <c r="W154">
        <v>13.706</v>
      </c>
      <c r="X154">
        <v>63.527999999999999</v>
      </c>
      <c r="Y154">
        <v>3312990.93</v>
      </c>
      <c r="Z154">
        <v>2993202</v>
      </c>
    </row>
    <row r="155" spans="1:26" x14ac:dyDescent="0.25">
      <c r="A155" t="s">
        <v>422</v>
      </c>
      <c r="B155" t="s">
        <v>423</v>
      </c>
      <c r="C155" t="s">
        <v>424</v>
      </c>
      <c r="D155">
        <v>31962896</v>
      </c>
      <c r="E155">
        <v>0</v>
      </c>
      <c r="F155">
        <v>31962896</v>
      </c>
      <c r="G155">
        <v>642.47</v>
      </c>
      <c r="H155">
        <v>27</v>
      </c>
      <c r="I155">
        <v>0</v>
      </c>
      <c r="J155">
        <v>27</v>
      </c>
      <c r="K155">
        <v>0</v>
      </c>
      <c r="L155">
        <v>0</v>
      </c>
      <c r="M155">
        <v>0</v>
      </c>
      <c r="N155">
        <v>0</v>
      </c>
      <c r="O155">
        <v>0</v>
      </c>
      <c r="P155">
        <v>0.02</v>
      </c>
      <c r="Q155">
        <v>27.02</v>
      </c>
      <c r="R155">
        <v>14.698</v>
      </c>
      <c r="S155">
        <v>0</v>
      </c>
      <c r="T155">
        <v>0</v>
      </c>
      <c r="U155">
        <v>0</v>
      </c>
      <c r="V155">
        <v>0</v>
      </c>
      <c r="W155">
        <v>27.02</v>
      </c>
      <c r="X155">
        <v>237.32300000000001</v>
      </c>
      <c r="Y155">
        <v>7554255.9199999999</v>
      </c>
      <c r="Z155">
        <v>6593172</v>
      </c>
    </row>
    <row r="156" spans="1:26" x14ac:dyDescent="0.25">
      <c r="A156" t="s">
        <v>425</v>
      </c>
      <c r="B156" t="s">
        <v>423</v>
      </c>
      <c r="C156" t="s">
        <v>426</v>
      </c>
      <c r="D156">
        <v>27467359</v>
      </c>
      <c r="E156">
        <v>0</v>
      </c>
      <c r="F156">
        <v>27467359</v>
      </c>
      <c r="G156">
        <v>654.05999999999995</v>
      </c>
      <c r="H156">
        <v>27</v>
      </c>
      <c r="I156">
        <v>2.0579999999999998</v>
      </c>
      <c r="J156">
        <v>24.942</v>
      </c>
      <c r="K156">
        <v>0</v>
      </c>
      <c r="L156">
        <v>0</v>
      </c>
      <c r="M156">
        <v>2.702</v>
      </c>
      <c r="N156">
        <v>0</v>
      </c>
      <c r="O156">
        <v>0</v>
      </c>
      <c r="P156">
        <v>2.4E-2</v>
      </c>
      <c r="Q156">
        <v>27.667999999999999</v>
      </c>
      <c r="R156">
        <v>14</v>
      </c>
      <c r="S156">
        <v>0</v>
      </c>
      <c r="T156">
        <v>0</v>
      </c>
      <c r="U156">
        <v>0</v>
      </c>
      <c r="V156">
        <v>0</v>
      </c>
      <c r="W156">
        <v>27.667999999999999</v>
      </c>
      <c r="X156">
        <v>86.873000000000005</v>
      </c>
      <c r="Y156">
        <v>2472804.35</v>
      </c>
      <c r="Z156">
        <v>1700823</v>
      </c>
    </row>
    <row r="157" spans="1:26" x14ac:dyDescent="0.25">
      <c r="A157" t="s">
        <v>427</v>
      </c>
      <c r="B157" t="s">
        <v>428</v>
      </c>
      <c r="C157" t="s">
        <v>428</v>
      </c>
      <c r="D157">
        <v>2449685940</v>
      </c>
      <c r="E157">
        <v>-40636540</v>
      </c>
      <c r="F157">
        <v>2409049400</v>
      </c>
      <c r="G157">
        <v>101711.56</v>
      </c>
      <c r="H157">
        <v>10.666</v>
      </c>
      <c r="I157">
        <v>0</v>
      </c>
      <c r="J157">
        <v>10.666</v>
      </c>
      <c r="K157">
        <v>0</v>
      </c>
      <c r="L157">
        <v>0</v>
      </c>
      <c r="M157">
        <v>0.61199999999999999</v>
      </c>
      <c r="N157">
        <v>0</v>
      </c>
      <c r="O157">
        <v>2.375</v>
      </c>
      <c r="P157">
        <v>4.2000000000000003E-2</v>
      </c>
      <c r="Q157">
        <v>13.695</v>
      </c>
      <c r="R157">
        <v>3.8109999999999999</v>
      </c>
      <c r="S157">
        <v>0.36499999999999999</v>
      </c>
      <c r="T157">
        <v>0</v>
      </c>
      <c r="U157">
        <v>1</v>
      </c>
      <c r="V157">
        <v>0</v>
      </c>
      <c r="W157">
        <v>15.06</v>
      </c>
      <c r="X157">
        <v>14.571999999999999</v>
      </c>
      <c r="Y157">
        <v>36810687.869999997</v>
      </c>
      <c r="Z157">
        <v>9438594</v>
      </c>
    </row>
    <row r="158" spans="1:26" x14ac:dyDescent="0.25">
      <c r="A158" t="s">
        <v>429</v>
      </c>
      <c r="B158" t="s">
        <v>430</v>
      </c>
      <c r="C158" t="s">
        <v>431</v>
      </c>
      <c r="D158">
        <v>369260500</v>
      </c>
      <c r="E158">
        <v>0</v>
      </c>
      <c r="F158">
        <v>369260500</v>
      </c>
      <c r="G158">
        <v>3198.85</v>
      </c>
      <c r="H158">
        <v>9.6240000000000006</v>
      </c>
      <c r="I158">
        <v>0</v>
      </c>
      <c r="J158">
        <v>9.6240000000000006</v>
      </c>
      <c r="K158">
        <v>0</v>
      </c>
      <c r="L158">
        <v>0</v>
      </c>
      <c r="M158">
        <v>0</v>
      </c>
      <c r="N158">
        <v>0</v>
      </c>
      <c r="O158">
        <v>1.581</v>
      </c>
      <c r="P158">
        <v>8.9999999999999993E-3</v>
      </c>
      <c r="Q158">
        <v>11.214</v>
      </c>
      <c r="R158">
        <v>2.669</v>
      </c>
      <c r="S158">
        <v>0</v>
      </c>
      <c r="T158">
        <v>0</v>
      </c>
      <c r="U158">
        <v>0</v>
      </c>
      <c r="V158">
        <v>0</v>
      </c>
      <c r="W158">
        <v>11.214</v>
      </c>
      <c r="X158">
        <v>13.8834</v>
      </c>
      <c r="Y158">
        <v>4416504.42</v>
      </c>
      <c r="Z158">
        <v>462889</v>
      </c>
    </row>
    <row r="159" spans="1:26" x14ac:dyDescent="0.25">
      <c r="A159" t="s">
        <v>432</v>
      </c>
      <c r="B159" t="s">
        <v>430</v>
      </c>
      <c r="C159" t="s">
        <v>433</v>
      </c>
      <c r="D159">
        <v>336437600</v>
      </c>
      <c r="E159">
        <v>-9665589</v>
      </c>
      <c r="F159">
        <v>326772011</v>
      </c>
      <c r="G159">
        <v>2695.5</v>
      </c>
      <c r="H159">
        <v>27</v>
      </c>
      <c r="I159">
        <v>2.4500000000000002</v>
      </c>
      <c r="J159">
        <v>24.55</v>
      </c>
      <c r="K159">
        <v>0</v>
      </c>
      <c r="L159">
        <v>0</v>
      </c>
      <c r="M159">
        <v>0</v>
      </c>
      <c r="N159">
        <v>0</v>
      </c>
      <c r="O159">
        <v>3.3660000000000001</v>
      </c>
      <c r="P159">
        <v>8.0000000000000002E-3</v>
      </c>
      <c r="Q159">
        <v>27.923999999999999</v>
      </c>
      <c r="R159">
        <v>0</v>
      </c>
      <c r="S159">
        <v>0</v>
      </c>
      <c r="T159">
        <v>0</v>
      </c>
      <c r="U159">
        <v>0</v>
      </c>
      <c r="V159">
        <v>0</v>
      </c>
      <c r="W159">
        <v>27.923999999999999</v>
      </c>
      <c r="X159">
        <v>63.576999999999998</v>
      </c>
      <c r="Y159">
        <v>21606210.420000002</v>
      </c>
      <c r="Z159">
        <v>12756227</v>
      </c>
    </row>
    <row r="160" spans="1:26" x14ac:dyDescent="0.25">
      <c r="A160" t="s">
        <v>434</v>
      </c>
      <c r="B160" t="s">
        <v>435</v>
      </c>
      <c r="C160" t="s">
        <v>436</v>
      </c>
      <c r="D160">
        <v>48031749</v>
      </c>
      <c r="E160">
        <v>0</v>
      </c>
      <c r="F160">
        <v>48031749</v>
      </c>
      <c r="G160">
        <v>32350</v>
      </c>
      <c r="H160">
        <v>27</v>
      </c>
      <c r="I160">
        <v>0.56200000000000006</v>
      </c>
      <c r="J160">
        <v>26.437999999999999</v>
      </c>
      <c r="K160">
        <v>0</v>
      </c>
      <c r="L160">
        <v>0</v>
      </c>
      <c r="M160">
        <v>0</v>
      </c>
      <c r="N160">
        <v>0</v>
      </c>
      <c r="O160">
        <v>0</v>
      </c>
      <c r="P160">
        <v>0.16700000000000001</v>
      </c>
      <c r="Q160">
        <v>26.605</v>
      </c>
      <c r="R160">
        <v>10.16</v>
      </c>
      <c r="S160">
        <v>0</v>
      </c>
      <c r="T160">
        <v>0</v>
      </c>
      <c r="U160">
        <v>0</v>
      </c>
      <c r="V160">
        <v>0</v>
      </c>
      <c r="W160">
        <v>26.605</v>
      </c>
      <c r="X160">
        <v>98.361000000000004</v>
      </c>
      <c r="Y160">
        <v>4811205.87</v>
      </c>
      <c r="Z160">
        <v>3418305</v>
      </c>
    </row>
    <row r="161" spans="1:26" x14ac:dyDescent="0.25">
      <c r="A161" t="s">
        <v>437</v>
      </c>
      <c r="B161" t="s">
        <v>435</v>
      </c>
      <c r="C161" t="s">
        <v>438</v>
      </c>
      <c r="D161">
        <v>29821787</v>
      </c>
      <c r="E161">
        <v>0</v>
      </c>
      <c r="F161">
        <v>29821787</v>
      </c>
      <c r="G161">
        <v>46079.7</v>
      </c>
      <c r="H161">
        <v>27</v>
      </c>
      <c r="I161">
        <v>10.819000000000001</v>
      </c>
      <c r="J161">
        <v>16.181000000000001</v>
      </c>
      <c r="K161">
        <v>0</v>
      </c>
      <c r="L161">
        <v>0</v>
      </c>
      <c r="M161">
        <v>0.26200000000000001</v>
      </c>
      <c r="N161">
        <v>0</v>
      </c>
      <c r="O161">
        <v>8.3840000000000003</v>
      </c>
      <c r="P161">
        <v>1.5449999999999999</v>
      </c>
      <c r="Q161">
        <v>26.372</v>
      </c>
      <c r="R161">
        <v>0</v>
      </c>
      <c r="S161">
        <v>0</v>
      </c>
      <c r="T161">
        <v>0</v>
      </c>
      <c r="U161">
        <v>0</v>
      </c>
      <c r="V161">
        <v>0</v>
      </c>
      <c r="W161">
        <v>26.372</v>
      </c>
      <c r="X161">
        <v>62.113999999999997</v>
      </c>
      <c r="Y161">
        <v>1928053.17</v>
      </c>
      <c r="Z161">
        <v>1366864</v>
      </c>
    </row>
    <row r="162" spans="1:26" x14ac:dyDescent="0.25">
      <c r="A162" t="s">
        <v>439</v>
      </c>
      <c r="B162" t="s">
        <v>435</v>
      </c>
      <c r="C162" t="s">
        <v>440</v>
      </c>
      <c r="D162">
        <v>20415588</v>
      </c>
      <c r="E162">
        <v>0</v>
      </c>
      <c r="F162">
        <v>20415588</v>
      </c>
      <c r="G162">
        <v>9248.65</v>
      </c>
      <c r="H162">
        <v>27</v>
      </c>
      <c r="I162">
        <v>0</v>
      </c>
      <c r="J162">
        <v>27</v>
      </c>
      <c r="K162">
        <v>0</v>
      </c>
      <c r="L162">
        <v>0</v>
      </c>
      <c r="M162">
        <v>0</v>
      </c>
      <c r="N162">
        <v>0</v>
      </c>
      <c r="O162">
        <v>0</v>
      </c>
      <c r="P162">
        <v>0.45300000000000001</v>
      </c>
      <c r="Q162">
        <v>27.452999999999999</v>
      </c>
      <c r="R162">
        <v>9.2509999999999994</v>
      </c>
      <c r="S162">
        <v>0</v>
      </c>
      <c r="T162">
        <v>0</v>
      </c>
      <c r="U162">
        <v>0</v>
      </c>
      <c r="V162">
        <v>0</v>
      </c>
      <c r="W162">
        <v>27.452999999999999</v>
      </c>
      <c r="X162">
        <v>160.41</v>
      </c>
      <c r="Y162">
        <v>3331850.92</v>
      </c>
      <c r="Z162">
        <v>2724569</v>
      </c>
    </row>
    <row r="163" spans="1:26" x14ac:dyDescent="0.25">
      <c r="A163" t="s">
        <v>441</v>
      </c>
      <c r="B163" t="s">
        <v>435</v>
      </c>
      <c r="C163" t="s">
        <v>442</v>
      </c>
      <c r="D163">
        <v>22595459</v>
      </c>
      <c r="E163">
        <v>0</v>
      </c>
      <c r="F163">
        <v>22595459</v>
      </c>
      <c r="G163">
        <v>1998.06</v>
      </c>
      <c r="H163">
        <v>27</v>
      </c>
      <c r="I163">
        <v>0</v>
      </c>
      <c r="J163">
        <v>27</v>
      </c>
      <c r="K163">
        <v>0</v>
      </c>
      <c r="L163">
        <v>0</v>
      </c>
      <c r="M163">
        <v>0</v>
      </c>
      <c r="N163">
        <v>0</v>
      </c>
      <c r="O163">
        <v>0</v>
      </c>
      <c r="P163">
        <v>0</v>
      </c>
      <c r="Q163">
        <v>27</v>
      </c>
      <c r="R163">
        <v>0</v>
      </c>
      <c r="S163">
        <v>0</v>
      </c>
      <c r="T163">
        <v>0</v>
      </c>
      <c r="U163">
        <v>0</v>
      </c>
      <c r="V163">
        <v>0</v>
      </c>
      <c r="W163">
        <v>27</v>
      </c>
      <c r="X163">
        <v>100.711</v>
      </c>
      <c r="Y163">
        <v>2326466.5099999998</v>
      </c>
      <c r="Z163">
        <v>1665530</v>
      </c>
    </row>
    <row r="164" spans="1:26" x14ac:dyDescent="0.25">
      <c r="A164" t="s">
        <v>443</v>
      </c>
      <c r="B164" t="s">
        <v>435</v>
      </c>
      <c r="C164" t="s">
        <v>444</v>
      </c>
      <c r="D164">
        <v>37070226</v>
      </c>
      <c r="E164">
        <v>0</v>
      </c>
      <c r="F164">
        <v>37070226</v>
      </c>
      <c r="G164">
        <v>92903.5</v>
      </c>
      <c r="H164">
        <v>27</v>
      </c>
      <c r="I164">
        <v>5.2279999999999998</v>
      </c>
      <c r="J164">
        <v>21.771999999999998</v>
      </c>
      <c r="K164">
        <v>0</v>
      </c>
      <c r="L164">
        <v>0</v>
      </c>
      <c r="M164">
        <v>1.9370000000000001</v>
      </c>
      <c r="N164">
        <v>0</v>
      </c>
      <c r="O164">
        <v>3.9009999999999998</v>
      </c>
      <c r="P164">
        <v>8.8999999999999996E-2</v>
      </c>
      <c r="Q164">
        <v>27.698999999999998</v>
      </c>
      <c r="R164">
        <v>0</v>
      </c>
      <c r="S164">
        <v>0</v>
      </c>
      <c r="T164">
        <v>0</v>
      </c>
      <c r="U164">
        <v>0</v>
      </c>
      <c r="V164">
        <v>0</v>
      </c>
      <c r="W164">
        <v>27.698999999999998</v>
      </c>
      <c r="X164">
        <v>37.409999999999997</v>
      </c>
      <c r="Y164">
        <v>1518430.27</v>
      </c>
      <c r="Z164">
        <v>438000</v>
      </c>
    </row>
    <row r="165" spans="1:26" x14ac:dyDescent="0.25">
      <c r="A165" t="s">
        <v>445</v>
      </c>
      <c r="B165" t="s">
        <v>446</v>
      </c>
      <c r="C165" t="s">
        <v>447</v>
      </c>
      <c r="D165">
        <v>1584484550</v>
      </c>
      <c r="E165">
        <v>-172311</v>
      </c>
      <c r="F165">
        <v>1584312239</v>
      </c>
      <c r="G165">
        <v>2888.37</v>
      </c>
      <c r="H165">
        <v>9.6389999999999993</v>
      </c>
      <c r="I165">
        <v>1.4390000000000001</v>
      </c>
      <c r="J165">
        <v>8.1999999999999993</v>
      </c>
      <c r="K165">
        <v>0</v>
      </c>
      <c r="L165">
        <v>0</v>
      </c>
      <c r="M165">
        <v>0</v>
      </c>
      <c r="N165">
        <v>0</v>
      </c>
      <c r="O165">
        <v>2.464</v>
      </c>
      <c r="P165">
        <v>1E-3</v>
      </c>
      <c r="Q165">
        <v>10.664999999999999</v>
      </c>
      <c r="R165">
        <v>6.0220000000000002</v>
      </c>
      <c r="S165">
        <v>0</v>
      </c>
      <c r="T165">
        <v>0</v>
      </c>
      <c r="U165">
        <v>0</v>
      </c>
      <c r="V165">
        <v>0</v>
      </c>
      <c r="W165">
        <v>10.664999999999999</v>
      </c>
      <c r="X165">
        <v>11.116</v>
      </c>
      <c r="Y165">
        <v>18174298.379999999</v>
      </c>
      <c r="Z165">
        <v>4650506</v>
      </c>
    </row>
    <row r="166" spans="1:26" x14ac:dyDescent="0.25">
      <c r="A166" t="s">
        <v>448</v>
      </c>
      <c r="B166" t="s">
        <v>446</v>
      </c>
      <c r="C166" t="s">
        <v>449</v>
      </c>
      <c r="D166">
        <v>944244100</v>
      </c>
      <c r="E166">
        <v>0</v>
      </c>
      <c r="F166">
        <v>944244100</v>
      </c>
      <c r="G166">
        <v>150424.24</v>
      </c>
      <c r="H166">
        <v>22.207999999999998</v>
      </c>
      <c r="I166">
        <v>0.77</v>
      </c>
      <c r="J166">
        <v>21.437999999999999</v>
      </c>
      <c r="K166">
        <v>0.84499999999999997</v>
      </c>
      <c r="L166">
        <v>0.73299999999999998</v>
      </c>
      <c r="M166">
        <v>0</v>
      </c>
      <c r="N166">
        <v>0</v>
      </c>
      <c r="O166">
        <v>2.86</v>
      </c>
      <c r="P166">
        <v>0.159</v>
      </c>
      <c r="Q166">
        <v>22.878999999999998</v>
      </c>
      <c r="R166">
        <v>10.5</v>
      </c>
      <c r="S166">
        <v>0</v>
      </c>
      <c r="T166">
        <v>0</v>
      </c>
      <c r="U166">
        <v>0</v>
      </c>
      <c r="V166">
        <v>0</v>
      </c>
      <c r="W166">
        <v>22.878999999999998</v>
      </c>
      <c r="X166">
        <v>19.527000000000001</v>
      </c>
      <c r="Y166">
        <v>19514541.68</v>
      </c>
      <c r="Z166">
        <v>0</v>
      </c>
    </row>
    <row r="167" spans="1:26" x14ac:dyDescent="0.25">
      <c r="A167" t="s">
        <v>450</v>
      </c>
      <c r="B167" t="s">
        <v>446</v>
      </c>
      <c r="C167" t="s">
        <v>451</v>
      </c>
      <c r="D167">
        <v>1937180970</v>
      </c>
      <c r="E167">
        <v>0</v>
      </c>
      <c r="F167">
        <v>1937180970</v>
      </c>
      <c r="G167">
        <v>6862.8099999999995</v>
      </c>
      <c r="H167">
        <v>10.845000000000001</v>
      </c>
      <c r="I167">
        <v>0</v>
      </c>
      <c r="J167">
        <v>10.845000000000001</v>
      </c>
      <c r="K167">
        <v>0</v>
      </c>
      <c r="L167">
        <v>0</v>
      </c>
      <c r="M167">
        <v>2.4E-2</v>
      </c>
      <c r="N167">
        <v>0</v>
      </c>
      <c r="O167">
        <v>2.323</v>
      </c>
      <c r="P167">
        <v>3.0000000000000001E-3</v>
      </c>
      <c r="Q167">
        <v>13.195</v>
      </c>
      <c r="R167">
        <v>3.8290000000000002</v>
      </c>
      <c r="S167">
        <v>0</v>
      </c>
      <c r="T167">
        <v>0</v>
      </c>
      <c r="U167">
        <v>0</v>
      </c>
      <c r="V167">
        <v>0</v>
      </c>
      <c r="W167">
        <v>13.195</v>
      </c>
      <c r="X167">
        <v>12.393000000000001</v>
      </c>
      <c r="Y167">
        <v>24992684.260000002</v>
      </c>
      <c r="Z167">
        <v>3015041</v>
      </c>
    </row>
    <row r="168" spans="1:26" x14ac:dyDescent="0.25">
      <c r="A168" t="s">
        <v>452</v>
      </c>
      <c r="B168" t="s">
        <v>446</v>
      </c>
      <c r="C168" t="s">
        <v>453</v>
      </c>
      <c r="D168">
        <v>1632343680</v>
      </c>
      <c r="E168">
        <v>-1059658</v>
      </c>
      <c r="F168">
        <v>1631284022</v>
      </c>
      <c r="G168">
        <v>146562.25</v>
      </c>
      <c r="H168">
        <v>27</v>
      </c>
      <c r="I168">
        <v>0</v>
      </c>
      <c r="J168">
        <v>27</v>
      </c>
      <c r="K168">
        <v>0</v>
      </c>
      <c r="L168">
        <v>0</v>
      </c>
      <c r="M168">
        <v>0</v>
      </c>
      <c r="N168">
        <v>0</v>
      </c>
      <c r="O168">
        <v>5.33</v>
      </c>
      <c r="P168">
        <v>0.09</v>
      </c>
      <c r="Q168">
        <v>32.42</v>
      </c>
      <c r="R168">
        <v>18.459</v>
      </c>
      <c r="S168">
        <v>0</v>
      </c>
      <c r="T168">
        <v>0</v>
      </c>
      <c r="U168">
        <v>0</v>
      </c>
      <c r="V168">
        <v>0</v>
      </c>
      <c r="W168">
        <v>32.42</v>
      </c>
      <c r="X168">
        <v>47.768999999999998</v>
      </c>
      <c r="Y168">
        <v>79330505.340000004</v>
      </c>
      <c r="Z168">
        <v>33664527</v>
      </c>
    </row>
    <row r="169" spans="1:26" x14ac:dyDescent="0.25">
      <c r="A169" t="s">
        <v>454</v>
      </c>
      <c r="B169" t="s">
        <v>446</v>
      </c>
      <c r="C169" t="s">
        <v>455</v>
      </c>
      <c r="D169">
        <v>652112343</v>
      </c>
      <c r="E169">
        <v>0</v>
      </c>
      <c r="F169">
        <v>652112343</v>
      </c>
      <c r="G169">
        <v>89111.4</v>
      </c>
      <c r="H169">
        <v>27</v>
      </c>
      <c r="I169">
        <v>6.5860000000000003</v>
      </c>
      <c r="J169">
        <v>20.414000000000001</v>
      </c>
      <c r="K169">
        <v>0</v>
      </c>
      <c r="L169">
        <v>0</v>
      </c>
      <c r="M169">
        <v>0</v>
      </c>
      <c r="N169">
        <v>0</v>
      </c>
      <c r="O169">
        <v>6.9009999999999998</v>
      </c>
      <c r="P169">
        <v>0.13700000000000001</v>
      </c>
      <c r="Q169">
        <v>27.452000000000002</v>
      </c>
      <c r="R169">
        <v>18.283000000000001</v>
      </c>
      <c r="S169">
        <v>0</v>
      </c>
      <c r="T169">
        <v>0</v>
      </c>
      <c r="U169">
        <v>0</v>
      </c>
      <c r="V169">
        <v>0</v>
      </c>
      <c r="W169">
        <v>27.452000000000002</v>
      </c>
      <c r="X169">
        <v>55.179000000000002</v>
      </c>
      <c r="Y169">
        <v>36374404.950000003</v>
      </c>
      <c r="Z169">
        <v>22712518</v>
      </c>
    </row>
    <row r="170" spans="1:26" x14ac:dyDescent="0.25">
      <c r="A170" t="s">
        <v>456</v>
      </c>
      <c r="B170" t="s">
        <v>446</v>
      </c>
      <c r="C170" t="s">
        <v>457</v>
      </c>
      <c r="D170">
        <v>2711194710</v>
      </c>
      <c r="E170">
        <v>-199536616</v>
      </c>
      <c r="F170">
        <v>2511658094</v>
      </c>
      <c r="G170">
        <v>333884.03999999998</v>
      </c>
      <c r="H170">
        <v>27</v>
      </c>
      <c r="I170">
        <v>0</v>
      </c>
      <c r="J170">
        <v>27</v>
      </c>
      <c r="K170">
        <v>0</v>
      </c>
      <c r="L170">
        <v>0</v>
      </c>
      <c r="M170">
        <v>0</v>
      </c>
      <c r="N170">
        <v>0</v>
      </c>
      <c r="O170">
        <v>10</v>
      </c>
      <c r="P170">
        <v>0.13300000000000001</v>
      </c>
      <c r="Q170">
        <v>37.133000000000003</v>
      </c>
      <c r="R170">
        <v>13.266</v>
      </c>
      <c r="S170">
        <v>0</v>
      </c>
      <c r="T170">
        <v>0</v>
      </c>
      <c r="U170">
        <v>0</v>
      </c>
      <c r="V170">
        <v>0</v>
      </c>
      <c r="W170">
        <v>37.133000000000003</v>
      </c>
      <c r="X170">
        <v>88.712000000000003</v>
      </c>
      <c r="Y170">
        <v>225612866.44</v>
      </c>
      <c r="Z170">
        <v>154688713</v>
      </c>
    </row>
    <row r="171" spans="1:26" x14ac:dyDescent="0.25">
      <c r="A171" t="s">
        <v>458</v>
      </c>
      <c r="B171" t="s">
        <v>446</v>
      </c>
      <c r="C171" t="s">
        <v>459</v>
      </c>
      <c r="D171">
        <v>2467322390</v>
      </c>
      <c r="E171">
        <v>0</v>
      </c>
      <c r="F171">
        <v>2467322390</v>
      </c>
      <c r="G171">
        <v>23274.14</v>
      </c>
      <c r="H171">
        <v>5.6239999999999997</v>
      </c>
      <c r="I171">
        <v>0</v>
      </c>
      <c r="J171">
        <v>5.6239999999999997</v>
      </c>
      <c r="K171">
        <v>0.27</v>
      </c>
      <c r="L171">
        <v>0.88300000000000001</v>
      </c>
      <c r="M171">
        <v>0</v>
      </c>
      <c r="N171">
        <v>0</v>
      </c>
      <c r="O171">
        <v>1.177</v>
      </c>
      <c r="P171">
        <v>0</v>
      </c>
      <c r="Q171">
        <v>5.6479999999999997</v>
      </c>
      <c r="R171">
        <v>2.7519999999999998</v>
      </c>
      <c r="S171">
        <v>0</v>
      </c>
      <c r="T171">
        <v>0</v>
      </c>
      <c r="U171">
        <v>0</v>
      </c>
      <c r="V171">
        <v>0</v>
      </c>
      <c r="W171">
        <v>5.6479999999999997</v>
      </c>
      <c r="X171">
        <v>4.4710000000000001</v>
      </c>
      <c r="Y171">
        <v>11364072.85</v>
      </c>
      <c r="Z171">
        <v>11031398</v>
      </c>
    </row>
    <row r="172" spans="1:26" x14ac:dyDescent="0.25">
      <c r="A172" t="s">
        <v>460</v>
      </c>
      <c r="B172" t="s">
        <v>446</v>
      </c>
      <c r="C172" t="s">
        <v>461</v>
      </c>
      <c r="D172">
        <v>1548980460</v>
      </c>
      <c r="E172">
        <v>-49252353</v>
      </c>
      <c r="F172">
        <v>1499728107</v>
      </c>
      <c r="G172">
        <v>22159.26</v>
      </c>
      <c r="H172">
        <v>12.143000000000001</v>
      </c>
      <c r="I172">
        <v>0</v>
      </c>
      <c r="J172">
        <v>12.143000000000001</v>
      </c>
      <c r="K172">
        <v>0</v>
      </c>
      <c r="L172">
        <v>0</v>
      </c>
      <c r="M172">
        <v>0</v>
      </c>
      <c r="N172">
        <v>0</v>
      </c>
      <c r="O172">
        <v>1.7829999999999999</v>
      </c>
      <c r="P172">
        <v>1.2999999999999999E-2</v>
      </c>
      <c r="Q172">
        <v>13.939</v>
      </c>
      <c r="R172">
        <v>4.3970000000000002</v>
      </c>
      <c r="S172">
        <v>0</v>
      </c>
      <c r="T172">
        <v>0</v>
      </c>
      <c r="U172">
        <v>0</v>
      </c>
      <c r="V172">
        <v>0</v>
      </c>
      <c r="W172">
        <v>13.939</v>
      </c>
      <c r="X172">
        <v>16.055</v>
      </c>
      <c r="Y172">
        <v>24255342.969999999</v>
      </c>
      <c r="Z172">
        <v>5734868</v>
      </c>
    </row>
    <row r="173" spans="1:26" x14ac:dyDescent="0.25">
      <c r="A173" t="s">
        <v>462</v>
      </c>
      <c r="B173" t="s">
        <v>446</v>
      </c>
      <c r="C173" t="s">
        <v>463</v>
      </c>
      <c r="D173">
        <v>488213650</v>
      </c>
      <c r="E173">
        <v>0</v>
      </c>
      <c r="F173">
        <v>488213650</v>
      </c>
      <c r="G173">
        <v>2656.78</v>
      </c>
      <c r="H173">
        <v>27</v>
      </c>
      <c r="I173">
        <v>8.1199999999999992</v>
      </c>
      <c r="J173">
        <v>18.88</v>
      </c>
      <c r="K173">
        <v>0</v>
      </c>
      <c r="L173">
        <v>0</v>
      </c>
      <c r="M173">
        <v>0</v>
      </c>
      <c r="N173">
        <v>0</v>
      </c>
      <c r="O173">
        <v>1.8440000000000001</v>
      </c>
      <c r="P173">
        <v>5.0000000000000001E-3</v>
      </c>
      <c r="Q173">
        <v>20.728999999999999</v>
      </c>
      <c r="R173">
        <v>2.109</v>
      </c>
      <c r="S173">
        <v>0</v>
      </c>
      <c r="T173">
        <v>0</v>
      </c>
      <c r="U173">
        <v>0</v>
      </c>
      <c r="V173">
        <v>0</v>
      </c>
      <c r="W173">
        <v>20.728999999999999</v>
      </c>
      <c r="X173">
        <v>20.353000000000002</v>
      </c>
      <c r="Y173">
        <v>10232293.92</v>
      </c>
      <c r="Z173">
        <v>724193</v>
      </c>
    </row>
    <row r="174" spans="1:26" x14ac:dyDescent="0.25">
      <c r="A174" t="s">
        <v>464</v>
      </c>
      <c r="B174" t="s">
        <v>446</v>
      </c>
      <c r="C174" t="s">
        <v>465</v>
      </c>
      <c r="D174">
        <v>352130200</v>
      </c>
      <c r="E174">
        <v>0</v>
      </c>
      <c r="F174">
        <v>352130200</v>
      </c>
      <c r="G174">
        <v>62.4</v>
      </c>
      <c r="H174">
        <v>12.375999999999999</v>
      </c>
      <c r="I174">
        <v>0</v>
      </c>
      <c r="J174">
        <v>12.375999999999999</v>
      </c>
      <c r="K174">
        <v>0.40799999999999997</v>
      </c>
      <c r="L174">
        <v>3.504</v>
      </c>
      <c r="M174">
        <v>0</v>
      </c>
      <c r="N174">
        <v>0</v>
      </c>
      <c r="O174">
        <v>2.2719999999999998</v>
      </c>
      <c r="P174">
        <v>0</v>
      </c>
      <c r="Q174">
        <v>10.736000000000001</v>
      </c>
      <c r="R174">
        <v>1.07</v>
      </c>
      <c r="S174">
        <v>0</v>
      </c>
      <c r="T174">
        <v>0</v>
      </c>
      <c r="U174">
        <v>0</v>
      </c>
      <c r="V174">
        <v>0</v>
      </c>
      <c r="W174">
        <v>10.736000000000001</v>
      </c>
      <c r="X174">
        <v>8.4640000000000004</v>
      </c>
      <c r="Y174">
        <v>2990961.91</v>
      </c>
      <c r="Z174">
        <v>0</v>
      </c>
    </row>
    <row r="175" spans="1:26" x14ac:dyDescent="0.25">
      <c r="A175" t="s">
        <v>466</v>
      </c>
      <c r="B175" t="s">
        <v>446</v>
      </c>
      <c r="C175" t="s">
        <v>467</v>
      </c>
      <c r="D175">
        <v>520286730</v>
      </c>
      <c r="E175">
        <v>0</v>
      </c>
      <c r="F175">
        <v>520286730</v>
      </c>
      <c r="G175">
        <v>40.64</v>
      </c>
      <c r="H175">
        <v>5.0679999999999996</v>
      </c>
      <c r="I175">
        <v>0</v>
      </c>
      <c r="J175">
        <v>5.0679999999999996</v>
      </c>
      <c r="K175">
        <v>0</v>
      </c>
      <c r="L175">
        <v>0</v>
      </c>
      <c r="M175">
        <v>0</v>
      </c>
      <c r="N175">
        <v>0</v>
      </c>
      <c r="O175">
        <v>0.14399999999999999</v>
      </c>
      <c r="P175">
        <v>0</v>
      </c>
      <c r="Q175">
        <v>5.2119999999999997</v>
      </c>
      <c r="R175">
        <v>0.48799999999999999</v>
      </c>
      <c r="S175">
        <v>0</v>
      </c>
      <c r="T175">
        <v>0</v>
      </c>
      <c r="U175">
        <v>0</v>
      </c>
      <c r="V175">
        <v>0</v>
      </c>
      <c r="W175">
        <v>5.2119999999999997</v>
      </c>
      <c r="X175">
        <v>5.4470000000000001</v>
      </c>
      <c r="Y175">
        <v>3156962.51</v>
      </c>
      <c r="Z175">
        <v>212796</v>
      </c>
    </row>
    <row r="176" spans="1:26" x14ac:dyDescent="0.25">
      <c r="A176" t="s">
        <v>468</v>
      </c>
      <c r="B176" t="s">
        <v>446</v>
      </c>
      <c r="C176" t="s">
        <v>469</v>
      </c>
      <c r="D176">
        <v>540039500</v>
      </c>
      <c r="E176">
        <v>0</v>
      </c>
      <c r="F176">
        <v>540039500</v>
      </c>
      <c r="G176">
        <v>90.99</v>
      </c>
      <c r="H176">
        <v>4.2930000000000001</v>
      </c>
      <c r="I176">
        <v>0</v>
      </c>
      <c r="J176">
        <v>4.2930000000000001</v>
      </c>
      <c r="K176">
        <v>0.13200000000000001</v>
      </c>
      <c r="L176">
        <v>1.8740000000000001</v>
      </c>
      <c r="M176">
        <v>0</v>
      </c>
      <c r="N176">
        <v>0</v>
      </c>
      <c r="O176">
        <v>0.75</v>
      </c>
      <c r="P176">
        <v>0</v>
      </c>
      <c r="Q176">
        <v>3.0370000000000004</v>
      </c>
      <c r="R176">
        <v>0</v>
      </c>
      <c r="S176">
        <v>0</v>
      </c>
      <c r="T176">
        <v>0</v>
      </c>
      <c r="U176">
        <v>0</v>
      </c>
      <c r="V176">
        <v>0</v>
      </c>
      <c r="W176">
        <v>3.0370000000000004</v>
      </c>
      <c r="X176">
        <v>2.2869999999999999</v>
      </c>
      <c r="Y176">
        <v>1352119.29</v>
      </c>
      <c r="Z176">
        <v>0</v>
      </c>
    </row>
    <row r="177" spans="1:26" x14ac:dyDescent="0.25">
      <c r="A177" t="s">
        <v>470</v>
      </c>
      <c r="B177" t="s">
        <v>471</v>
      </c>
      <c r="C177" t="s">
        <v>472</v>
      </c>
      <c r="D177">
        <v>144487490</v>
      </c>
      <c r="E177">
        <v>0</v>
      </c>
      <c r="F177">
        <v>144487490</v>
      </c>
      <c r="G177">
        <v>3459.25</v>
      </c>
      <c r="H177">
        <v>27</v>
      </c>
      <c r="I177">
        <v>6.6550000000000002</v>
      </c>
      <c r="J177">
        <v>20.344999999999999</v>
      </c>
      <c r="K177">
        <v>0</v>
      </c>
      <c r="L177">
        <v>0</v>
      </c>
      <c r="M177">
        <v>0</v>
      </c>
      <c r="N177">
        <v>0</v>
      </c>
      <c r="O177">
        <v>8.2639999999999993</v>
      </c>
      <c r="P177">
        <v>2.3900000000000001E-2</v>
      </c>
      <c r="Q177">
        <v>28.632899999999999</v>
      </c>
      <c r="R177">
        <v>9.6829999999999998</v>
      </c>
      <c r="S177">
        <v>0</v>
      </c>
      <c r="T177">
        <v>0</v>
      </c>
      <c r="U177">
        <v>0</v>
      </c>
      <c r="V177">
        <v>0</v>
      </c>
      <c r="W177">
        <v>28.632899999999999</v>
      </c>
      <c r="X177">
        <v>38.314999999999998</v>
      </c>
      <c r="Y177">
        <v>9507575.9399999995</v>
      </c>
      <c r="Z177">
        <v>6338859</v>
      </c>
    </row>
    <row r="178" spans="1:26" x14ac:dyDescent="0.25">
      <c r="A178" t="s">
        <v>473</v>
      </c>
      <c r="B178" t="s">
        <v>471</v>
      </c>
      <c r="C178" t="s">
        <v>474</v>
      </c>
      <c r="D178">
        <v>123407780</v>
      </c>
      <c r="E178">
        <v>0</v>
      </c>
      <c r="F178">
        <v>123407780</v>
      </c>
      <c r="G178">
        <v>2805.35</v>
      </c>
      <c r="H178">
        <v>27</v>
      </c>
      <c r="I178">
        <v>9.968</v>
      </c>
      <c r="J178">
        <v>17.032</v>
      </c>
      <c r="K178">
        <v>0</v>
      </c>
      <c r="L178">
        <v>0</v>
      </c>
      <c r="M178">
        <v>0</v>
      </c>
      <c r="N178">
        <v>0</v>
      </c>
      <c r="O178">
        <v>11.92</v>
      </c>
      <c r="P178">
        <v>2.273E-2</v>
      </c>
      <c r="Q178">
        <v>28.974729999999997</v>
      </c>
      <c r="R178">
        <v>14.336</v>
      </c>
      <c r="S178">
        <v>0</v>
      </c>
      <c r="T178">
        <v>0</v>
      </c>
      <c r="U178">
        <v>0</v>
      </c>
      <c r="V178">
        <v>0</v>
      </c>
      <c r="W178">
        <v>28.974729999999997</v>
      </c>
      <c r="X178">
        <v>61.694000000000003</v>
      </c>
      <c r="Y178">
        <v>7753079.2300000004</v>
      </c>
      <c r="Z178">
        <v>5510505</v>
      </c>
    </row>
    <row r="179" spans="1:26" x14ac:dyDescent="0.25">
      <c r="A179" t="s">
        <v>475</v>
      </c>
      <c r="B179" t="s">
        <v>471</v>
      </c>
      <c r="C179" t="s">
        <v>476</v>
      </c>
      <c r="D179">
        <v>19793741</v>
      </c>
      <c r="E179">
        <v>0</v>
      </c>
      <c r="F179">
        <v>19793741</v>
      </c>
      <c r="G179">
        <v>293.64</v>
      </c>
      <c r="H179">
        <v>27</v>
      </c>
      <c r="I179">
        <v>3.5019999999999998</v>
      </c>
      <c r="J179">
        <v>23.498000000000001</v>
      </c>
      <c r="K179">
        <v>0</v>
      </c>
      <c r="L179">
        <v>0</v>
      </c>
      <c r="M179">
        <v>0</v>
      </c>
      <c r="N179">
        <v>0</v>
      </c>
      <c r="O179">
        <v>0</v>
      </c>
      <c r="P179">
        <v>0</v>
      </c>
      <c r="Q179">
        <v>23.498000000000001</v>
      </c>
      <c r="R179">
        <v>13.5</v>
      </c>
      <c r="S179">
        <v>0</v>
      </c>
      <c r="T179">
        <v>0</v>
      </c>
      <c r="U179">
        <v>0</v>
      </c>
      <c r="V179">
        <v>0</v>
      </c>
      <c r="W179">
        <v>23.498000000000001</v>
      </c>
      <c r="X179">
        <v>152.399</v>
      </c>
      <c r="Y179">
        <v>3096878.8</v>
      </c>
      <c r="Z179">
        <v>2581082</v>
      </c>
    </row>
    <row r="180" spans="1:26" x14ac:dyDescent="0.25">
      <c r="A180" t="s">
        <v>477</v>
      </c>
      <c r="B180" t="s">
        <v>471</v>
      </c>
      <c r="C180" t="s">
        <v>478</v>
      </c>
      <c r="D180">
        <v>16452472</v>
      </c>
      <c r="E180">
        <v>0</v>
      </c>
      <c r="F180">
        <v>16452472</v>
      </c>
      <c r="G180">
        <v>12.36</v>
      </c>
      <c r="H180">
        <v>27</v>
      </c>
      <c r="I180">
        <v>5.3250000000000002</v>
      </c>
      <c r="J180">
        <v>21.675000000000001</v>
      </c>
      <c r="K180">
        <v>0</v>
      </c>
      <c r="L180">
        <v>0</v>
      </c>
      <c r="M180">
        <v>0</v>
      </c>
      <c r="N180">
        <v>0</v>
      </c>
      <c r="O180">
        <v>19.399999999999999</v>
      </c>
      <c r="P180">
        <v>0</v>
      </c>
      <c r="Q180">
        <v>41.075000000000003</v>
      </c>
      <c r="R180">
        <v>0</v>
      </c>
      <c r="S180">
        <v>0</v>
      </c>
      <c r="T180">
        <v>0</v>
      </c>
      <c r="U180">
        <v>0</v>
      </c>
      <c r="V180">
        <v>0</v>
      </c>
      <c r="W180">
        <v>41.075000000000003</v>
      </c>
      <c r="X180">
        <v>72.679000000000002</v>
      </c>
      <c r="Y180">
        <v>1236153</v>
      </c>
      <c r="Z180">
        <v>356607</v>
      </c>
    </row>
    <row r="181" spans="1:26" x14ac:dyDescent="0.25">
      <c r="H181">
        <v>4141.9229999999989</v>
      </c>
      <c r="I181">
        <v>459.55899999999986</v>
      </c>
      <c r="J181">
        <v>3709.3659999999982</v>
      </c>
      <c r="K181">
        <v>5.9739999999999993</v>
      </c>
      <c r="L181">
        <v>6.9939999999999998</v>
      </c>
      <c r="M181">
        <v>39.481000000000002</v>
      </c>
      <c r="N181">
        <v>5.1999999999999998E-2</v>
      </c>
      <c r="O181">
        <v>837.28300000000002</v>
      </c>
      <c r="P181">
        <v>21.28163</v>
      </c>
      <c r="Q181">
        <v>4594.4956300000013</v>
      </c>
      <c r="R181">
        <v>1191.4479999999996</v>
      </c>
      <c r="S181">
        <v>6.9149999999999991</v>
      </c>
      <c r="T181">
        <v>10.345000000000001</v>
      </c>
      <c r="U181">
        <v>11.417999999999999</v>
      </c>
      <c r="V181">
        <v>13.138999999999999</v>
      </c>
      <c r="W181">
        <v>4636.3126300000004</v>
      </c>
    </row>
    <row r="182" spans="1:26" x14ac:dyDescent="0.25">
      <c r="D182">
        <v>150142692975</v>
      </c>
      <c r="E182">
        <v>-4650642540</v>
      </c>
      <c r="F182">
        <v>145492050435</v>
      </c>
      <c r="G182">
        <v>66797835.130000032</v>
      </c>
    </row>
    <row r="183" spans="1:26" x14ac:dyDescent="0.25">
      <c r="H183" t="s">
        <v>986</v>
      </c>
      <c r="J183">
        <v>3709.366</v>
      </c>
      <c r="K183">
        <v>5.9740000000000002</v>
      </c>
      <c r="L183">
        <v>6.9939999999999998</v>
      </c>
      <c r="M183">
        <v>39.481000000000002</v>
      </c>
      <c r="N183">
        <v>5.1999999999999998E-2</v>
      </c>
      <c r="O183">
        <v>837.28300000000002</v>
      </c>
      <c r="P183">
        <v>21.282</v>
      </c>
      <c r="Q183">
        <v>4606.7179999999998</v>
      </c>
      <c r="R183">
        <v>1191.4480000000001</v>
      </c>
      <c r="S183">
        <v>6.915</v>
      </c>
      <c r="T183">
        <v>10.345000000000001</v>
      </c>
      <c r="U183">
        <v>11.417999999999999</v>
      </c>
      <c r="V183">
        <v>13.138999999999999</v>
      </c>
      <c r="W183">
        <v>4658.665</v>
      </c>
    </row>
    <row r="184" spans="1:26" x14ac:dyDescent="0.25">
      <c r="D184">
        <v>-298666651</v>
      </c>
      <c r="F184">
        <v>1333544</v>
      </c>
    </row>
    <row r="185" spans="1:26" x14ac:dyDescent="0.25">
      <c r="J185">
        <v>0</v>
      </c>
      <c r="K185">
        <v>0</v>
      </c>
      <c r="L185">
        <v>0</v>
      </c>
      <c r="M185">
        <v>0</v>
      </c>
      <c r="N185">
        <v>0</v>
      </c>
      <c r="O185">
        <v>0</v>
      </c>
      <c r="P185">
        <v>-3.700000000002035E-4</v>
      </c>
      <c r="Q185">
        <v>-12.222369999998591</v>
      </c>
      <c r="R185">
        <v>0</v>
      </c>
      <c r="S185">
        <v>0</v>
      </c>
      <c r="T185">
        <v>0</v>
      </c>
      <c r="U185">
        <v>0</v>
      </c>
      <c r="V185">
        <v>0</v>
      </c>
      <c r="W185">
        <v>-22.35236999999961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0D804-FF71-4400-927E-21CC658F636E}">
  <sheetPr>
    <tabColor theme="9" tint="0.59999389629810485"/>
    <pageSetUpPr fitToPage="1"/>
  </sheetPr>
  <dimension ref="B4:B12"/>
  <sheetViews>
    <sheetView workbookViewId="0"/>
  </sheetViews>
  <sheetFormatPr defaultRowHeight="12.5" x14ac:dyDescent="0.25"/>
  <cols>
    <col min="1" max="240" width="8.75" style="196"/>
    <col min="241" max="241" width="1.75" style="196" customWidth="1"/>
    <col min="242" max="242" width="8.75" style="196"/>
    <col min="243" max="243" width="10.25" style="196" bestFit="1" customWidth="1"/>
    <col min="244" max="252" width="8.75" style="196"/>
    <col min="253" max="253" width="1.4140625" style="196" customWidth="1"/>
    <col min="254" max="496" width="8.75" style="196"/>
    <col min="497" max="497" width="1.75" style="196" customWidth="1"/>
    <col min="498" max="498" width="8.75" style="196"/>
    <col min="499" max="499" width="10.25" style="196" bestFit="1" customWidth="1"/>
    <col min="500" max="508" width="8.75" style="196"/>
    <col min="509" max="509" width="1.4140625" style="196" customWidth="1"/>
    <col min="510" max="752" width="8.75" style="196"/>
    <col min="753" max="753" width="1.75" style="196" customWidth="1"/>
    <col min="754" max="754" width="8.75" style="196"/>
    <col min="755" max="755" width="10.25" style="196" bestFit="1" customWidth="1"/>
    <col min="756" max="764" width="8.75" style="196"/>
    <col min="765" max="765" width="1.4140625" style="196" customWidth="1"/>
    <col min="766" max="1008" width="8.75" style="196"/>
    <col min="1009" max="1009" width="1.75" style="196" customWidth="1"/>
    <col min="1010" max="1010" width="8.75" style="196"/>
    <col min="1011" max="1011" width="10.25" style="196" bestFit="1" customWidth="1"/>
    <col min="1012" max="1020" width="8.75" style="196"/>
    <col min="1021" max="1021" width="1.4140625" style="196" customWidth="1"/>
    <col min="1022" max="1264" width="8.75" style="196"/>
    <col min="1265" max="1265" width="1.75" style="196" customWidth="1"/>
    <col min="1266" max="1266" width="8.75" style="196"/>
    <col min="1267" max="1267" width="10.25" style="196" bestFit="1" customWidth="1"/>
    <col min="1268" max="1276" width="8.75" style="196"/>
    <col min="1277" max="1277" width="1.4140625" style="196" customWidth="1"/>
    <col min="1278" max="1520" width="8.75" style="196"/>
    <col min="1521" max="1521" width="1.75" style="196" customWidth="1"/>
    <col min="1522" max="1522" width="8.75" style="196"/>
    <col min="1523" max="1523" width="10.25" style="196" bestFit="1" customWidth="1"/>
    <col min="1524" max="1532" width="8.75" style="196"/>
    <col min="1533" max="1533" width="1.4140625" style="196" customWidth="1"/>
    <col min="1534" max="1776" width="8.75" style="196"/>
    <col min="1777" max="1777" width="1.75" style="196" customWidth="1"/>
    <col min="1778" max="1778" width="8.75" style="196"/>
    <col min="1779" max="1779" width="10.25" style="196" bestFit="1" customWidth="1"/>
    <col min="1780" max="1788" width="8.75" style="196"/>
    <col min="1789" max="1789" width="1.4140625" style="196" customWidth="1"/>
    <col min="1790" max="2032" width="8.75" style="196"/>
    <col min="2033" max="2033" width="1.75" style="196" customWidth="1"/>
    <col min="2034" max="2034" width="8.75" style="196"/>
    <col min="2035" max="2035" width="10.25" style="196" bestFit="1" customWidth="1"/>
    <col min="2036" max="2044" width="8.75" style="196"/>
    <col min="2045" max="2045" width="1.4140625" style="196" customWidth="1"/>
    <col min="2046" max="2288" width="8.75" style="196"/>
    <col min="2289" max="2289" width="1.75" style="196" customWidth="1"/>
    <col min="2290" max="2290" width="8.75" style="196"/>
    <col min="2291" max="2291" width="10.25" style="196" bestFit="1" customWidth="1"/>
    <col min="2292" max="2300" width="8.75" style="196"/>
    <col min="2301" max="2301" width="1.4140625" style="196" customWidth="1"/>
    <col min="2302" max="2544" width="8.75" style="196"/>
    <col min="2545" max="2545" width="1.75" style="196" customWidth="1"/>
    <col min="2546" max="2546" width="8.75" style="196"/>
    <col min="2547" max="2547" width="10.25" style="196" bestFit="1" customWidth="1"/>
    <col min="2548" max="2556" width="8.75" style="196"/>
    <col min="2557" max="2557" width="1.4140625" style="196" customWidth="1"/>
    <col min="2558" max="2800" width="8.75" style="196"/>
    <col min="2801" max="2801" width="1.75" style="196" customWidth="1"/>
    <col min="2802" max="2802" width="8.75" style="196"/>
    <col min="2803" max="2803" width="10.25" style="196" bestFit="1" customWidth="1"/>
    <col min="2804" max="2812" width="8.75" style="196"/>
    <col min="2813" max="2813" width="1.4140625" style="196" customWidth="1"/>
    <col min="2814" max="3056" width="8.75" style="196"/>
    <col min="3057" max="3057" width="1.75" style="196" customWidth="1"/>
    <col min="3058" max="3058" width="8.75" style="196"/>
    <col min="3059" max="3059" width="10.25" style="196" bestFit="1" customWidth="1"/>
    <col min="3060" max="3068" width="8.75" style="196"/>
    <col min="3069" max="3069" width="1.4140625" style="196" customWidth="1"/>
    <col min="3070" max="3312" width="8.75" style="196"/>
    <col min="3313" max="3313" width="1.75" style="196" customWidth="1"/>
    <col min="3314" max="3314" width="8.75" style="196"/>
    <col min="3315" max="3315" width="10.25" style="196" bestFit="1" customWidth="1"/>
    <col min="3316" max="3324" width="8.75" style="196"/>
    <col min="3325" max="3325" width="1.4140625" style="196" customWidth="1"/>
    <col min="3326" max="3568" width="8.75" style="196"/>
    <col min="3569" max="3569" width="1.75" style="196" customWidth="1"/>
    <col min="3570" max="3570" width="8.75" style="196"/>
    <col min="3571" max="3571" width="10.25" style="196" bestFit="1" customWidth="1"/>
    <col min="3572" max="3580" width="8.75" style="196"/>
    <col min="3581" max="3581" width="1.4140625" style="196" customWidth="1"/>
    <col min="3582" max="3824" width="8.75" style="196"/>
    <col min="3825" max="3825" width="1.75" style="196" customWidth="1"/>
    <col min="3826" max="3826" width="8.75" style="196"/>
    <col min="3827" max="3827" width="10.25" style="196" bestFit="1" customWidth="1"/>
    <col min="3828" max="3836" width="8.75" style="196"/>
    <col min="3837" max="3837" width="1.4140625" style="196" customWidth="1"/>
    <col min="3838" max="4080" width="8.75" style="196"/>
    <col min="4081" max="4081" width="1.75" style="196" customWidth="1"/>
    <col min="4082" max="4082" width="8.75" style="196"/>
    <col min="4083" max="4083" width="10.25" style="196" bestFit="1" customWidth="1"/>
    <col min="4084" max="4092" width="8.75" style="196"/>
    <col min="4093" max="4093" width="1.4140625" style="196" customWidth="1"/>
    <col min="4094" max="4336" width="8.75" style="196"/>
    <col min="4337" max="4337" width="1.75" style="196" customWidth="1"/>
    <col min="4338" max="4338" width="8.75" style="196"/>
    <col min="4339" max="4339" width="10.25" style="196" bestFit="1" customWidth="1"/>
    <col min="4340" max="4348" width="8.75" style="196"/>
    <col min="4349" max="4349" width="1.4140625" style="196" customWidth="1"/>
    <col min="4350" max="4592" width="8.75" style="196"/>
    <col min="4593" max="4593" width="1.75" style="196" customWidth="1"/>
    <col min="4594" max="4594" width="8.75" style="196"/>
    <col min="4595" max="4595" width="10.25" style="196" bestFit="1" customWidth="1"/>
    <col min="4596" max="4604" width="8.75" style="196"/>
    <col min="4605" max="4605" width="1.4140625" style="196" customWidth="1"/>
    <col min="4606" max="4848" width="8.75" style="196"/>
    <col min="4849" max="4849" width="1.75" style="196" customWidth="1"/>
    <col min="4850" max="4850" width="8.75" style="196"/>
    <col min="4851" max="4851" width="10.25" style="196" bestFit="1" customWidth="1"/>
    <col min="4852" max="4860" width="8.75" style="196"/>
    <col min="4861" max="4861" width="1.4140625" style="196" customWidth="1"/>
    <col min="4862" max="5104" width="8.75" style="196"/>
    <col min="5105" max="5105" width="1.75" style="196" customWidth="1"/>
    <col min="5106" max="5106" width="8.75" style="196"/>
    <col min="5107" max="5107" width="10.25" style="196" bestFit="1" customWidth="1"/>
    <col min="5108" max="5116" width="8.75" style="196"/>
    <col min="5117" max="5117" width="1.4140625" style="196" customWidth="1"/>
    <col min="5118" max="5360" width="8.75" style="196"/>
    <col min="5361" max="5361" width="1.75" style="196" customWidth="1"/>
    <col min="5362" max="5362" width="8.75" style="196"/>
    <col min="5363" max="5363" width="10.25" style="196" bestFit="1" customWidth="1"/>
    <col min="5364" max="5372" width="8.75" style="196"/>
    <col min="5373" max="5373" width="1.4140625" style="196" customWidth="1"/>
    <col min="5374" max="5616" width="8.75" style="196"/>
    <col min="5617" max="5617" width="1.75" style="196" customWidth="1"/>
    <col min="5618" max="5618" width="8.75" style="196"/>
    <col min="5619" max="5619" width="10.25" style="196" bestFit="1" customWidth="1"/>
    <col min="5620" max="5628" width="8.75" style="196"/>
    <col min="5629" max="5629" width="1.4140625" style="196" customWidth="1"/>
    <col min="5630" max="5872" width="8.75" style="196"/>
    <col min="5873" max="5873" width="1.75" style="196" customWidth="1"/>
    <col min="5874" max="5874" width="8.75" style="196"/>
    <col min="5875" max="5875" width="10.25" style="196" bestFit="1" customWidth="1"/>
    <col min="5876" max="5884" width="8.75" style="196"/>
    <col min="5885" max="5885" width="1.4140625" style="196" customWidth="1"/>
    <col min="5886" max="6128" width="8.75" style="196"/>
    <col min="6129" max="6129" width="1.75" style="196" customWidth="1"/>
    <col min="6130" max="6130" width="8.75" style="196"/>
    <col min="6131" max="6131" width="10.25" style="196" bestFit="1" customWidth="1"/>
    <col min="6132" max="6140" width="8.75" style="196"/>
    <col min="6141" max="6141" width="1.4140625" style="196" customWidth="1"/>
    <col min="6142" max="6384" width="8.75" style="196"/>
    <col min="6385" max="6385" width="1.75" style="196" customWidth="1"/>
    <col min="6386" max="6386" width="8.75" style="196"/>
    <col min="6387" max="6387" width="10.25" style="196" bestFit="1" customWidth="1"/>
    <col min="6388" max="6396" width="8.75" style="196"/>
    <col min="6397" max="6397" width="1.4140625" style="196" customWidth="1"/>
    <col min="6398" max="6640" width="8.75" style="196"/>
    <col min="6641" max="6641" width="1.75" style="196" customWidth="1"/>
    <col min="6642" max="6642" width="8.75" style="196"/>
    <col min="6643" max="6643" width="10.25" style="196" bestFit="1" customWidth="1"/>
    <col min="6644" max="6652" width="8.75" style="196"/>
    <col min="6653" max="6653" width="1.4140625" style="196" customWidth="1"/>
    <col min="6654" max="6896" width="8.75" style="196"/>
    <col min="6897" max="6897" width="1.75" style="196" customWidth="1"/>
    <col min="6898" max="6898" width="8.75" style="196"/>
    <col min="6899" max="6899" width="10.25" style="196" bestFit="1" customWidth="1"/>
    <col min="6900" max="6908" width="8.75" style="196"/>
    <col min="6909" max="6909" width="1.4140625" style="196" customWidth="1"/>
    <col min="6910" max="7152" width="8.75" style="196"/>
    <col min="7153" max="7153" width="1.75" style="196" customWidth="1"/>
    <col min="7154" max="7154" width="8.75" style="196"/>
    <col min="7155" max="7155" width="10.25" style="196" bestFit="1" customWidth="1"/>
    <col min="7156" max="7164" width="8.75" style="196"/>
    <col min="7165" max="7165" width="1.4140625" style="196" customWidth="1"/>
    <col min="7166" max="7408" width="8.75" style="196"/>
    <col min="7409" max="7409" width="1.75" style="196" customWidth="1"/>
    <col min="7410" max="7410" width="8.75" style="196"/>
    <col min="7411" max="7411" width="10.25" style="196" bestFit="1" customWidth="1"/>
    <col min="7412" max="7420" width="8.75" style="196"/>
    <col min="7421" max="7421" width="1.4140625" style="196" customWidth="1"/>
    <col min="7422" max="7664" width="8.75" style="196"/>
    <col min="7665" max="7665" width="1.75" style="196" customWidth="1"/>
    <col min="7666" max="7666" width="8.75" style="196"/>
    <col min="7667" max="7667" width="10.25" style="196" bestFit="1" customWidth="1"/>
    <col min="7668" max="7676" width="8.75" style="196"/>
    <col min="7677" max="7677" width="1.4140625" style="196" customWidth="1"/>
    <col min="7678" max="7920" width="8.75" style="196"/>
    <col min="7921" max="7921" width="1.75" style="196" customWidth="1"/>
    <col min="7922" max="7922" width="8.75" style="196"/>
    <col min="7923" max="7923" width="10.25" style="196" bestFit="1" customWidth="1"/>
    <col min="7924" max="7932" width="8.75" style="196"/>
    <col min="7933" max="7933" width="1.4140625" style="196" customWidth="1"/>
    <col min="7934" max="8176" width="8.75" style="196"/>
    <col min="8177" max="8177" width="1.75" style="196" customWidth="1"/>
    <col min="8178" max="8178" width="8.75" style="196"/>
    <col min="8179" max="8179" width="10.25" style="196" bestFit="1" customWidth="1"/>
    <col min="8180" max="8188" width="8.75" style="196"/>
    <col min="8189" max="8189" width="1.4140625" style="196" customWidth="1"/>
    <col min="8190" max="8432" width="8.75" style="196"/>
    <col min="8433" max="8433" width="1.75" style="196" customWidth="1"/>
    <col min="8434" max="8434" width="8.75" style="196"/>
    <col min="8435" max="8435" width="10.25" style="196" bestFit="1" customWidth="1"/>
    <col min="8436" max="8444" width="8.75" style="196"/>
    <col min="8445" max="8445" width="1.4140625" style="196" customWidth="1"/>
    <col min="8446" max="8688" width="8.75" style="196"/>
    <col min="8689" max="8689" width="1.75" style="196" customWidth="1"/>
    <col min="8690" max="8690" width="8.75" style="196"/>
    <col min="8691" max="8691" width="10.25" style="196" bestFit="1" customWidth="1"/>
    <col min="8692" max="8700" width="8.75" style="196"/>
    <col min="8701" max="8701" width="1.4140625" style="196" customWidth="1"/>
    <col min="8702" max="8944" width="8.75" style="196"/>
    <col min="8945" max="8945" width="1.75" style="196" customWidth="1"/>
    <col min="8946" max="8946" width="8.75" style="196"/>
    <col min="8947" max="8947" width="10.25" style="196" bestFit="1" customWidth="1"/>
    <col min="8948" max="8956" width="8.75" style="196"/>
    <col min="8957" max="8957" width="1.4140625" style="196" customWidth="1"/>
    <col min="8958" max="9200" width="8.75" style="196"/>
    <col min="9201" max="9201" width="1.75" style="196" customWidth="1"/>
    <col min="9202" max="9202" width="8.75" style="196"/>
    <col min="9203" max="9203" width="10.25" style="196" bestFit="1" customWidth="1"/>
    <col min="9204" max="9212" width="8.75" style="196"/>
    <col min="9213" max="9213" width="1.4140625" style="196" customWidth="1"/>
    <col min="9214" max="9456" width="8.75" style="196"/>
    <col min="9457" max="9457" width="1.75" style="196" customWidth="1"/>
    <col min="9458" max="9458" width="8.75" style="196"/>
    <col min="9459" max="9459" width="10.25" style="196" bestFit="1" customWidth="1"/>
    <col min="9460" max="9468" width="8.75" style="196"/>
    <col min="9469" max="9469" width="1.4140625" style="196" customWidth="1"/>
    <col min="9470" max="9712" width="8.75" style="196"/>
    <col min="9713" max="9713" width="1.75" style="196" customWidth="1"/>
    <col min="9714" max="9714" width="8.75" style="196"/>
    <col min="9715" max="9715" width="10.25" style="196" bestFit="1" customWidth="1"/>
    <col min="9716" max="9724" width="8.75" style="196"/>
    <col min="9725" max="9725" width="1.4140625" style="196" customWidth="1"/>
    <col min="9726" max="9968" width="8.75" style="196"/>
    <col min="9969" max="9969" width="1.75" style="196" customWidth="1"/>
    <col min="9970" max="9970" width="8.75" style="196"/>
    <col min="9971" max="9971" width="10.25" style="196" bestFit="1" customWidth="1"/>
    <col min="9972" max="9980" width="8.75" style="196"/>
    <col min="9981" max="9981" width="1.4140625" style="196" customWidth="1"/>
    <col min="9982" max="10224" width="8.75" style="196"/>
    <col min="10225" max="10225" width="1.75" style="196" customWidth="1"/>
    <col min="10226" max="10226" width="8.75" style="196"/>
    <col min="10227" max="10227" width="10.25" style="196" bestFit="1" customWidth="1"/>
    <col min="10228" max="10236" width="8.75" style="196"/>
    <col min="10237" max="10237" width="1.4140625" style="196" customWidth="1"/>
    <col min="10238" max="10480" width="8.75" style="196"/>
    <col min="10481" max="10481" width="1.75" style="196" customWidth="1"/>
    <col min="10482" max="10482" width="8.75" style="196"/>
    <col min="10483" max="10483" width="10.25" style="196" bestFit="1" customWidth="1"/>
    <col min="10484" max="10492" width="8.75" style="196"/>
    <col min="10493" max="10493" width="1.4140625" style="196" customWidth="1"/>
    <col min="10494" max="10736" width="8.75" style="196"/>
    <col min="10737" max="10737" width="1.75" style="196" customWidth="1"/>
    <col min="10738" max="10738" width="8.75" style="196"/>
    <col min="10739" max="10739" width="10.25" style="196" bestFit="1" customWidth="1"/>
    <col min="10740" max="10748" width="8.75" style="196"/>
    <col min="10749" max="10749" width="1.4140625" style="196" customWidth="1"/>
    <col min="10750" max="10992" width="8.75" style="196"/>
    <col min="10993" max="10993" width="1.75" style="196" customWidth="1"/>
    <col min="10994" max="10994" width="8.75" style="196"/>
    <col min="10995" max="10995" width="10.25" style="196" bestFit="1" customWidth="1"/>
    <col min="10996" max="11004" width="8.75" style="196"/>
    <col min="11005" max="11005" width="1.4140625" style="196" customWidth="1"/>
    <col min="11006" max="11248" width="8.75" style="196"/>
    <col min="11249" max="11249" width="1.75" style="196" customWidth="1"/>
    <col min="11250" max="11250" width="8.75" style="196"/>
    <col min="11251" max="11251" width="10.25" style="196" bestFit="1" customWidth="1"/>
    <col min="11252" max="11260" width="8.75" style="196"/>
    <col min="11261" max="11261" width="1.4140625" style="196" customWidth="1"/>
    <col min="11262" max="11504" width="8.75" style="196"/>
    <col min="11505" max="11505" width="1.75" style="196" customWidth="1"/>
    <col min="11506" max="11506" width="8.75" style="196"/>
    <col min="11507" max="11507" width="10.25" style="196" bestFit="1" customWidth="1"/>
    <col min="11508" max="11516" width="8.75" style="196"/>
    <col min="11517" max="11517" width="1.4140625" style="196" customWidth="1"/>
    <col min="11518" max="11760" width="8.75" style="196"/>
    <col min="11761" max="11761" width="1.75" style="196" customWidth="1"/>
    <col min="11762" max="11762" width="8.75" style="196"/>
    <col min="11763" max="11763" width="10.25" style="196" bestFit="1" customWidth="1"/>
    <col min="11764" max="11772" width="8.75" style="196"/>
    <col min="11773" max="11773" width="1.4140625" style="196" customWidth="1"/>
    <col min="11774" max="12016" width="8.75" style="196"/>
    <col min="12017" max="12017" width="1.75" style="196" customWidth="1"/>
    <col min="12018" max="12018" width="8.75" style="196"/>
    <col min="12019" max="12019" width="10.25" style="196" bestFit="1" customWidth="1"/>
    <col min="12020" max="12028" width="8.75" style="196"/>
    <col min="12029" max="12029" width="1.4140625" style="196" customWidth="1"/>
    <col min="12030" max="12272" width="8.75" style="196"/>
    <col min="12273" max="12273" width="1.75" style="196" customWidth="1"/>
    <col min="12274" max="12274" width="8.75" style="196"/>
    <col min="12275" max="12275" width="10.25" style="196" bestFit="1" customWidth="1"/>
    <col min="12276" max="12284" width="8.75" style="196"/>
    <col min="12285" max="12285" width="1.4140625" style="196" customWidth="1"/>
    <col min="12286" max="12528" width="8.75" style="196"/>
    <col min="12529" max="12529" width="1.75" style="196" customWidth="1"/>
    <col min="12530" max="12530" width="8.75" style="196"/>
    <col min="12531" max="12531" width="10.25" style="196" bestFit="1" customWidth="1"/>
    <col min="12532" max="12540" width="8.75" style="196"/>
    <col min="12541" max="12541" width="1.4140625" style="196" customWidth="1"/>
    <col min="12542" max="12784" width="8.75" style="196"/>
    <col min="12785" max="12785" width="1.75" style="196" customWidth="1"/>
    <col min="12786" max="12786" width="8.75" style="196"/>
    <col min="12787" max="12787" width="10.25" style="196" bestFit="1" customWidth="1"/>
    <col min="12788" max="12796" width="8.75" style="196"/>
    <col min="12797" max="12797" width="1.4140625" style="196" customWidth="1"/>
    <col min="12798" max="13040" width="8.75" style="196"/>
    <col min="13041" max="13041" width="1.75" style="196" customWidth="1"/>
    <col min="13042" max="13042" width="8.75" style="196"/>
    <col min="13043" max="13043" width="10.25" style="196" bestFit="1" customWidth="1"/>
    <col min="13044" max="13052" width="8.75" style="196"/>
    <col min="13053" max="13053" width="1.4140625" style="196" customWidth="1"/>
    <col min="13054" max="13296" width="8.75" style="196"/>
    <col min="13297" max="13297" width="1.75" style="196" customWidth="1"/>
    <col min="13298" max="13298" width="8.75" style="196"/>
    <col min="13299" max="13299" width="10.25" style="196" bestFit="1" customWidth="1"/>
    <col min="13300" max="13308" width="8.75" style="196"/>
    <col min="13309" max="13309" width="1.4140625" style="196" customWidth="1"/>
    <col min="13310" max="13552" width="8.75" style="196"/>
    <col min="13553" max="13553" width="1.75" style="196" customWidth="1"/>
    <col min="13554" max="13554" width="8.75" style="196"/>
    <col min="13555" max="13555" width="10.25" style="196" bestFit="1" customWidth="1"/>
    <col min="13556" max="13564" width="8.75" style="196"/>
    <col min="13565" max="13565" width="1.4140625" style="196" customWidth="1"/>
    <col min="13566" max="13808" width="8.75" style="196"/>
    <col min="13809" max="13809" width="1.75" style="196" customWidth="1"/>
    <col min="13810" max="13810" width="8.75" style="196"/>
    <col min="13811" max="13811" width="10.25" style="196" bestFit="1" customWidth="1"/>
    <col min="13812" max="13820" width="8.75" style="196"/>
    <col min="13821" max="13821" width="1.4140625" style="196" customWidth="1"/>
    <col min="13822" max="14064" width="8.75" style="196"/>
    <col min="14065" max="14065" width="1.75" style="196" customWidth="1"/>
    <col min="14066" max="14066" width="8.75" style="196"/>
    <col min="14067" max="14067" width="10.25" style="196" bestFit="1" customWidth="1"/>
    <col min="14068" max="14076" width="8.75" style="196"/>
    <col min="14077" max="14077" width="1.4140625" style="196" customWidth="1"/>
    <col min="14078" max="14320" width="8.75" style="196"/>
    <col min="14321" max="14321" width="1.75" style="196" customWidth="1"/>
    <col min="14322" max="14322" width="8.75" style="196"/>
    <col min="14323" max="14323" width="10.25" style="196" bestFit="1" customWidth="1"/>
    <col min="14324" max="14332" width="8.75" style="196"/>
    <col min="14333" max="14333" width="1.4140625" style="196" customWidth="1"/>
    <col min="14334" max="14576" width="8.75" style="196"/>
    <col min="14577" max="14577" width="1.75" style="196" customWidth="1"/>
    <col min="14578" max="14578" width="8.75" style="196"/>
    <col min="14579" max="14579" width="10.25" style="196" bestFit="1" customWidth="1"/>
    <col min="14580" max="14588" width="8.75" style="196"/>
    <col min="14589" max="14589" width="1.4140625" style="196" customWidth="1"/>
    <col min="14590" max="14832" width="8.75" style="196"/>
    <col min="14833" max="14833" width="1.75" style="196" customWidth="1"/>
    <col min="14834" max="14834" width="8.75" style="196"/>
    <col min="14835" max="14835" width="10.25" style="196" bestFit="1" customWidth="1"/>
    <col min="14836" max="14844" width="8.75" style="196"/>
    <col min="14845" max="14845" width="1.4140625" style="196" customWidth="1"/>
    <col min="14846" max="15088" width="8.75" style="196"/>
    <col min="15089" max="15089" width="1.75" style="196" customWidth="1"/>
    <col min="15090" max="15090" width="8.75" style="196"/>
    <col min="15091" max="15091" width="10.25" style="196" bestFit="1" customWidth="1"/>
    <col min="15092" max="15100" width="8.75" style="196"/>
    <col min="15101" max="15101" width="1.4140625" style="196" customWidth="1"/>
    <col min="15102" max="15344" width="8.75" style="196"/>
    <col min="15345" max="15345" width="1.75" style="196" customWidth="1"/>
    <col min="15346" max="15346" width="8.75" style="196"/>
    <col min="15347" max="15347" width="10.25" style="196" bestFit="1" customWidth="1"/>
    <col min="15348" max="15356" width="8.75" style="196"/>
    <col min="15357" max="15357" width="1.4140625" style="196" customWidth="1"/>
    <col min="15358" max="15600" width="8.75" style="196"/>
    <col min="15601" max="15601" width="1.75" style="196" customWidth="1"/>
    <col min="15602" max="15602" width="8.75" style="196"/>
    <col min="15603" max="15603" width="10.25" style="196" bestFit="1" customWidth="1"/>
    <col min="15604" max="15612" width="8.75" style="196"/>
    <col min="15613" max="15613" width="1.4140625" style="196" customWidth="1"/>
    <col min="15614" max="15856" width="8.75" style="196"/>
    <col min="15857" max="15857" width="1.75" style="196" customWidth="1"/>
    <col min="15858" max="15858" width="8.75" style="196"/>
    <col min="15859" max="15859" width="10.25" style="196" bestFit="1" customWidth="1"/>
    <col min="15860" max="15868" width="8.75" style="196"/>
    <col min="15869" max="15869" width="1.4140625" style="196" customWidth="1"/>
    <col min="15870" max="16112" width="8.75" style="196"/>
    <col min="16113" max="16113" width="1.75" style="196" customWidth="1"/>
    <col min="16114" max="16114" width="8.75" style="196"/>
    <col min="16115" max="16115" width="10.25" style="196" bestFit="1" customWidth="1"/>
    <col min="16116" max="16124" width="8.75" style="196"/>
    <col min="16125" max="16125" width="1.4140625" style="196" customWidth="1"/>
    <col min="16126" max="16384" width="8.75" style="196"/>
  </cols>
  <sheetData>
    <row r="4" spans="2:2" ht="29.25" customHeight="1" x14ac:dyDescent="0.45">
      <c r="B4" s="190" t="s">
        <v>599</v>
      </c>
    </row>
    <row r="5" spans="2:2" ht="23" x14ac:dyDescent="0.5">
      <c r="B5" s="189" t="s">
        <v>600</v>
      </c>
    </row>
    <row r="6" spans="2:2" ht="23" x14ac:dyDescent="0.5">
      <c r="B6" s="189" t="s">
        <v>604</v>
      </c>
    </row>
    <row r="7" spans="2:2" ht="23" x14ac:dyDescent="0.5">
      <c r="B7" s="189" t="s">
        <v>740</v>
      </c>
    </row>
    <row r="8" spans="2:2" ht="22.5" x14ac:dyDescent="0.45">
      <c r="B8" s="190" t="s">
        <v>742</v>
      </c>
    </row>
    <row r="9" spans="2:2" ht="23" x14ac:dyDescent="0.5">
      <c r="B9" s="189" t="s">
        <v>601</v>
      </c>
    </row>
    <row r="10" spans="2:2" ht="23" x14ac:dyDescent="0.5">
      <c r="B10" s="189" t="s">
        <v>605</v>
      </c>
    </row>
    <row r="11" spans="2:2" ht="23" x14ac:dyDescent="0.5">
      <c r="B11" s="189" t="s">
        <v>602</v>
      </c>
    </row>
    <row r="12" spans="2:2" ht="23" x14ac:dyDescent="0.5">
      <c r="B12" s="189" t="s">
        <v>603</v>
      </c>
    </row>
  </sheetData>
  <pageMargins left="1.85" right="0.7" top="0.75" bottom="0.75" header="0.3" footer="0.3"/>
  <pageSetup scale="91"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7</vt:i4>
      </vt:variant>
    </vt:vector>
  </HeadingPairs>
  <TitlesOfParts>
    <vt:vector size="25" baseType="lpstr">
      <vt:lpstr>Instruction</vt:lpstr>
      <vt:lpstr>Cover</vt:lpstr>
      <vt:lpstr>BOE Resolution</vt:lpstr>
      <vt:lpstr>Calculation Worksheet</vt:lpstr>
      <vt:lpstr>Sheet5</vt:lpstr>
      <vt:lpstr>Sheet6</vt:lpstr>
      <vt:lpstr>CDE Mill Levy Certify Form</vt:lpstr>
      <vt:lpstr>Dec2022Data</vt:lpstr>
      <vt:lpstr>Suppl Info</vt:lpstr>
      <vt:lpstr>General #10 collections</vt:lpstr>
      <vt:lpstr>Bond #31 collections </vt:lpstr>
      <vt:lpstr>Transportion #25 collections</vt:lpstr>
      <vt:lpstr>Special BLDG &amp; Tech #42 collec</vt:lpstr>
      <vt:lpstr>Supp CCTechMaint Fund #46 or 06</vt:lpstr>
      <vt:lpstr>Data FY23-24 Final</vt:lpstr>
      <vt:lpstr>Data Aug 2024 AV</vt:lpstr>
      <vt:lpstr>Hold Harmless</vt:lpstr>
      <vt:lpstr>Sheet1</vt:lpstr>
      <vt:lpstr>'Data Aug 2024 AV'!_FilterDatabase</vt:lpstr>
      <vt:lpstr>'Data FY23-24 Final'!_FilterDatabase</vt:lpstr>
      <vt:lpstr>'BOE Resolution'!Print_Area</vt:lpstr>
      <vt:lpstr>'Calculation Worksheet'!Print_Area</vt:lpstr>
      <vt:lpstr>'CDE Mill Levy Certify Form'!Print_Area</vt:lpstr>
      <vt:lpstr>Cover!Print_Area</vt:lpstr>
      <vt:lpstr>'Calculation Worksheet'!Print_Area_MI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Business Office</dc:creator>
  <cp:lastModifiedBy>Reeves, Kim</cp:lastModifiedBy>
  <cp:lastPrinted>2024-11-15T23:17:21Z</cp:lastPrinted>
  <dcterms:created xsi:type="dcterms:W3CDTF">2004-11-29T15:58:53Z</dcterms:created>
  <dcterms:modified xsi:type="dcterms:W3CDTF">2024-12-06T20:49:02Z</dcterms:modified>
</cp:coreProperties>
</file>