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ThisWorkbook" defaultThemeVersion="124226"/>
  <bookViews>
    <workbookView xWindow="14505" yWindow="-15" windowWidth="14310" windowHeight="12255" tabRatio="919"/>
  </bookViews>
  <sheets>
    <sheet name="General Instructions" sheetId="1" r:id="rId1"/>
    <sheet name="Page 1 - FY2016-17" sheetId="2" r:id="rId2"/>
    <sheet name="GenFundREV" sheetId="3" r:id="rId3"/>
    <sheet name="GenFundExp" sheetId="4" r:id="rId4"/>
    <sheet name="GenFundExp2" sheetId="5" r:id="rId5"/>
    <sheet name="CharterFundRev" sheetId="43" r:id="rId6"/>
    <sheet name="CharterFundExp" sheetId="42" r:id="rId7"/>
    <sheet name="CharterFundExp2" sheetId="41" r:id="rId8"/>
    <sheet name="InsResv" sheetId="9" r:id="rId9"/>
    <sheet name="CPP Fund" sheetId="34" r:id="rId10"/>
    <sheet name="Fund 20 Grants" sheetId="52" state="hidden" r:id="rId11"/>
    <sheet name="ARRAGrants" sheetId="53" state="hidden" r:id="rId12"/>
    <sheet name="FoodServiceSRF" sheetId="6" r:id="rId13"/>
    <sheet name="Fund 22 Grants" sheetId="47" r:id="rId14"/>
    <sheet name="GovGrants" sheetId="7" r:id="rId15"/>
    <sheet name="PupActiv" sheetId="8" r:id="rId16"/>
    <sheet name="FullDayKOverride" sheetId="54" r:id="rId17"/>
    <sheet name="Transp" sheetId="10" r:id="rId18"/>
    <sheet name="OthSpecRev" sheetId="11" r:id="rId19"/>
    <sheet name="BondRedm" sheetId="12" r:id="rId20"/>
    <sheet name="COPDebt" sheetId="56" r:id="rId21"/>
    <sheet name="BuildFund" sheetId="13" r:id="rId22"/>
    <sheet name="SpecBuild" sheetId="14" r:id="rId23"/>
    <sheet name="CapResCapPrj" sheetId="37" r:id="rId24"/>
    <sheet name="DO NOT USE" sheetId="16" r:id="rId25"/>
    <sheet name="OtherEnterprise" sheetId="17" r:id="rId26"/>
    <sheet name="RiskRelated" sheetId="18" r:id="rId27"/>
    <sheet name="OtherInternal" sheetId="19" r:id="rId28"/>
    <sheet name="PupilActAgency" sheetId="20" r:id="rId29"/>
    <sheet name="Trust&amp;Agency" sheetId="21" r:id="rId30"/>
    <sheet name="Foundation Fund" sheetId="39" r:id="rId31"/>
    <sheet name="GASB 34 Perm. Fund" sheetId="36" r:id="rId32"/>
    <sheet name="District Debt" sheetId="35" r:id="rId33"/>
    <sheet name="Arbitrage" sheetId="22" r:id="rId34"/>
    <sheet name="AppropRes" sheetId="23" r:id="rId35"/>
    <sheet name="UseofBFBRes" sheetId="57" r:id="rId36"/>
    <sheet name="SupplementalBudget" sheetId="58" r:id="rId37"/>
    <sheet name="CDE-18 Error Report" sheetId="24" r:id="rId38"/>
    <sheet name="Tabor Spending Limitations" sheetId="25" r:id="rId39"/>
    <sheet name="Tabor Property Tax Limitation" sheetId="26" r:id="rId40"/>
    <sheet name="Budget Summary Worksheet" sheetId="27" r:id="rId41"/>
    <sheet name="Budget Summaries 1" sheetId="28" r:id="rId42"/>
    <sheet name="Budget Summaries 2" sheetId="29" r:id="rId43"/>
    <sheet name="Budget Summaries 3" sheetId="30" r:id="rId44"/>
    <sheet name="Budget Summaries 4" sheetId="31" r:id="rId45"/>
    <sheet name="Budget Summaries 5" sheetId="32" r:id="rId46"/>
    <sheet name="Uniform Budget Summary" sheetId="40" r:id="rId47"/>
  </sheets>
  <definedNames>
    <definedName name="AllowFundHlook" localSheetId="36">#REF!</definedName>
    <definedName name="AllowFundHlook" localSheetId="35">#REF!</definedName>
    <definedName name="AllowFundHlook">#REF!</definedName>
    <definedName name="AllowProg" localSheetId="36">#REF!</definedName>
    <definedName name="AllowProg" localSheetId="35">#REF!</definedName>
    <definedName name="AllowProg">#REF!</definedName>
    <definedName name="CertBen" localSheetId="36">#REF!</definedName>
    <definedName name="CertBen" localSheetId="35">#REF!</definedName>
    <definedName name="CertBen">#REF!</definedName>
    <definedName name="CertFund" localSheetId="36">#REF!</definedName>
    <definedName name="CertFund" localSheetId="35">#REF!</definedName>
    <definedName name="CertFund">#REF!</definedName>
    <definedName name="CertGrant" localSheetId="36">#REF!</definedName>
    <definedName name="CertGrant" localSheetId="35">#REF!</definedName>
    <definedName name="CertGrant">#REF!</definedName>
    <definedName name="CertObj" localSheetId="36">#REF!</definedName>
    <definedName name="CertObj" localSheetId="35">#REF!</definedName>
    <definedName name="CertObj">#REF!</definedName>
    <definedName name="CertProg" localSheetId="36">#REF!</definedName>
    <definedName name="CertProg" localSheetId="35">#REF!</definedName>
    <definedName name="CertProg">#REF!</definedName>
    <definedName name="CertSalary" localSheetId="36">#REF!</definedName>
    <definedName name="CertSalary" localSheetId="35">#REF!</definedName>
    <definedName name="CertSalary">#REF!</definedName>
    <definedName name="ERRORRPT" localSheetId="36">#REF!</definedName>
    <definedName name="ERRORRPT" localSheetId="35">#REF!</definedName>
    <definedName name="ERRORRPT">#REF!</definedName>
    <definedName name="Fund22Grants" localSheetId="10">'Fund 20 Grants'!$D$3:$W$3</definedName>
    <definedName name="Fund22Grants">'Fund 22 Grants'!$D$3:$W$3</definedName>
    <definedName name="MINRESERVE" localSheetId="36">#REF!</definedName>
    <definedName name="MINRESERVE" localSheetId="35">#REF!</definedName>
    <definedName name="MINRESERVE">#REF!</definedName>
    <definedName name="PAGE01" localSheetId="36">#REF!</definedName>
    <definedName name="PAGE01" localSheetId="35">#REF!</definedName>
    <definedName name="PAGE01">#REF!</definedName>
    <definedName name="PAGE02" localSheetId="36">#REF!</definedName>
    <definedName name="PAGE02" localSheetId="35">#REF!</definedName>
    <definedName name="PAGE02">#REF!</definedName>
    <definedName name="PAGE03" localSheetId="36">#REF!</definedName>
    <definedName name="PAGE03" localSheetId="35">#REF!</definedName>
    <definedName name="PAGE03">#REF!</definedName>
    <definedName name="PAGE04" localSheetId="36">#REF!</definedName>
    <definedName name="PAGE04" localSheetId="35">#REF!</definedName>
    <definedName name="PAGE04">#REF!</definedName>
    <definedName name="PAGE05" localSheetId="36">#REF!</definedName>
    <definedName name="PAGE05" localSheetId="35">#REF!</definedName>
    <definedName name="PAGE05">#REF!</definedName>
    <definedName name="PAGE06" localSheetId="36">#REF!</definedName>
    <definedName name="PAGE06" localSheetId="35">#REF!</definedName>
    <definedName name="PAGE06">#REF!</definedName>
    <definedName name="PAGE07" localSheetId="36">#REF!</definedName>
    <definedName name="PAGE07" localSheetId="35">#REF!</definedName>
    <definedName name="PAGE07">#REF!</definedName>
    <definedName name="PAGE08" localSheetId="36">#REF!</definedName>
    <definedName name="PAGE08" localSheetId="35">#REF!</definedName>
    <definedName name="PAGE08">#REF!</definedName>
    <definedName name="PAGE09" localSheetId="36">#REF!</definedName>
    <definedName name="PAGE09" localSheetId="35">#REF!</definedName>
    <definedName name="PAGE09">#REF!</definedName>
    <definedName name="PAGE10" localSheetId="36">#REF!</definedName>
    <definedName name="PAGE10" localSheetId="35">#REF!</definedName>
    <definedName name="PAGE10">#REF!</definedName>
    <definedName name="PAGE11" localSheetId="36">#REF!</definedName>
    <definedName name="PAGE11" localSheetId="35">#REF!</definedName>
    <definedName name="PAGE11">#REF!</definedName>
    <definedName name="PAGE12" localSheetId="36">#REF!</definedName>
    <definedName name="PAGE12" localSheetId="35">#REF!</definedName>
    <definedName name="PAGE12">#REF!</definedName>
    <definedName name="PAGE13" localSheetId="36">#REF!</definedName>
    <definedName name="PAGE13" localSheetId="35">#REF!</definedName>
    <definedName name="PAGE13">#REF!</definedName>
    <definedName name="PAGE14" localSheetId="36">#REF!</definedName>
    <definedName name="PAGE14" localSheetId="35">#REF!</definedName>
    <definedName name="PAGE14">#REF!</definedName>
    <definedName name="PAGE15" localSheetId="36">#REF!</definedName>
    <definedName name="PAGE15" localSheetId="35">#REF!</definedName>
    <definedName name="PAGE15">#REF!</definedName>
    <definedName name="PAGE16" localSheetId="36">#REF!</definedName>
    <definedName name="PAGE16" localSheetId="35">#REF!</definedName>
    <definedName name="PAGE16">#REF!</definedName>
    <definedName name="page17" localSheetId="36">#REF!</definedName>
    <definedName name="page17" localSheetId="35">#REF!</definedName>
    <definedName name="page17">#REF!</definedName>
    <definedName name="PAGE18" localSheetId="36">#REF!</definedName>
    <definedName name="PAGE18" localSheetId="35">#REF!</definedName>
    <definedName name="PAGE18">#REF!</definedName>
    <definedName name="PAGE19" localSheetId="36">#REF!</definedName>
    <definedName name="PAGE19" localSheetId="35">#REF!</definedName>
    <definedName name="PAGE19">#REF!</definedName>
    <definedName name="PAGE20" localSheetId="36">#REF!</definedName>
    <definedName name="PAGE20" localSheetId="35">#REF!</definedName>
    <definedName name="PAGE20">#REF!</definedName>
    <definedName name="PAGE21" localSheetId="36">#REF!</definedName>
    <definedName name="PAGE21" localSheetId="35">#REF!</definedName>
    <definedName name="PAGE21">#REF!</definedName>
    <definedName name="PAGE22" localSheetId="36">#REF!</definedName>
    <definedName name="PAGE22" localSheetId="35">#REF!</definedName>
    <definedName name="PAGE22">#REF!</definedName>
    <definedName name="PAGE23" localSheetId="36">#REF!</definedName>
    <definedName name="PAGE23" localSheetId="35">#REF!</definedName>
    <definedName name="PAGE23">#REF!</definedName>
    <definedName name="_xlnm.Print_Area" localSheetId="10">'Fund 20 Grants'!$A$1:$X$118</definedName>
    <definedName name="_xlnm.Print_Area" localSheetId="13">'Fund 22 Grants'!$A$1:$X$122</definedName>
    <definedName name="_xlnm.Print_Area" localSheetId="0">'General Instructions'!$A$1:$B$42</definedName>
    <definedName name="_xlnm.Print_Area" localSheetId="3">GenFundExp!$A$1:$I$1111</definedName>
    <definedName name="_xlnm.Print_Titles" localSheetId="11">ARRAGrants!$1:$3</definedName>
    <definedName name="_xlnm.Print_Titles" localSheetId="23">CapResCapPrj!$1:$3</definedName>
    <definedName name="_xlnm.Print_Titles" localSheetId="9">'CPP Fund'!$1:$3</definedName>
    <definedName name="_xlnm.Print_Titles" localSheetId="12">FoodServiceSRF!$1:$3</definedName>
    <definedName name="_xlnm.Print_Titles" localSheetId="16">FullDayKOverride!$1:$3</definedName>
    <definedName name="_xlnm.Print_Titles" localSheetId="3">GenFundExp!$1:$9</definedName>
    <definedName name="_xlnm.Print_Titles" localSheetId="4">GenFundExp2!$1:$8</definedName>
    <definedName name="_xlnm.Print_Titles" localSheetId="2">GenFundREV!$1:$3</definedName>
    <definedName name="_xlnm.Print_Titles" localSheetId="14">GovGrants!$1:$3</definedName>
    <definedName name="_xlnm.Print_Titles" localSheetId="18">OthSpecRev!$1:$3</definedName>
    <definedName name="_xlnm.Print_Titles" localSheetId="17">Transp!$1:$3</definedName>
    <definedName name="printjob1" localSheetId="36">#REF!,#REF!,#REF!,#REF!,#REF!,#REF!,#REF!,#REF!,#REF!,#REF!,#REF!</definedName>
    <definedName name="printjob1" localSheetId="35">#REF!,#REF!,#REF!,#REF!,#REF!,#REF!,#REF!,#REF!,#REF!,#REF!,#REF!</definedName>
    <definedName name="printjob1">#REF!,#REF!,#REF!,#REF!,#REF!,#REF!,#REF!,#REF!,#REF!,#REF!,#REF!</definedName>
    <definedName name="printjob2" localSheetId="36">#REF!,#REF!,#REF!,#REF!,#REF!,#REF!,#REF!,#REF!,#REF!,#REF!,#REF!</definedName>
    <definedName name="printjob2" localSheetId="35">#REF!,#REF!,#REF!,#REF!,#REF!,#REF!,#REF!,#REF!,#REF!,#REF!,#REF!</definedName>
    <definedName name="printjob2">#REF!,#REF!,#REF!,#REF!,#REF!,#REF!,#REF!,#REF!,#REF!,#REF!,#REF!</definedName>
    <definedName name="printjob3" localSheetId="36">#REF!,#REF!</definedName>
    <definedName name="printjob3" localSheetId="35">#REF!,#REF!</definedName>
    <definedName name="printjob3">#REF!,#REF!</definedName>
    <definedName name="printsumm" localSheetId="36">#REF!,#REF!,#REF!,#REF!,#REF!</definedName>
    <definedName name="printsumm" localSheetId="35">#REF!,#REF!,#REF!,#REF!,#REF!</definedName>
    <definedName name="printsumm">#REF!,#REF!,#REF!,#REF!,#REF!</definedName>
    <definedName name="printtabor" localSheetId="36">#REF!,#REF!,#REF!</definedName>
    <definedName name="printtabor" localSheetId="35">#REF!,#REF!,#REF!</definedName>
    <definedName name="printtabor">#REF!,#REF!,#REF!</definedName>
    <definedName name="SPENDLIM" localSheetId="36">#REF!</definedName>
    <definedName name="SPENDLIM" localSheetId="35">#REF!</definedName>
    <definedName name="SPENDLIM">#REF!</definedName>
    <definedName name="SUMM01" localSheetId="36">#REF!</definedName>
    <definedName name="SUMM01" localSheetId="35">#REF!</definedName>
    <definedName name="SUMM01">#REF!</definedName>
    <definedName name="SUMM02" localSheetId="36">#REF!</definedName>
    <definedName name="SUMM02" localSheetId="35">#REF!</definedName>
    <definedName name="SUMM02">#REF!</definedName>
    <definedName name="SUMM03" localSheetId="36">#REF!</definedName>
    <definedName name="SUMM03" localSheetId="35">#REF!</definedName>
    <definedName name="SUMM03">#REF!</definedName>
    <definedName name="SUMM04" localSheetId="36">#REF!</definedName>
    <definedName name="SUMM04" localSheetId="35">#REF!</definedName>
    <definedName name="SUMM04">#REF!</definedName>
    <definedName name="SUMM05" localSheetId="36">#REF!</definedName>
    <definedName name="SUMM05" localSheetId="35">#REF!</definedName>
    <definedName name="SUMM05">#REF!</definedName>
    <definedName name="TAXLIM" localSheetId="36">#REF!</definedName>
    <definedName name="TAXLIM" localSheetId="35">#REF!</definedName>
    <definedName name="TAXLIM">#REF!</definedName>
  </definedNames>
  <calcPr calcId="145621"/>
</workbook>
</file>

<file path=xl/calcChain.xml><?xml version="1.0" encoding="utf-8"?>
<calcChain xmlns="http://schemas.openxmlformats.org/spreadsheetml/2006/main">
  <c r="H149" i="7" l="1"/>
  <c r="H148" i="7"/>
  <c r="H147" i="7"/>
  <c r="H146" i="7"/>
  <c r="H145" i="7"/>
  <c r="H144" i="7"/>
  <c r="H143" i="7"/>
  <c r="H142" i="7"/>
  <c r="H141" i="7"/>
  <c r="H140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08" i="7"/>
  <c r="H107" i="7"/>
  <c r="H106" i="7"/>
  <c r="H105" i="7"/>
  <c r="H104" i="7"/>
  <c r="H103" i="7"/>
  <c r="H102" i="7"/>
  <c r="H101" i="7"/>
  <c r="H100" i="7"/>
  <c r="H99" i="7"/>
  <c r="H98" i="7"/>
  <c r="H97" i="7"/>
  <c r="D46" i="3" l="1"/>
  <c r="F7" i="40" l="1"/>
  <c r="D62" i="40" l="1"/>
  <c r="F109" i="40" l="1"/>
  <c r="D109" i="40"/>
  <c r="F108" i="40"/>
  <c r="D108" i="40"/>
  <c r="F107" i="40"/>
  <c r="D107" i="40"/>
  <c r="F106" i="40"/>
  <c r="D106" i="40"/>
  <c r="F105" i="40"/>
  <c r="D105" i="40"/>
  <c r="F104" i="40"/>
  <c r="D104" i="40"/>
  <c r="F83" i="40"/>
  <c r="D83" i="40"/>
  <c r="F82" i="40"/>
  <c r="D82" i="40"/>
  <c r="F81" i="40"/>
  <c r="D81" i="40"/>
  <c r="F80" i="40"/>
  <c r="D80" i="40"/>
  <c r="F79" i="40"/>
  <c r="D79" i="40"/>
  <c r="F78" i="40"/>
  <c r="D78" i="40"/>
  <c r="F65" i="40"/>
  <c r="D65" i="40"/>
  <c r="F64" i="40"/>
  <c r="D64" i="40"/>
  <c r="F63" i="40"/>
  <c r="D63" i="40"/>
  <c r="F62" i="40"/>
  <c r="F61" i="40"/>
  <c r="D61" i="40"/>
  <c r="F60" i="40"/>
  <c r="D60" i="40"/>
  <c r="C17" i="30"/>
  <c r="B17" i="30"/>
  <c r="C13" i="30"/>
  <c r="B13" i="30"/>
  <c r="H26" i="23"/>
  <c r="H444" i="41"/>
  <c r="G444" i="41"/>
  <c r="I444" i="41" s="1"/>
  <c r="F444" i="41"/>
  <c r="E444" i="41"/>
  <c r="D444" i="41"/>
  <c r="I443" i="41"/>
  <c r="I442" i="41"/>
  <c r="I441" i="41"/>
  <c r="I440" i="41"/>
  <c r="I439" i="41"/>
  <c r="I438" i="41"/>
  <c r="I437" i="41"/>
  <c r="I436" i="41"/>
  <c r="I435" i="41"/>
  <c r="I434" i="41"/>
  <c r="I433" i="41"/>
  <c r="I432" i="41"/>
  <c r="I431" i="41"/>
  <c r="I430" i="41"/>
  <c r="I429" i="41"/>
  <c r="I428" i="41"/>
  <c r="I427" i="41"/>
  <c r="I426" i="41"/>
  <c r="I425" i="41"/>
  <c r="I424" i="41"/>
  <c r="I423" i="41"/>
  <c r="I422" i="41"/>
  <c r="I421" i="41"/>
  <c r="I420" i="41"/>
  <c r="I419" i="41"/>
  <c r="I418" i="41"/>
  <c r="I417" i="41"/>
  <c r="I416" i="41"/>
  <c r="H311" i="41"/>
  <c r="G311" i="41"/>
  <c r="I311" i="41" s="1"/>
  <c r="F311" i="41"/>
  <c r="E311" i="41"/>
  <c r="D311" i="41"/>
  <c r="I310" i="41"/>
  <c r="I309" i="41"/>
  <c r="I308" i="41"/>
  <c r="I307" i="41"/>
  <c r="I306" i="41"/>
  <c r="I305" i="41"/>
  <c r="I304" i="41"/>
  <c r="I303" i="41"/>
  <c r="I302" i="41"/>
  <c r="I301" i="41"/>
  <c r="I300" i="41"/>
  <c r="I299" i="41"/>
  <c r="I298" i="41"/>
  <c r="I297" i="41"/>
  <c r="I296" i="41"/>
  <c r="I295" i="41"/>
  <c r="I294" i="41"/>
  <c r="I293" i="41"/>
  <c r="I292" i="41"/>
  <c r="I291" i="41"/>
  <c r="I290" i="41"/>
  <c r="I289" i="41"/>
  <c r="I288" i="41"/>
  <c r="I287" i="41"/>
  <c r="I286" i="41"/>
  <c r="I285" i="41"/>
  <c r="I284" i="41"/>
  <c r="I283" i="41"/>
  <c r="H211" i="41"/>
  <c r="G211" i="41"/>
  <c r="I211" i="41" s="1"/>
  <c r="F211" i="41"/>
  <c r="E211" i="41"/>
  <c r="D211" i="41"/>
  <c r="I210" i="41"/>
  <c r="I209" i="41"/>
  <c r="I208" i="41"/>
  <c r="I207" i="41"/>
  <c r="I206" i="41"/>
  <c r="I205" i="41"/>
  <c r="I204" i="41"/>
  <c r="I203" i="41"/>
  <c r="I202" i="41"/>
  <c r="I201" i="41"/>
  <c r="I200" i="41"/>
  <c r="I199" i="41"/>
  <c r="I198" i="41"/>
  <c r="I197" i="41"/>
  <c r="I196" i="41"/>
  <c r="I195" i="41"/>
  <c r="I194" i="41"/>
  <c r="I193" i="41"/>
  <c r="I192" i="41"/>
  <c r="I191" i="41"/>
  <c r="I190" i="41"/>
  <c r="I189" i="41"/>
  <c r="I188" i="41"/>
  <c r="I187" i="41"/>
  <c r="I186" i="41"/>
  <c r="I185" i="41"/>
  <c r="I184" i="41"/>
  <c r="I183" i="41"/>
  <c r="H180" i="41"/>
  <c r="G180" i="41"/>
  <c r="I180" i="41" s="1"/>
  <c r="F180" i="41"/>
  <c r="E180" i="41"/>
  <c r="D180" i="41"/>
  <c r="I179" i="41"/>
  <c r="I178" i="41"/>
  <c r="I177" i="41"/>
  <c r="I176" i="41"/>
  <c r="I175" i="41"/>
  <c r="I174" i="41"/>
  <c r="I173" i="41"/>
  <c r="I172" i="41"/>
  <c r="I171" i="41"/>
  <c r="I170" i="41"/>
  <c r="I169" i="41"/>
  <c r="I168" i="41"/>
  <c r="I167" i="41"/>
  <c r="I166" i="41"/>
  <c r="I165" i="41"/>
  <c r="I164" i="41"/>
  <c r="I163" i="41"/>
  <c r="I162" i="41"/>
  <c r="I161" i="41"/>
  <c r="I160" i="41"/>
  <c r="I159" i="41"/>
  <c r="I158" i="41"/>
  <c r="I157" i="41"/>
  <c r="I156" i="41"/>
  <c r="I155" i="41"/>
  <c r="I154" i="41"/>
  <c r="I153" i="41"/>
  <c r="I152" i="41"/>
  <c r="H444" i="5"/>
  <c r="G444" i="5"/>
  <c r="I444" i="5" s="1"/>
  <c r="F444" i="5"/>
  <c r="E444" i="5"/>
  <c r="D444" i="5"/>
  <c r="I443" i="5"/>
  <c r="I442" i="5"/>
  <c r="I441" i="5"/>
  <c r="I440" i="5"/>
  <c r="I439" i="5"/>
  <c r="I438" i="5"/>
  <c r="I437" i="5"/>
  <c r="I436" i="5"/>
  <c r="I435" i="5"/>
  <c r="I434" i="5"/>
  <c r="I433" i="5"/>
  <c r="I432" i="5"/>
  <c r="I431" i="5"/>
  <c r="I430" i="5"/>
  <c r="I429" i="5"/>
  <c r="I428" i="5"/>
  <c r="I427" i="5"/>
  <c r="I426" i="5"/>
  <c r="I425" i="5"/>
  <c r="I424" i="5"/>
  <c r="I423" i="5"/>
  <c r="I422" i="5"/>
  <c r="I421" i="5"/>
  <c r="I420" i="5"/>
  <c r="I419" i="5"/>
  <c r="I418" i="5"/>
  <c r="I417" i="5"/>
  <c r="I416" i="5"/>
  <c r="H311" i="5"/>
  <c r="G311" i="5"/>
  <c r="I311" i="5" s="1"/>
  <c r="F311" i="5"/>
  <c r="E311" i="5"/>
  <c r="D311" i="5"/>
  <c r="I310" i="5"/>
  <c r="I309" i="5"/>
  <c r="I308" i="5"/>
  <c r="I307" i="5"/>
  <c r="I306" i="5"/>
  <c r="I305" i="5"/>
  <c r="I304" i="5"/>
  <c r="I303" i="5"/>
  <c r="I302" i="5"/>
  <c r="I301" i="5"/>
  <c r="I300" i="5"/>
  <c r="I299" i="5"/>
  <c r="I298" i="5"/>
  <c r="I297" i="5"/>
  <c r="I296" i="5"/>
  <c r="I295" i="5"/>
  <c r="I294" i="5"/>
  <c r="I293" i="5"/>
  <c r="I292" i="5"/>
  <c r="I291" i="5"/>
  <c r="I290" i="5"/>
  <c r="I289" i="5"/>
  <c r="I288" i="5"/>
  <c r="I287" i="5"/>
  <c r="I286" i="5"/>
  <c r="I285" i="5"/>
  <c r="I284" i="5"/>
  <c r="I283" i="5"/>
  <c r="H211" i="5"/>
  <c r="G211" i="5"/>
  <c r="I211" i="5" s="1"/>
  <c r="F211" i="5"/>
  <c r="E211" i="5"/>
  <c r="D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H180" i="5"/>
  <c r="G180" i="5"/>
  <c r="I180" i="5" s="1"/>
  <c r="F180" i="5"/>
  <c r="E180" i="5"/>
  <c r="D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C50" i="24" l="1"/>
  <c r="E679" i="41" l="1"/>
  <c r="D109" i="43"/>
  <c r="F38" i="40" l="1"/>
  <c r="F37" i="40"/>
  <c r="F36" i="40"/>
  <c r="F35" i="40"/>
  <c r="F34" i="40"/>
  <c r="F33" i="40"/>
  <c r="D38" i="40"/>
  <c r="D37" i="40"/>
  <c r="D36" i="40"/>
  <c r="D35" i="40"/>
  <c r="D34" i="40"/>
  <c r="D33" i="40"/>
  <c r="E680" i="5" l="1"/>
  <c r="AN173" i="40" l="1"/>
  <c r="AN174" i="40" s="1"/>
  <c r="C26" i="32"/>
  <c r="K24" i="30" l="1"/>
  <c r="K23" i="30"/>
  <c r="K23" i="29"/>
  <c r="K22" i="29"/>
  <c r="K21" i="29"/>
  <c r="K17" i="29"/>
  <c r="K11" i="30"/>
  <c r="J8" i="30"/>
  <c r="G16" i="30"/>
  <c r="G18" i="29"/>
  <c r="G17" i="29"/>
  <c r="G16" i="29"/>
  <c r="G15" i="29"/>
  <c r="G13" i="29"/>
  <c r="B19" i="29"/>
  <c r="C22" i="27" l="1"/>
  <c r="B22" i="27"/>
  <c r="I46" i="56"/>
  <c r="I18" i="11"/>
  <c r="F12" i="26"/>
  <c r="D12" i="26"/>
  <c r="F18" i="26"/>
  <c r="E18" i="26"/>
  <c r="D18" i="26"/>
  <c r="C18" i="26"/>
  <c r="B18" i="26"/>
  <c r="BG191" i="40" l="1"/>
  <c r="BG189" i="40"/>
  <c r="BG187" i="40"/>
  <c r="BG185" i="40"/>
  <c r="BG176" i="40"/>
  <c r="BG174" i="40"/>
  <c r="BG165" i="40"/>
  <c r="BG156" i="40"/>
  <c r="BG154" i="40"/>
  <c r="BG145" i="40"/>
  <c r="BG136" i="40"/>
  <c r="BG128" i="40"/>
  <c r="BG119" i="40"/>
  <c r="BG110" i="40"/>
  <c r="BG101" i="40"/>
  <c r="BG92" i="40"/>
  <c r="BG84" i="40"/>
  <c r="BG75" i="40"/>
  <c r="BG66" i="40"/>
  <c r="BG57" i="40"/>
  <c r="BG48" i="40"/>
  <c r="BG39" i="40"/>
  <c r="BG29" i="40"/>
  <c r="BG21" i="40"/>
  <c r="BG18" i="40"/>
  <c r="BE191" i="40"/>
  <c r="BE187" i="40"/>
  <c r="BE185" i="40"/>
  <c r="BE176" i="40"/>
  <c r="BE174" i="40"/>
  <c r="BE165" i="40"/>
  <c r="BE156" i="40"/>
  <c r="BE154" i="40"/>
  <c r="BE145" i="40"/>
  <c r="BE136" i="40"/>
  <c r="BE128" i="40"/>
  <c r="BE119" i="40"/>
  <c r="BE110" i="40"/>
  <c r="BE101" i="40"/>
  <c r="BE92" i="40"/>
  <c r="BE84" i="40"/>
  <c r="BE75" i="40"/>
  <c r="BE66" i="40"/>
  <c r="BE57" i="40"/>
  <c r="BE48" i="40"/>
  <c r="BE39" i="40"/>
  <c r="BE29" i="40"/>
  <c r="BE21" i="40"/>
  <c r="BE18" i="40"/>
  <c r="BI172" i="40"/>
  <c r="BI171" i="40"/>
  <c r="BI170" i="40"/>
  <c r="BI169" i="40"/>
  <c r="BI168" i="40"/>
  <c r="BI17" i="40"/>
  <c r="BC191" i="40"/>
  <c r="BC187" i="40"/>
  <c r="BC185" i="40"/>
  <c r="BC176" i="40"/>
  <c r="BC174" i="40"/>
  <c r="BC165" i="40"/>
  <c r="BC156" i="40"/>
  <c r="BC154" i="40"/>
  <c r="BC145" i="40"/>
  <c r="BC136" i="40"/>
  <c r="BC128" i="40"/>
  <c r="BC119" i="40"/>
  <c r="BC110" i="40"/>
  <c r="BC101" i="40"/>
  <c r="BC92" i="40"/>
  <c r="BC84" i="40"/>
  <c r="BC75" i="40"/>
  <c r="BC66" i="40"/>
  <c r="BC57" i="40"/>
  <c r="BC48" i="40"/>
  <c r="BC39" i="40"/>
  <c r="BC29" i="40"/>
  <c r="BC21" i="40"/>
  <c r="BC18" i="40"/>
  <c r="AW191" i="40"/>
  <c r="AW187" i="40"/>
  <c r="AW185" i="40"/>
  <c r="AW176" i="40"/>
  <c r="AW174" i="40"/>
  <c r="AW165" i="40"/>
  <c r="AW156" i="40"/>
  <c r="AW154" i="40"/>
  <c r="AW145" i="40"/>
  <c r="AW136" i="40"/>
  <c r="AW128" i="40"/>
  <c r="AW119" i="40"/>
  <c r="AW110" i="40"/>
  <c r="AW101" i="40"/>
  <c r="AW92" i="40"/>
  <c r="AW84" i="40"/>
  <c r="AW75" i="40"/>
  <c r="AW66" i="40"/>
  <c r="AW57" i="40"/>
  <c r="AW48" i="40"/>
  <c r="AW47" i="40"/>
  <c r="AW39" i="40"/>
  <c r="AW38" i="40"/>
  <c r="AW29" i="40"/>
  <c r="AW21" i="40"/>
  <c r="AW18" i="40"/>
  <c r="AU191" i="40"/>
  <c r="AU187" i="40"/>
  <c r="AU185" i="40"/>
  <c r="AU176" i="40"/>
  <c r="AU174" i="40"/>
  <c r="AU165" i="40"/>
  <c r="AU156" i="40"/>
  <c r="AU154" i="40"/>
  <c r="AU145" i="40"/>
  <c r="AU136" i="40"/>
  <c r="AU128" i="40"/>
  <c r="AU119" i="40"/>
  <c r="AU110" i="40"/>
  <c r="AU101" i="40"/>
  <c r="AU92" i="40"/>
  <c r="AU84" i="40"/>
  <c r="AU75" i="40"/>
  <c r="AU66" i="40"/>
  <c r="AU57" i="40"/>
  <c r="AU48" i="40"/>
  <c r="AU39" i="40"/>
  <c r="AU29" i="40"/>
  <c r="AU21" i="40"/>
  <c r="AU18" i="40"/>
  <c r="AR191" i="40" l="1"/>
  <c r="AR187" i="40"/>
  <c r="AR185" i="40"/>
  <c r="AR176" i="40"/>
  <c r="AR174" i="40"/>
  <c r="AR165" i="40"/>
  <c r="AR156" i="40"/>
  <c r="AR154" i="40"/>
  <c r="AR145" i="40"/>
  <c r="AR136" i="40"/>
  <c r="AR128" i="40"/>
  <c r="AR119" i="40"/>
  <c r="AR110" i="40"/>
  <c r="AR101" i="40"/>
  <c r="AR92" i="40"/>
  <c r="AR84" i="40"/>
  <c r="AR75" i="40"/>
  <c r="AR66" i="40"/>
  <c r="AR57" i="40"/>
  <c r="AR48" i="40"/>
  <c r="AR39" i="40"/>
  <c r="AR29" i="40"/>
  <c r="AR21" i="40"/>
  <c r="AR18" i="40"/>
  <c r="AP191" i="40"/>
  <c r="AP187" i="40"/>
  <c r="AP185" i="40"/>
  <c r="AP176" i="40"/>
  <c r="AP174" i="40"/>
  <c r="AP165" i="40"/>
  <c r="AP156" i="40"/>
  <c r="AP154" i="40"/>
  <c r="AP145" i="40"/>
  <c r="AP136" i="40"/>
  <c r="AP128" i="40"/>
  <c r="AP119" i="40"/>
  <c r="AP110" i="40"/>
  <c r="AP101" i="40"/>
  <c r="AP92" i="40"/>
  <c r="AP84" i="40"/>
  <c r="AP75" i="40"/>
  <c r="AP66" i="40"/>
  <c r="AP57" i="40"/>
  <c r="AP48" i="40"/>
  <c r="AP39" i="40"/>
  <c r="AP29" i="40"/>
  <c r="AP21" i="40"/>
  <c r="AP18" i="40"/>
  <c r="AN185" i="40"/>
  <c r="AN165" i="40"/>
  <c r="AN154" i="40"/>
  <c r="AN145" i="40"/>
  <c r="AN136" i="40"/>
  <c r="AN128" i="40"/>
  <c r="AN119" i="40"/>
  <c r="AN110" i="40"/>
  <c r="AN101" i="40"/>
  <c r="AN92" i="40"/>
  <c r="AN84" i="40"/>
  <c r="AN75" i="40"/>
  <c r="AN66" i="40"/>
  <c r="AN57" i="40"/>
  <c r="AN48" i="40"/>
  <c r="AN39" i="40"/>
  <c r="AN29" i="40"/>
  <c r="AN21" i="40"/>
  <c r="AN18" i="40"/>
  <c r="AL191" i="40"/>
  <c r="AL187" i="40"/>
  <c r="AL185" i="40"/>
  <c r="AL176" i="40"/>
  <c r="AL174" i="40"/>
  <c r="AL165" i="40"/>
  <c r="AL156" i="40"/>
  <c r="AL154" i="40"/>
  <c r="AL145" i="40"/>
  <c r="AL136" i="40"/>
  <c r="AL128" i="40"/>
  <c r="AL119" i="40"/>
  <c r="AL110" i="40"/>
  <c r="AL101" i="40"/>
  <c r="AL92" i="40"/>
  <c r="AL84" i="40"/>
  <c r="AL75" i="40"/>
  <c r="AL66" i="40"/>
  <c r="AL57" i="40"/>
  <c r="AL48" i="40"/>
  <c r="AL39" i="40"/>
  <c r="AL29" i="40"/>
  <c r="AL25" i="40"/>
  <c r="AL21" i="40"/>
  <c r="AL18" i="40"/>
  <c r="AN7" i="40"/>
  <c r="AJ191" i="40"/>
  <c r="AJ187" i="40"/>
  <c r="AJ185" i="40"/>
  <c r="AJ176" i="40"/>
  <c r="AJ174" i="40"/>
  <c r="AJ165" i="40"/>
  <c r="AJ156" i="40"/>
  <c r="AJ154" i="40"/>
  <c r="AJ145" i="40"/>
  <c r="AJ136" i="40"/>
  <c r="AJ128" i="40"/>
  <c r="AJ119" i="40"/>
  <c r="AJ110" i="40"/>
  <c r="AJ101" i="40"/>
  <c r="AJ92" i="40"/>
  <c r="AJ84" i="40"/>
  <c r="AJ75" i="40"/>
  <c r="AJ66" i="40"/>
  <c r="AJ57" i="40"/>
  <c r="AJ48" i="40"/>
  <c r="AJ39" i="40"/>
  <c r="AJ29" i="40"/>
  <c r="AJ21" i="40"/>
  <c r="AJ18" i="40"/>
  <c r="AH191" i="40"/>
  <c r="AH187" i="40"/>
  <c r="AH185" i="40"/>
  <c r="AH176" i="40"/>
  <c r="AH174" i="40"/>
  <c r="AH165" i="40"/>
  <c r="AH156" i="40"/>
  <c r="AH154" i="40"/>
  <c r="AH145" i="40"/>
  <c r="AH136" i="40"/>
  <c r="AH128" i="40"/>
  <c r="AH119" i="40"/>
  <c r="AH110" i="40"/>
  <c r="AH101" i="40"/>
  <c r="AH92" i="40"/>
  <c r="AH84" i="40"/>
  <c r="AH75" i="40"/>
  <c r="AH66" i="40"/>
  <c r="AH57" i="40"/>
  <c r="AH48" i="40"/>
  <c r="AH39" i="40"/>
  <c r="AH29" i="40"/>
  <c r="AH21" i="40"/>
  <c r="AH18" i="40"/>
  <c r="AN156" i="40" l="1"/>
  <c r="AN176" i="40"/>
  <c r="AN187" i="40" s="1"/>
  <c r="AN191" i="40" s="1"/>
  <c r="AF191" i="40"/>
  <c r="AF187" i="40"/>
  <c r="AF185" i="40"/>
  <c r="AF176" i="40"/>
  <c r="AF174" i="40"/>
  <c r="AF165" i="40"/>
  <c r="AF156" i="40"/>
  <c r="AF154" i="40"/>
  <c r="AF145" i="40"/>
  <c r="AF136" i="40"/>
  <c r="AF128" i="40"/>
  <c r="AF119" i="40"/>
  <c r="AF110" i="40"/>
  <c r="AF101" i="40"/>
  <c r="AF92" i="40"/>
  <c r="AF84" i="40"/>
  <c r="AF75" i="40"/>
  <c r="AF66" i="40"/>
  <c r="AF57" i="40"/>
  <c r="AF48" i="40"/>
  <c r="AF39" i="40"/>
  <c r="AF29" i="40"/>
  <c r="AF21" i="40"/>
  <c r="AF18" i="40"/>
  <c r="AC184" i="40" l="1"/>
  <c r="AC181" i="40"/>
  <c r="AC180" i="40"/>
  <c r="AC179" i="40"/>
  <c r="AC173" i="40"/>
  <c r="AC27" i="40"/>
  <c r="AC25" i="40"/>
  <c r="AC12" i="40"/>
  <c r="AC10" i="40"/>
  <c r="AC7" i="40"/>
  <c r="AA184" i="40"/>
  <c r="AA181" i="40"/>
  <c r="AA180" i="40"/>
  <c r="AA179" i="40"/>
  <c r="AA173" i="40"/>
  <c r="AA27" i="40"/>
  <c r="AA25" i="40"/>
  <c r="AA12" i="40"/>
  <c r="AA10" i="40"/>
  <c r="AA7" i="40"/>
  <c r="AA174" i="40"/>
  <c r="AA165" i="40"/>
  <c r="AA154" i="40"/>
  <c r="AA145" i="40"/>
  <c r="AA136" i="40"/>
  <c r="AA128" i="40"/>
  <c r="AA119" i="40"/>
  <c r="AA110" i="40"/>
  <c r="AA101" i="40"/>
  <c r="AA92" i="40"/>
  <c r="AA84" i="40"/>
  <c r="AA75" i="40"/>
  <c r="AA66" i="40"/>
  <c r="AA57" i="40"/>
  <c r="AA48" i="40"/>
  <c r="AA39" i="40"/>
  <c r="AC165" i="40"/>
  <c r="AC154" i="40"/>
  <c r="AC145" i="40"/>
  <c r="AC136" i="40"/>
  <c r="AC128" i="40"/>
  <c r="AC119" i="40"/>
  <c r="AC110" i="40"/>
  <c r="AC101" i="40"/>
  <c r="AC92" i="40"/>
  <c r="AC156" i="40" s="1"/>
  <c r="AC84" i="40"/>
  <c r="AC75" i="40"/>
  <c r="AC66" i="40"/>
  <c r="AC57" i="40"/>
  <c r="AC48" i="40"/>
  <c r="AC39" i="40"/>
  <c r="AA185" i="40" l="1"/>
  <c r="AA156" i="40"/>
  <c r="AA176" i="40" s="1"/>
  <c r="AA18" i="40"/>
  <c r="AA21" i="40" s="1"/>
  <c r="AA29" i="40" s="1"/>
  <c r="X165" i="40"/>
  <c r="X154" i="40"/>
  <c r="X145" i="40"/>
  <c r="X136" i="40"/>
  <c r="X128" i="40"/>
  <c r="X119" i="40"/>
  <c r="X110" i="40"/>
  <c r="X101" i="40"/>
  <c r="X92" i="40"/>
  <c r="X84" i="40"/>
  <c r="X75" i="40"/>
  <c r="X66" i="40"/>
  <c r="X57" i="40"/>
  <c r="X37" i="40"/>
  <c r="X36" i="40"/>
  <c r="X35" i="40"/>
  <c r="X34" i="40"/>
  <c r="X33" i="40"/>
  <c r="V174" i="40"/>
  <c r="V165" i="40"/>
  <c r="V154" i="40"/>
  <c r="V145" i="40"/>
  <c r="V136" i="40"/>
  <c r="V128" i="40"/>
  <c r="V119" i="40"/>
  <c r="V110" i="40"/>
  <c r="V101" i="40"/>
  <c r="V92" i="40"/>
  <c r="V84" i="40"/>
  <c r="V75" i="40"/>
  <c r="V66" i="40"/>
  <c r="V57" i="40"/>
  <c r="T174" i="40"/>
  <c r="T165" i="40"/>
  <c r="T154" i="40"/>
  <c r="T145" i="40"/>
  <c r="T156" i="40" s="1"/>
  <c r="T136" i="40"/>
  <c r="T128" i="40"/>
  <c r="T119" i="40"/>
  <c r="T110" i="40"/>
  <c r="T101" i="40"/>
  <c r="T92" i="40"/>
  <c r="T84" i="40"/>
  <c r="T75" i="40"/>
  <c r="T66" i="40"/>
  <c r="T57" i="40"/>
  <c r="T48" i="40"/>
  <c r="AA187" i="40" l="1"/>
  <c r="AA191" i="40" s="1"/>
  <c r="R173" i="40"/>
  <c r="R174" i="40"/>
  <c r="R165" i="40"/>
  <c r="R154" i="40"/>
  <c r="R145" i="40"/>
  <c r="R136" i="40"/>
  <c r="R128" i="40"/>
  <c r="R119" i="40"/>
  <c r="R110" i="40"/>
  <c r="R101" i="40"/>
  <c r="R92" i="40"/>
  <c r="R84" i="40"/>
  <c r="R75" i="40"/>
  <c r="R66" i="40"/>
  <c r="R57" i="40"/>
  <c r="R47" i="40"/>
  <c r="P173" i="40" l="1"/>
  <c r="P174" i="40" s="1"/>
  <c r="P165" i="40"/>
  <c r="P154" i="40"/>
  <c r="P145" i="40"/>
  <c r="P136" i="40"/>
  <c r="P128" i="40"/>
  <c r="P119" i="40"/>
  <c r="P110" i="40"/>
  <c r="P101" i="40"/>
  <c r="P92" i="40"/>
  <c r="P156" i="40" s="1"/>
  <c r="P84" i="40"/>
  <c r="P75" i="40"/>
  <c r="P66" i="40"/>
  <c r="P57" i="40"/>
  <c r="P48" i="40"/>
  <c r="X7" i="47" l="1"/>
  <c r="D106" i="47"/>
  <c r="D90" i="47"/>
  <c r="D80" i="47"/>
  <c r="D62" i="47"/>
  <c r="D52" i="47"/>
  <c r="D42" i="47"/>
  <c r="D32" i="47"/>
  <c r="D22" i="47"/>
  <c r="D12" i="47"/>
  <c r="D119" i="47" s="1"/>
  <c r="N173" i="40"/>
  <c r="N174" i="40" s="1"/>
  <c r="N127" i="40"/>
  <c r="N123" i="40"/>
  <c r="N122" i="40"/>
  <c r="N14" i="40"/>
  <c r="N165" i="40"/>
  <c r="N154" i="40"/>
  <c r="N145" i="40"/>
  <c r="N136" i="40"/>
  <c r="N119" i="40"/>
  <c r="N110" i="40"/>
  <c r="N101" i="40"/>
  <c r="N92" i="40"/>
  <c r="N84" i="40"/>
  <c r="N75" i="40"/>
  <c r="N66" i="40"/>
  <c r="N57" i="40"/>
  <c r="N48" i="40"/>
  <c r="N39" i="40"/>
  <c r="J165" i="40"/>
  <c r="J154" i="40"/>
  <c r="J145" i="40"/>
  <c r="J136" i="40"/>
  <c r="J128" i="40"/>
  <c r="J119" i="40"/>
  <c r="J110" i="40"/>
  <c r="J101" i="40"/>
  <c r="J92" i="40"/>
  <c r="J84" i="40"/>
  <c r="J75" i="40"/>
  <c r="J66" i="40"/>
  <c r="J57" i="40"/>
  <c r="H165" i="40" l="1"/>
  <c r="H154" i="40"/>
  <c r="H145" i="40"/>
  <c r="H136" i="40"/>
  <c r="H119" i="40"/>
  <c r="H84" i="40"/>
  <c r="H75" i="40"/>
  <c r="H66" i="40"/>
  <c r="H57" i="40"/>
  <c r="H48" i="40"/>
  <c r="H39" i="40"/>
  <c r="H7" i="40"/>
  <c r="F134" i="40"/>
  <c r="F132" i="40"/>
  <c r="F55" i="40"/>
  <c r="F53" i="40"/>
  <c r="F46" i="40"/>
  <c r="F44" i="40"/>
  <c r="F189" i="40" l="1"/>
  <c r="D134" i="40" l="1"/>
  <c r="BI134" i="40" s="1"/>
  <c r="D132" i="40"/>
  <c r="BI132" i="40" s="1"/>
  <c r="D55" i="40"/>
  <c r="BI55" i="40" s="1"/>
  <c r="D53" i="40"/>
  <c r="BI53" i="40" s="1"/>
  <c r="D46" i="40"/>
  <c r="D44" i="40"/>
  <c r="D27" i="40"/>
  <c r="B1079" i="4"/>
  <c r="I18" i="6" l="1"/>
  <c r="I15" i="6"/>
  <c r="G648" i="41" l="1"/>
  <c r="I625" i="41"/>
  <c r="I595" i="41"/>
  <c r="I563" i="41"/>
  <c r="I540" i="41"/>
  <c r="I517" i="41"/>
  <c r="I486" i="41"/>
  <c r="I456" i="41"/>
  <c r="I261" i="41"/>
  <c r="I231" i="41"/>
  <c r="I130" i="41"/>
  <c r="I100" i="41"/>
  <c r="I63" i="41"/>
  <c r="I26" i="41"/>
  <c r="I1050" i="42"/>
  <c r="I1013" i="42"/>
  <c r="I976" i="42"/>
  <c r="I939" i="42"/>
  <c r="I902" i="42"/>
  <c r="I865" i="42"/>
  <c r="I828" i="42" l="1"/>
  <c r="I791" i="42" l="1"/>
  <c r="I754" i="42"/>
  <c r="I717" i="42"/>
  <c r="I680" i="42"/>
  <c r="I642" i="42"/>
  <c r="I605" i="42"/>
  <c r="I568" i="42"/>
  <c r="I531" i="42"/>
  <c r="I494" i="42"/>
  <c r="I457" i="42"/>
  <c r="I420" i="42"/>
  <c r="I383" i="42"/>
  <c r="I345" i="42"/>
  <c r="I309" i="42"/>
  <c r="I273" i="42"/>
  <c r="I237" i="42"/>
  <c r="I202" i="42"/>
  <c r="I166" i="42"/>
  <c r="I130" i="42"/>
  <c r="I94" i="42"/>
  <c r="I58" i="42"/>
  <c r="I22" i="42"/>
  <c r="G101" i="43" l="1"/>
  <c r="G99" i="43"/>
  <c r="I43" i="43"/>
  <c r="G648" i="5"/>
  <c r="I625" i="5"/>
  <c r="I595" i="5"/>
  <c r="I563" i="5"/>
  <c r="I540" i="5"/>
  <c r="I517" i="5"/>
  <c r="I486" i="5"/>
  <c r="I456" i="5"/>
  <c r="I261" i="5"/>
  <c r="I231" i="5"/>
  <c r="I130" i="5"/>
  <c r="I100" i="5"/>
  <c r="I63" i="5"/>
  <c r="I26" i="5"/>
  <c r="G1074" i="4"/>
  <c r="I1067" i="4"/>
  <c r="I1050" i="4"/>
  <c r="I1013" i="4"/>
  <c r="I976" i="4"/>
  <c r="I939" i="4"/>
  <c r="I902" i="4"/>
  <c r="I865" i="4"/>
  <c r="I828" i="4"/>
  <c r="I791" i="4"/>
  <c r="I754" i="4"/>
  <c r="I717" i="4"/>
  <c r="I680" i="4"/>
  <c r="I642" i="4"/>
  <c r="I605" i="4"/>
  <c r="I568" i="4"/>
  <c r="I531" i="4"/>
  <c r="I494" i="4"/>
  <c r="I457" i="4"/>
  <c r="I420" i="4"/>
  <c r="I383" i="4"/>
  <c r="I345" i="4"/>
  <c r="I309" i="4"/>
  <c r="I273" i="4"/>
  <c r="I237" i="4"/>
  <c r="I202" i="4"/>
  <c r="I166" i="4"/>
  <c r="I130" i="4"/>
  <c r="I94" i="4"/>
  <c r="I58" i="4"/>
  <c r="B1089" i="4" s="1"/>
  <c r="D44" i="4"/>
  <c r="I22" i="4"/>
  <c r="I114" i="3"/>
  <c r="I106" i="3"/>
  <c r="I104" i="3"/>
  <c r="I100" i="3"/>
  <c r="I97" i="3"/>
  <c r="I68" i="3"/>
  <c r="I43" i="3"/>
  <c r="H47" i="6" l="1"/>
  <c r="G47" i="6"/>
  <c r="F47" i="6"/>
  <c r="E47" i="6"/>
  <c r="D47" i="6"/>
  <c r="D80" i="6"/>
  <c r="D50" i="6"/>
  <c r="D82" i="6" s="1"/>
  <c r="I44" i="6"/>
  <c r="I43" i="6"/>
  <c r="I42" i="6"/>
  <c r="W12" i="47" l="1"/>
  <c r="W119" i="47" s="1"/>
  <c r="H179" i="7"/>
  <c r="H166" i="7"/>
  <c r="H168" i="7" s="1"/>
  <c r="G151" i="7"/>
  <c r="G136" i="7"/>
  <c r="G110" i="7"/>
  <c r="G50" i="7"/>
  <c r="G23" i="7"/>
  <c r="E33" i="39"/>
  <c r="E49" i="39" s="1"/>
  <c r="E58" i="39" s="1"/>
  <c r="E63" i="39" s="1"/>
  <c r="D33" i="21"/>
  <c r="E33" i="21"/>
  <c r="E68" i="37"/>
  <c r="D25" i="37"/>
  <c r="D27" i="37" s="1"/>
  <c r="D91" i="37" s="1"/>
  <c r="D50" i="37"/>
  <c r="E50" i="37"/>
  <c r="D40" i="8"/>
  <c r="D17" i="8"/>
  <c r="D19" i="8" s="1"/>
  <c r="D68" i="8" s="1"/>
  <c r="F110" i="7"/>
  <c r="E80" i="6"/>
  <c r="E71" i="6"/>
  <c r="E73" i="6" s="1"/>
  <c r="E65" i="6"/>
  <c r="E961" i="42"/>
  <c r="F961" i="42"/>
  <c r="G961" i="42"/>
  <c r="H961" i="42"/>
  <c r="D961" i="42"/>
  <c r="C25" i="32"/>
  <c r="C23" i="32"/>
  <c r="C18" i="32"/>
  <c r="C11" i="32"/>
  <c r="C19" i="31"/>
  <c r="G17" i="25"/>
  <c r="C18" i="24"/>
  <c r="D21" i="27"/>
  <c r="H44" i="56"/>
  <c r="G44" i="56"/>
  <c r="F44" i="56"/>
  <c r="E44" i="56"/>
  <c r="D44" i="56"/>
  <c r="I43" i="56"/>
  <c r="I42" i="56"/>
  <c r="I41" i="56"/>
  <c r="I40" i="56"/>
  <c r="I35" i="56"/>
  <c r="H34" i="56"/>
  <c r="H37" i="56" s="1"/>
  <c r="G34" i="56"/>
  <c r="G37" i="56" s="1"/>
  <c r="G46" i="56" s="1"/>
  <c r="F34" i="56"/>
  <c r="F37" i="56" s="1"/>
  <c r="F46" i="56" s="1"/>
  <c r="E34" i="56"/>
  <c r="E37" i="56"/>
  <c r="E46" i="56" s="1"/>
  <c r="D34" i="56"/>
  <c r="D37" i="56" s="1"/>
  <c r="I33" i="56"/>
  <c r="I32" i="56"/>
  <c r="I27" i="56"/>
  <c r="I34" i="56"/>
  <c r="H22" i="56"/>
  <c r="H24" i="56"/>
  <c r="H49" i="56" s="1"/>
  <c r="G22" i="56"/>
  <c r="G24" i="56" s="1"/>
  <c r="G49" i="56" s="1"/>
  <c r="F22" i="56"/>
  <c r="F24" i="56" s="1"/>
  <c r="F49" i="56" s="1"/>
  <c r="E22" i="56"/>
  <c r="E24" i="56" s="1"/>
  <c r="E49" i="56" s="1"/>
  <c r="D22" i="56"/>
  <c r="D24" i="56"/>
  <c r="D49" i="56" s="1"/>
  <c r="I20" i="56"/>
  <c r="C57" i="24" s="1"/>
  <c r="I19" i="56"/>
  <c r="C15" i="31" s="1"/>
  <c r="I18" i="56"/>
  <c r="I17" i="56"/>
  <c r="I16" i="56"/>
  <c r="I15" i="56"/>
  <c r="I14" i="56"/>
  <c r="I13" i="56"/>
  <c r="I12" i="56"/>
  <c r="I11" i="56"/>
  <c r="I10" i="56"/>
  <c r="I9" i="56"/>
  <c r="I22" i="56" s="1"/>
  <c r="I24" i="56" s="1"/>
  <c r="I49" i="56" s="1"/>
  <c r="I8" i="56"/>
  <c r="I6" i="56"/>
  <c r="E1" i="56"/>
  <c r="C1" i="56"/>
  <c r="I53" i="3"/>
  <c r="D77" i="3"/>
  <c r="I666" i="5"/>
  <c r="D182" i="40" s="1"/>
  <c r="BI182" i="40" s="1"/>
  <c r="I81" i="3"/>
  <c r="I166" i="7"/>
  <c r="G166" i="7"/>
  <c r="F166" i="7"/>
  <c r="E166" i="7"/>
  <c r="E166" i="53"/>
  <c r="I166" i="53"/>
  <c r="I168" i="53" s="1"/>
  <c r="H166" i="53"/>
  <c r="H168" i="53" s="1"/>
  <c r="G166" i="53"/>
  <c r="G168" i="53" s="1"/>
  <c r="F166" i="53"/>
  <c r="H37" i="54"/>
  <c r="F37" i="54"/>
  <c r="E37" i="54"/>
  <c r="E47" i="54" s="1"/>
  <c r="E52" i="54" s="1"/>
  <c r="D37" i="54"/>
  <c r="G21" i="32"/>
  <c r="D1" i="52"/>
  <c r="D2" i="52"/>
  <c r="D12" i="52"/>
  <c r="E1" i="52"/>
  <c r="E12" i="52"/>
  <c r="F1" i="52"/>
  <c r="F12" i="52"/>
  <c r="G1" i="52"/>
  <c r="G12" i="52"/>
  <c r="G115" i="52" s="1"/>
  <c r="H1" i="52"/>
  <c r="H12" i="52"/>
  <c r="I1" i="52"/>
  <c r="I12" i="52"/>
  <c r="I115" i="52" s="1"/>
  <c r="J1" i="52"/>
  <c r="J12" i="52"/>
  <c r="J115" i="52" s="1"/>
  <c r="K1" i="52"/>
  <c r="K2" i="52"/>
  <c r="K12" i="52"/>
  <c r="L1" i="52"/>
  <c r="L12" i="52"/>
  <c r="M1" i="52"/>
  <c r="M12" i="52"/>
  <c r="N1" i="52"/>
  <c r="O1" i="52"/>
  <c r="P1" i="52"/>
  <c r="Q1" i="52"/>
  <c r="R1" i="52"/>
  <c r="S1" i="52"/>
  <c r="T1" i="52"/>
  <c r="T2" i="52" s="1"/>
  <c r="U1" i="52"/>
  <c r="V1" i="52"/>
  <c r="W1" i="52"/>
  <c r="C68" i="24"/>
  <c r="BG33" i="40"/>
  <c r="BG23" i="40"/>
  <c r="H30" i="22"/>
  <c r="D44" i="39"/>
  <c r="D47" i="39" s="1"/>
  <c r="D49" i="39" s="1"/>
  <c r="D58" i="39" s="1"/>
  <c r="H44" i="39"/>
  <c r="G44" i="39"/>
  <c r="F44" i="39"/>
  <c r="E44" i="39"/>
  <c r="E47" i="39" s="1"/>
  <c r="I18" i="39"/>
  <c r="I44" i="39" s="1"/>
  <c r="D44" i="21"/>
  <c r="D47" i="21" s="1"/>
  <c r="H44" i="21"/>
  <c r="G44" i="21"/>
  <c r="G47" i="21" s="1"/>
  <c r="F44" i="21"/>
  <c r="E44" i="21"/>
  <c r="E47" i="21" s="1"/>
  <c r="I18" i="21"/>
  <c r="I44" i="21"/>
  <c r="H45" i="20"/>
  <c r="G45" i="20"/>
  <c r="F45" i="20"/>
  <c r="E45" i="20"/>
  <c r="E48" i="20" s="1"/>
  <c r="E50" i="20" s="1"/>
  <c r="E59" i="20" s="1"/>
  <c r="D45" i="20"/>
  <c r="D14" i="20"/>
  <c r="I19" i="20"/>
  <c r="I45" i="20"/>
  <c r="D36" i="19"/>
  <c r="H36" i="19"/>
  <c r="G36" i="19"/>
  <c r="F36" i="19"/>
  <c r="F39" i="19" s="1"/>
  <c r="F49" i="19" s="1"/>
  <c r="F54" i="19" s="1"/>
  <c r="E36" i="19"/>
  <c r="I24" i="19"/>
  <c r="I36" i="19" s="1"/>
  <c r="D32" i="18"/>
  <c r="D35" i="18" s="1"/>
  <c r="H32" i="18"/>
  <c r="H35" i="18" s="1"/>
  <c r="G32" i="18"/>
  <c r="G35" i="18" s="1"/>
  <c r="F32" i="18"/>
  <c r="F35" i="18" s="1"/>
  <c r="E32" i="18"/>
  <c r="E35" i="18" s="1"/>
  <c r="I20" i="18"/>
  <c r="I32" i="18" s="1"/>
  <c r="AU38" i="40" s="1"/>
  <c r="H34" i="17"/>
  <c r="G34" i="17"/>
  <c r="F34" i="17"/>
  <c r="E34" i="17"/>
  <c r="D34" i="17"/>
  <c r="I22" i="17"/>
  <c r="I34" i="17" s="1"/>
  <c r="D44" i="16"/>
  <c r="D47" i="16" s="1"/>
  <c r="H44" i="16"/>
  <c r="G44" i="16"/>
  <c r="G47" i="16" s="1"/>
  <c r="F44" i="16"/>
  <c r="E44" i="16"/>
  <c r="I27" i="16"/>
  <c r="I44" i="16"/>
  <c r="H74" i="37"/>
  <c r="G74" i="37"/>
  <c r="G76" i="37" s="1"/>
  <c r="F74" i="37"/>
  <c r="F76" i="37" s="1"/>
  <c r="E74" i="37"/>
  <c r="E76" i="37" s="1"/>
  <c r="D74" i="37"/>
  <c r="D76" i="37"/>
  <c r="I72" i="37"/>
  <c r="I30" i="37"/>
  <c r="I74" i="37" s="1"/>
  <c r="D30" i="14"/>
  <c r="D50" i="13"/>
  <c r="D52" i="13" s="1"/>
  <c r="H39" i="13"/>
  <c r="G39" i="13"/>
  <c r="G42" i="13" s="1"/>
  <c r="F39" i="13"/>
  <c r="E39" i="13"/>
  <c r="D39" i="13"/>
  <c r="D42" i="13" s="1"/>
  <c r="I23" i="13"/>
  <c r="I39" i="13" s="1"/>
  <c r="D34" i="12"/>
  <c r="D37" i="12" s="1"/>
  <c r="D46" i="12" s="1"/>
  <c r="D51" i="12" s="1"/>
  <c r="H34" i="12"/>
  <c r="H37" i="12" s="1"/>
  <c r="G34" i="12"/>
  <c r="F34" i="12"/>
  <c r="E34" i="12"/>
  <c r="I27" i="12"/>
  <c r="I34" i="12" s="1"/>
  <c r="H53" i="11"/>
  <c r="G53" i="11"/>
  <c r="G55" i="11" s="1"/>
  <c r="F53" i="11"/>
  <c r="F55" i="11" s="1"/>
  <c r="E53" i="11"/>
  <c r="E55" i="11" s="1"/>
  <c r="D53" i="11"/>
  <c r="D55" i="11" s="1"/>
  <c r="I51" i="11"/>
  <c r="I21" i="11"/>
  <c r="I53" i="11" s="1"/>
  <c r="D50" i="8"/>
  <c r="D53" i="8" s="1"/>
  <c r="H50" i="8"/>
  <c r="G50" i="8"/>
  <c r="G53" i="8" s="1"/>
  <c r="F50" i="8"/>
  <c r="F53" i="8" s="1"/>
  <c r="E50" i="8"/>
  <c r="I22" i="8"/>
  <c r="I50" i="8" s="1"/>
  <c r="E168" i="7"/>
  <c r="J91" i="7"/>
  <c r="J166" i="7" s="1"/>
  <c r="J6" i="7"/>
  <c r="J71" i="7"/>
  <c r="J75" i="7"/>
  <c r="J76" i="7"/>
  <c r="J77" i="7"/>
  <c r="P27" i="40" s="1"/>
  <c r="J78" i="7"/>
  <c r="J79" i="7"/>
  <c r="J80" i="7"/>
  <c r="J81" i="7"/>
  <c r="J82" i="7"/>
  <c r="J83" i="7"/>
  <c r="J84" i="7"/>
  <c r="I23" i="7"/>
  <c r="I67" i="7" s="1"/>
  <c r="I88" i="7" s="1"/>
  <c r="I184" i="7" s="1"/>
  <c r="I186" i="7" s="1"/>
  <c r="I50" i="7"/>
  <c r="I65" i="7"/>
  <c r="I86" i="7"/>
  <c r="H86" i="7"/>
  <c r="G65" i="7"/>
  <c r="G86" i="7"/>
  <c r="F23" i="7"/>
  <c r="F50" i="7"/>
  <c r="F65" i="7"/>
  <c r="F86" i="7"/>
  <c r="E23" i="7"/>
  <c r="E50" i="7"/>
  <c r="E65" i="7"/>
  <c r="E86" i="7"/>
  <c r="H71" i="6"/>
  <c r="H73" i="6" s="1"/>
  <c r="G71" i="6"/>
  <c r="G73" i="6" s="1"/>
  <c r="F71" i="6"/>
  <c r="F73" i="6" s="1"/>
  <c r="D71" i="6"/>
  <c r="D73" i="6" s="1"/>
  <c r="I69" i="6"/>
  <c r="I32" i="6"/>
  <c r="E168" i="53"/>
  <c r="E179" i="53"/>
  <c r="E151" i="53"/>
  <c r="E136" i="53"/>
  <c r="E110" i="53"/>
  <c r="E86" i="53"/>
  <c r="E65" i="53"/>
  <c r="E50" i="53"/>
  <c r="E23" i="53"/>
  <c r="E67" i="53" s="1"/>
  <c r="E88" i="53" s="1"/>
  <c r="E184" i="53" s="1"/>
  <c r="J91" i="53"/>
  <c r="J166" i="53" s="1"/>
  <c r="J71" i="53"/>
  <c r="C49" i="24" s="1"/>
  <c r="D60" i="34"/>
  <c r="D113" i="34"/>
  <c r="D127" i="34"/>
  <c r="D17" i="34"/>
  <c r="D19" i="34" s="1"/>
  <c r="D132" i="34" s="1"/>
  <c r="H116" i="34"/>
  <c r="G116" i="34"/>
  <c r="F116" i="34"/>
  <c r="E116" i="34"/>
  <c r="D116" i="34"/>
  <c r="H60" i="34"/>
  <c r="H118" i="34" s="1"/>
  <c r="H113" i="34"/>
  <c r="F60" i="34"/>
  <c r="F113" i="34"/>
  <c r="E60" i="34"/>
  <c r="E113" i="34"/>
  <c r="I22" i="34"/>
  <c r="I116" i="34" s="1"/>
  <c r="H36" i="9"/>
  <c r="H39" i="9" s="1"/>
  <c r="H49" i="9" s="1"/>
  <c r="G36" i="9"/>
  <c r="F36" i="9"/>
  <c r="F39" i="9" s="1"/>
  <c r="F49" i="9" s="1"/>
  <c r="E36" i="9"/>
  <c r="D36" i="9"/>
  <c r="D39" i="9" s="1"/>
  <c r="D49" i="9" s="1"/>
  <c r="D54" i="9" s="1"/>
  <c r="I21" i="9"/>
  <c r="I36" i="9" s="1"/>
  <c r="H173" i="40" s="1"/>
  <c r="H174" i="40" s="1"/>
  <c r="H658" i="41"/>
  <c r="H659" i="41" s="1"/>
  <c r="G658" i="41"/>
  <c r="G659" i="41" s="1"/>
  <c r="F658" i="41"/>
  <c r="F659" i="41" s="1"/>
  <c r="E658" i="41"/>
  <c r="E659" i="41" s="1"/>
  <c r="D658" i="41"/>
  <c r="D659" i="41" s="1"/>
  <c r="I656" i="41"/>
  <c r="I118" i="43"/>
  <c r="I117" i="43"/>
  <c r="I116" i="43"/>
  <c r="I112" i="43"/>
  <c r="H658" i="5"/>
  <c r="H659" i="5" s="1"/>
  <c r="G658" i="5"/>
  <c r="F658" i="5"/>
  <c r="F659" i="5" s="1"/>
  <c r="E658" i="5"/>
  <c r="E659" i="5" s="1"/>
  <c r="D658" i="5"/>
  <c r="D659" i="5" s="1"/>
  <c r="I656" i="5"/>
  <c r="I123" i="3"/>
  <c r="I122" i="3"/>
  <c r="I121" i="3"/>
  <c r="I117" i="3"/>
  <c r="I36" i="16"/>
  <c r="BG179" i="40"/>
  <c r="BG27" i="40"/>
  <c r="BG25" i="40"/>
  <c r="BG10" i="40"/>
  <c r="BG7" i="40"/>
  <c r="I53" i="39"/>
  <c r="I56" i="39" s="1"/>
  <c r="G26" i="32" s="1"/>
  <c r="BE184" i="40"/>
  <c r="I52" i="39"/>
  <c r="BE181" i="40"/>
  <c r="I54" i="39"/>
  <c r="BE180" i="40"/>
  <c r="I55" i="39"/>
  <c r="BE179" i="40"/>
  <c r="I45" i="39"/>
  <c r="I42" i="39"/>
  <c r="BE46" i="40" s="1"/>
  <c r="I43" i="39"/>
  <c r="I41" i="39"/>
  <c r="BE45" i="40"/>
  <c r="I38" i="39"/>
  <c r="I39" i="39"/>
  <c r="I40" i="39"/>
  <c r="I37" i="39"/>
  <c r="BE43" i="40" s="1"/>
  <c r="I36" i="39"/>
  <c r="BE42" i="40" s="1"/>
  <c r="I31" i="39"/>
  <c r="BE38" i="40" s="1"/>
  <c r="I29" i="39"/>
  <c r="I30" i="39"/>
  <c r="BE37" i="40" s="1"/>
  <c r="I28" i="39"/>
  <c r="BE36" i="40"/>
  <c r="I25" i="39"/>
  <c r="BE35" i="40" s="1"/>
  <c r="I26" i="39"/>
  <c r="I27" i="39"/>
  <c r="I24" i="39"/>
  <c r="BE34" i="40" s="1"/>
  <c r="I23" i="39"/>
  <c r="I11" i="39"/>
  <c r="I10" i="39"/>
  <c r="C67" i="24" s="1"/>
  <c r="I9" i="39"/>
  <c r="I6" i="39"/>
  <c r="G8" i="31" s="1"/>
  <c r="BE7" i="40"/>
  <c r="I24" i="21"/>
  <c r="I23" i="21"/>
  <c r="AW33" i="40" s="1"/>
  <c r="I25" i="21"/>
  <c r="I26" i="21"/>
  <c r="I27" i="21"/>
  <c r="I28" i="21"/>
  <c r="AW36" i="40" s="1"/>
  <c r="I29" i="21"/>
  <c r="AW37" i="40" s="1"/>
  <c r="I30" i="21"/>
  <c r="I31" i="21"/>
  <c r="I36" i="21"/>
  <c r="AW42" i="40"/>
  <c r="I37" i="21"/>
  <c r="I38" i="21"/>
  <c r="I39" i="21"/>
  <c r="I40" i="21"/>
  <c r="I41" i="21"/>
  <c r="AW45" i="40" s="1"/>
  <c r="I42" i="21"/>
  <c r="I43" i="21"/>
  <c r="AW46" i="40"/>
  <c r="I45" i="21"/>
  <c r="I39" i="18"/>
  <c r="AU183" i="40" s="1"/>
  <c r="I50" i="11"/>
  <c r="I45" i="11"/>
  <c r="X47" i="40" s="1"/>
  <c r="I33" i="54"/>
  <c r="T37" i="40" s="1"/>
  <c r="I34" i="54"/>
  <c r="I29" i="54"/>
  <c r="I30" i="54"/>
  <c r="I31" i="54"/>
  <c r="I8" i="54"/>
  <c r="I9" i="54"/>
  <c r="I10" i="54"/>
  <c r="I11" i="54"/>
  <c r="I12" i="54"/>
  <c r="I13" i="54"/>
  <c r="I14" i="54"/>
  <c r="I15" i="54"/>
  <c r="I42" i="54"/>
  <c r="T184" i="40" s="1"/>
  <c r="I41" i="54"/>
  <c r="D50" i="22" s="1"/>
  <c r="T183" i="40"/>
  <c r="I40" i="54"/>
  <c r="I43" i="54"/>
  <c r="T180" i="40" s="1"/>
  <c r="I44" i="54"/>
  <c r="T179" i="40" s="1"/>
  <c r="I35" i="54"/>
  <c r="T38" i="40" s="1"/>
  <c r="I32" i="54"/>
  <c r="T36" i="40" s="1"/>
  <c r="I28" i="54"/>
  <c r="I26" i="54"/>
  <c r="I18" i="54"/>
  <c r="T27" i="40" s="1"/>
  <c r="I17" i="54"/>
  <c r="C53" i="24" s="1"/>
  <c r="I16" i="54"/>
  <c r="T14" i="40" s="1"/>
  <c r="I6" i="54"/>
  <c r="T7" i="40" s="1"/>
  <c r="I22" i="6"/>
  <c r="I23" i="6"/>
  <c r="I25" i="6"/>
  <c r="J176" i="53"/>
  <c r="L184" i="40"/>
  <c r="J175" i="53"/>
  <c r="J174" i="53"/>
  <c r="L181" i="40" s="1"/>
  <c r="J177" i="53"/>
  <c r="L180" i="40" s="1"/>
  <c r="J178" i="53"/>
  <c r="L179" i="40"/>
  <c r="J75" i="53"/>
  <c r="J76" i="53"/>
  <c r="J77" i="53"/>
  <c r="J78" i="53"/>
  <c r="J79" i="53"/>
  <c r="J80" i="53"/>
  <c r="J81" i="53"/>
  <c r="J82" i="53"/>
  <c r="J83" i="53"/>
  <c r="J84" i="53"/>
  <c r="I31" i="9"/>
  <c r="I33" i="9"/>
  <c r="I34" i="9"/>
  <c r="I35" i="9"/>
  <c r="I32" i="9"/>
  <c r="I7" i="3"/>
  <c r="B10" i="29" s="1"/>
  <c r="I8" i="3"/>
  <c r="B12" i="29" s="1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4" i="3"/>
  <c r="I49" i="3"/>
  <c r="B14" i="29" s="1"/>
  <c r="I52" i="3"/>
  <c r="B11" i="29" s="1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9" i="3"/>
  <c r="I70" i="3"/>
  <c r="I71" i="3"/>
  <c r="I72" i="3"/>
  <c r="I73" i="3"/>
  <c r="I74" i="3"/>
  <c r="I75" i="3"/>
  <c r="I80" i="3"/>
  <c r="I82" i="3"/>
  <c r="I83" i="3"/>
  <c r="I84" i="3"/>
  <c r="I85" i="3"/>
  <c r="I86" i="3"/>
  <c r="I87" i="3"/>
  <c r="I88" i="3"/>
  <c r="I89" i="3"/>
  <c r="I90" i="3"/>
  <c r="I91" i="3"/>
  <c r="I8" i="9"/>
  <c r="I9" i="9"/>
  <c r="I10" i="9"/>
  <c r="I11" i="9"/>
  <c r="D11" i="29" s="1"/>
  <c r="I9" i="34"/>
  <c r="I10" i="34"/>
  <c r="E14" i="29" s="1"/>
  <c r="I11" i="34"/>
  <c r="J14" i="40" s="1"/>
  <c r="I12" i="34"/>
  <c r="E16" i="29" s="1"/>
  <c r="I9" i="11"/>
  <c r="I10" i="11"/>
  <c r="I11" i="11"/>
  <c r="X14" i="40" s="1"/>
  <c r="I12" i="11"/>
  <c r="J16" i="29" s="1"/>
  <c r="X16" i="40"/>
  <c r="I8" i="6"/>
  <c r="I9" i="6"/>
  <c r="I10" i="6"/>
  <c r="I11" i="6"/>
  <c r="I12" i="6"/>
  <c r="I13" i="6"/>
  <c r="I14" i="6"/>
  <c r="I16" i="6"/>
  <c r="I17" i="6"/>
  <c r="I19" i="6"/>
  <c r="I20" i="6"/>
  <c r="E12" i="47"/>
  <c r="E119" i="47" s="1"/>
  <c r="F12" i="47"/>
  <c r="F119" i="47" s="1"/>
  <c r="G12" i="47"/>
  <c r="H12" i="47"/>
  <c r="I12" i="47"/>
  <c r="J12" i="47"/>
  <c r="J119" i="47" s="1"/>
  <c r="K12" i="47"/>
  <c r="K119" i="47" s="1"/>
  <c r="L12" i="47"/>
  <c r="L119" i="47" s="1"/>
  <c r="M12" i="47"/>
  <c r="M119" i="47" s="1"/>
  <c r="I8" i="8"/>
  <c r="I13" i="29" s="1"/>
  <c r="I9" i="8"/>
  <c r="I10" i="8"/>
  <c r="I11" i="8"/>
  <c r="R12" i="40" s="1"/>
  <c r="I12" i="8"/>
  <c r="I15" i="29" s="1"/>
  <c r="R14" i="40"/>
  <c r="I13" i="8"/>
  <c r="I16" i="29" s="1"/>
  <c r="I8" i="12"/>
  <c r="I9" i="12"/>
  <c r="I10" i="12"/>
  <c r="I11" i="12"/>
  <c r="I12" i="12"/>
  <c r="I13" i="12"/>
  <c r="I14" i="12"/>
  <c r="I15" i="12"/>
  <c r="B11" i="31" s="1"/>
  <c r="I8" i="13"/>
  <c r="I9" i="13"/>
  <c r="AF10" i="40"/>
  <c r="I10" i="13"/>
  <c r="I11" i="13"/>
  <c r="AF16" i="40" s="1"/>
  <c r="I8" i="14"/>
  <c r="I9" i="14"/>
  <c r="I15" i="14" s="1"/>
  <c r="I17" i="14" s="1"/>
  <c r="I10" i="14"/>
  <c r="I11" i="14"/>
  <c r="I8" i="37"/>
  <c r="I9" i="37"/>
  <c r="I10" i="37"/>
  <c r="I11" i="37"/>
  <c r="I12" i="37"/>
  <c r="I13" i="37"/>
  <c r="D11" i="31" s="1"/>
  <c r="AJ12" i="40"/>
  <c r="I14" i="37"/>
  <c r="I15" i="37"/>
  <c r="I16" i="37"/>
  <c r="I17" i="37"/>
  <c r="I18" i="37"/>
  <c r="AJ16" i="40" s="1"/>
  <c r="I9" i="17"/>
  <c r="I10" i="17"/>
  <c r="I11" i="17"/>
  <c r="I12" i="17"/>
  <c r="I13" i="17"/>
  <c r="I9" i="16"/>
  <c r="I10" i="16"/>
  <c r="I11" i="16"/>
  <c r="I12" i="16"/>
  <c r="I13" i="16"/>
  <c r="I14" i="16"/>
  <c r="I15" i="16"/>
  <c r="I16" i="16"/>
  <c r="I17" i="16"/>
  <c r="I18" i="16"/>
  <c r="I8" i="19"/>
  <c r="I19" i="19" s="1"/>
  <c r="I21" i="19" s="1"/>
  <c r="B29" i="27" s="1"/>
  <c r="I9" i="19"/>
  <c r="I10" i="19"/>
  <c r="I11" i="19"/>
  <c r="I12" i="19"/>
  <c r="I13" i="19"/>
  <c r="I14" i="19"/>
  <c r="I15" i="19"/>
  <c r="I9" i="18"/>
  <c r="I10" i="18"/>
  <c r="I11" i="18"/>
  <c r="I9" i="21"/>
  <c r="AW10" i="40" s="1"/>
  <c r="I10" i="20"/>
  <c r="J6" i="53"/>
  <c r="L7" i="40" s="1"/>
  <c r="I5" i="3"/>
  <c r="I6" i="9"/>
  <c r="I7" i="34"/>
  <c r="I7" i="11"/>
  <c r="X7" i="40" s="1"/>
  <c r="I6" i="6"/>
  <c r="N7" i="40" s="1"/>
  <c r="P7" i="40"/>
  <c r="I6" i="8"/>
  <c r="I6" i="12"/>
  <c r="I6" i="13"/>
  <c r="I6" i="14"/>
  <c r="AH7" i="40" s="1"/>
  <c r="I6" i="37"/>
  <c r="AJ7" i="40" s="1"/>
  <c r="I6" i="17"/>
  <c r="AL7" i="40" s="1"/>
  <c r="I6" i="16"/>
  <c r="I6" i="19"/>
  <c r="AP7" i="40" s="1"/>
  <c r="I7" i="18"/>
  <c r="AU7" i="40" s="1"/>
  <c r="I6" i="21"/>
  <c r="I6" i="20"/>
  <c r="I24" i="6"/>
  <c r="I21" i="6"/>
  <c r="G19" i="29" s="1"/>
  <c r="I108" i="3"/>
  <c r="I109" i="3"/>
  <c r="I110" i="3"/>
  <c r="I96" i="3"/>
  <c r="C45" i="24" s="1"/>
  <c r="I98" i="3"/>
  <c r="I99" i="3"/>
  <c r="I101" i="3"/>
  <c r="I13" i="9"/>
  <c r="H23" i="40"/>
  <c r="I12" i="9"/>
  <c r="H25" i="40"/>
  <c r="I14" i="9"/>
  <c r="I14" i="34"/>
  <c r="J23" i="40" s="1"/>
  <c r="BI23" i="40" s="1"/>
  <c r="I13" i="34"/>
  <c r="I15" i="34"/>
  <c r="E19" i="29" s="1"/>
  <c r="I13" i="11"/>
  <c r="I14" i="11"/>
  <c r="X27" i="40" s="1"/>
  <c r="I14" i="8"/>
  <c r="R25" i="40"/>
  <c r="I15" i="8"/>
  <c r="I19" i="29"/>
  <c r="I19" i="12"/>
  <c r="I16" i="12"/>
  <c r="I17" i="12"/>
  <c r="I18" i="12"/>
  <c r="I20" i="12"/>
  <c r="I15" i="13"/>
  <c r="C58" i="24" s="1"/>
  <c r="I12" i="13"/>
  <c r="I13" i="13"/>
  <c r="I14" i="13"/>
  <c r="I16" i="13"/>
  <c r="I12" i="14"/>
  <c r="C59" i="24" s="1"/>
  <c r="I13" i="14"/>
  <c r="I22" i="37"/>
  <c r="D17" i="31" s="1"/>
  <c r="H17" i="31" s="1"/>
  <c r="C9" i="28" s="1"/>
  <c r="AJ23" i="40"/>
  <c r="I19" i="37"/>
  <c r="I20" i="37"/>
  <c r="I21" i="37"/>
  <c r="I23" i="37"/>
  <c r="I14" i="17"/>
  <c r="C62" i="24"/>
  <c r="I15" i="17"/>
  <c r="L19" i="29" s="1"/>
  <c r="I19" i="16"/>
  <c r="AN25" i="40" s="1"/>
  <c r="C61" i="24"/>
  <c r="I20" i="16"/>
  <c r="AN27" i="40"/>
  <c r="I16" i="19"/>
  <c r="I17" i="19"/>
  <c r="AP27" i="40" s="1"/>
  <c r="I12" i="18"/>
  <c r="I13" i="18"/>
  <c r="I10" i="21"/>
  <c r="I11" i="21"/>
  <c r="AW27" i="40" s="1"/>
  <c r="I11" i="20"/>
  <c r="C65" i="24" s="1"/>
  <c r="I12" i="20"/>
  <c r="F16" i="31"/>
  <c r="BC27" i="40"/>
  <c r="I30" i="9"/>
  <c r="H124" i="40" s="1"/>
  <c r="H128" i="40" s="1"/>
  <c r="I29" i="9"/>
  <c r="H97" i="40" s="1"/>
  <c r="H101" i="40" s="1"/>
  <c r="I25" i="9"/>
  <c r="I26" i="9"/>
  <c r="I27" i="9"/>
  <c r="I28" i="9"/>
  <c r="I37" i="9"/>
  <c r="H91" i="40" s="1"/>
  <c r="I115" i="34"/>
  <c r="I68" i="6"/>
  <c r="I32" i="12"/>
  <c r="I33" i="12"/>
  <c r="I35" i="12"/>
  <c r="I71" i="37"/>
  <c r="I46" i="9"/>
  <c r="H179" i="40" s="1"/>
  <c r="I45" i="9"/>
  <c r="H180" i="40" s="1"/>
  <c r="I42" i="9"/>
  <c r="H181" i="40" s="1"/>
  <c r="I43" i="9"/>
  <c r="I44" i="9"/>
  <c r="H184" i="40" s="1"/>
  <c r="I126" i="34"/>
  <c r="J179" i="40" s="1"/>
  <c r="I125" i="34"/>
  <c r="J180" i="40" s="1"/>
  <c r="I122" i="34"/>
  <c r="I123" i="34"/>
  <c r="J183" i="40" s="1"/>
  <c r="I124" i="34"/>
  <c r="J184" i="40" s="1"/>
  <c r="I64" i="11"/>
  <c r="X179" i="40" s="1"/>
  <c r="I63" i="11"/>
  <c r="I60" i="11"/>
  <c r="X181" i="40" s="1"/>
  <c r="I61" i="11"/>
  <c r="X183" i="40" s="1"/>
  <c r="I62" i="11"/>
  <c r="X184" i="40" s="1"/>
  <c r="I79" i="6"/>
  <c r="N179" i="40" s="1"/>
  <c r="I78" i="6"/>
  <c r="N180" i="40" s="1"/>
  <c r="I75" i="6"/>
  <c r="I76" i="6"/>
  <c r="I77" i="6"/>
  <c r="N184" i="40" s="1"/>
  <c r="J178" i="7"/>
  <c r="P179" i="40" s="1"/>
  <c r="J177" i="7"/>
  <c r="P180" i="40" s="1"/>
  <c r="J174" i="7"/>
  <c r="P181" i="40" s="1"/>
  <c r="J175" i="7"/>
  <c r="P183" i="40" s="1"/>
  <c r="J176" i="7"/>
  <c r="P184" i="40" s="1"/>
  <c r="I62" i="8"/>
  <c r="R179" i="40" s="1"/>
  <c r="I61" i="8"/>
  <c r="R180" i="40" s="1"/>
  <c r="I58" i="8"/>
  <c r="R181" i="40" s="1"/>
  <c r="I59" i="8"/>
  <c r="R183" i="40" s="1"/>
  <c r="I60" i="8"/>
  <c r="R184" i="40" s="1"/>
  <c r="I43" i="12"/>
  <c r="I42" i="12"/>
  <c r="I40" i="12"/>
  <c r="I41" i="12"/>
  <c r="I49" i="13"/>
  <c r="AF179" i="40" s="1"/>
  <c r="I48" i="13"/>
  <c r="AF180" i="40" s="1"/>
  <c r="I45" i="13"/>
  <c r="AF181" i="40" s="1"/>
  <c r="I46" i="13"/>
  <c r="AF183" i="40" s="1"/>
  <c r="I47" i="13"/>
  <c r="AF184" i="40" s="1"/>
  <c r="I37" i="14"/>
  <c r="AH179" i="40" s="1"/>
  <c r="I36" i="14"/>
  <c r="AH180" i="40" s="1"/>
  <c r="I33" i="14"/>
  <c r="AH181" i="40" s="1"/>
  <c r="I34" i="14"/>
  <c r="I35" i="14"/>
  <c r="AH184" i="40"/>
  <c r="I85" i="37"/>
  <c r="AJ179" i="40" s="1"/>
  <c r="I84" i="37"/>
  <c r="AJ180" i="40" s="1"/>
  <c r="I81" i="37"/>
  <c r="I82" i="37"/>
  <c r="AJ183" i="40" s="1"/>
  <c r="I83" i="37"/>
  <c r="AJ184" i="40" s="1"/>
  <c r="I44" i="17"/>
  <c r="AL179" i="40" s="1"/>
  <c r="I43" i="17"/>
  <c r="AL180" i="40" s="1"/>
  <c r="I40" i="17"/>
  <c r="I45" i="17" s="1"/>
  <c r="L26" i="30" s="1"/>
  <c r="AL181" i="40"/>
  <c r="I41" i="17"/>
  <c r="I42" i="17"/>
  <c r="AL184" i="40" s="1"/>
  <c r="I54" i="16"/>
  <c r="AN179" i="40" s="1"/>
  <c r="I53" i="16"/>
  <c r="AN180" i="40"/>
  <c r="I50" i="16"/>
  <c r="I51" i="16"/>
  <c r="AN183" i="40" s="1"/>
  <c r="I52" i="16"/>
  <c r="AN184" i="40" s="1"/>
  <c r="I46" i="19"/>
  <c r="AP179" i="40"/>
  <c r="I45" i="19"/>
  <c r="I42" i="19"/>
  <c r="AP181" i="40" s="1"/>
  <c r="I43" i="19"/>
  <c r="I44" i="19"/>
  <c r="AP184" i="40"/>
  <c r="I42" i="18"/>
  <c r="AU179" i="40" s="1"/>
  <c r="I41" i="18"/>
  <c r="AU180" i="40" s="1"/>
  <c r="I38" i="18"/>
  <c r="AU181" i="40" s="1"/>
  <c r="I40" i="18"/>
  <c r="AU184" i="40" s="1"/>
  <c r="I55" i="21"/>
  <c r="AW179" i="40" s="1"/>
  <c r="I54" i="21"/>
  <c r="AW180" i="40" s="1"/>
  <c r="I52" i="21"/>
  <c r="AW181" i="40" s="1"/>
  <c r="I53" i="21"/>
  <c r="AW184" i="40" s="1"/>
  <c r="I56" i="20"/>
  <c r="BC179" i="40" s="1"/>
  <c r="I55" i="20"/>
  <c r="BC180" i="40" s="1"/>
  <c r="I53" i="20"/>
  <c r="I54" i="20"/>
  <c r="BC184" i="40"/>
  <c r="I53" i="6"/>
  <c r="I54" i="6"/>
  <c r="I55" i="6"/>
  <c r="I56" i="6"/>
  <c r="I57" i="6"/>
  <c r="I58" i="6"/>
  <c r="I59" i="6"/>
  <c r="I60" i="6"/>
  <c r="I61" i="6"/>
  <c r="I62" i="6"/>
  <c r="I63" i="6"/>
  <c r="I37" i="6"/>
  <c r="I38" i="6"/>
  <c r="I39" i="6"/>
  <c r="I40" i="6"/>
  <c r="N124" i="40" s="1"/>
  <c r="I41" i="6"/>
  <c r="N125" i="40" s="1"/>
  <c r="I45" i="6"/>
  <c r="N126" i="40" s="1"/>
  <c r="I46" i="6"/>
  <c r="I48" i="6"/>
  <c r="I43" i="16"/>
  <c r="I45" i="16"/>
  <c r="I41" i="16"/>
  <c r="I42" i="16"/>
  <c r="I37" i="16"/>
  <c r="I38" i="16"/>
  <c r="I39" i="16"/>
  <c r="I40" i="16"/>
  <c r="I106" i="34"/>
  <c r="I107" i="34"/>
  <c r="I108" i="34"/>
  <c r="I109" i="34"/>
  <c r="I110" i="34"/>
  <c r="I111" i="34"/>
  <c r="I51" i="8"/>
  <c r="I66" i="37"/>
  <c r="AJ47" i="40" s="1"/>
  <c r="I46" i="20"/>
  <c r="I102" i="34"/>
  <c r="I103" i="34"/>
  <c r="I104" i="34"/>
  <c r="I105" i="34"/>
  <c r="I44" i="11"/>
  <c r="X46" i="40" s="1"/>
  <c r="I49" i="8"/>
  <c r="R46" i="40"/>
  <c r="I59" i="37"/>
  <c r="I60" i="37"/>
  <c r="I61" i="37"/>
  <c r="I62" i="37"/>
  <c r="I63" i="37"/>
  <c r="I64" i="37"/>
  <c r="I65" i="37"/>
  <c r="I43" i="20"/>
  <c r="I44" i="20"/>
  <c r="I100" i="34"/>
  <c r="J45" i="40" s="1"/>
  <c r="I101" i="34"/>
  <c r="I43" i="11"/>
  <c r="X45" i="40"/>
  <c r="I48" i="8"/>
  <c r="R45" i="40" s="1"/>
  <c r="I58" i="37"/>
  <c r="AJ45" i="40" s="1"/>
  <c r="I42" i="20"/>
  <c r="BC45" i="40"/>
  <c r="I82" i="34"/>
  <c r="I83" i="34"/>
  <c r="I84" i="34"/>
  <c r="I85" i="34"/>
  <c r="I86" i="34"/>
  <c r="I87" i="34"/>
  <c r="I88" i="34"/>
  <c r="I89" i="34"/>
  <c r="I90" i="34"/>
  <c r="I91" i="34"/>
  <c r="I92" i="34"/>
  <c r="I93" i="34"/>
  <c r="I94" i="34"/>
  <c r="I95" i="34"/>
  <c r="I96" i="34"/>
  <c r="I97" i="34"/>
  <c r="I98" i="34"/>
  <c r="I99" i="34"/>
  <c r="I40" i="11"/>
  <c r="I41" i="11"/>
  <c r="I42" i="11"/>
  <c r="I45" i="8"/>
  <c r="I46" i="8"/>
  <c r="I47" i="8"/>
  <c r="I55" i="37"/>
  <c r="I56" i="37"/>
  <c r="I57" i="37"/>
  <c r="I39" i="20"/>
  <c r="BC44" i="40" s="1"/>
  <c r="I40" i="20"/>
  <c r="I41" i="20"/>
  <c r="I55" i="34"/>
  <c r="I56" i="34"/>
  <c r="I57" i="34"/>
  <c r="I58" i="34"/>
  <c r="I33" i="11"/>
  <c r="X38" i="40"/>
  <c r="X39" i="40" s="1"/>
  <c r="I38" i="8"/>
  <c r="R38" i="40" s="1"/>
  <c r="I38" i="13"/>
  <c r="I40" i="13"/>
  <c r="AF164" i="40" s="1"/>
  <c r="I28" i="14"/>
  <c r="AH38" i="40"/>
  <c r="I48" i="37"/>
  <c r="AJ38" i="40" s="1"/>
  <c r="I35" i="17"/>
  <c r="I37" i="19"/>
  <c r="I33" i="18"/>
  <c r="I32" i="20"/>
  <c r="BC38" i="40" s="1"/>
  <c r="I52" i="34"/>
  <c r="I53" i="34"/>
  <c r="I54" i="34"/>
  <c r="I32" i="11"/>
  <c r="I37" i="8"/>
  <c r="I30" i="13"/>
  <c r="I31" i="13"/>
  <c r="I32" i="13"/>
  <c r="AF163" i="40" s="1"/>
  <c r="I33" i="13"/>
  <c r="I34" i="13"/>
  <c r="I35" i="13"/>
  <c r="I36" i="13"/>
  <c r="I37" i="13"/>
  <c r="I24" i="14"/>
  <c r="I25" i="14"/>
  <c r="I30" i="14" s="1"/>
  <c r="I26" i="14"/>
  <c r="I27" i="14"/>
  <c r="I41" i="37"/>
  <c r="I42" i="37"/>
  <c r="I43" i="37"/>
  <c r="I44" i="37"/>
  <c r="I45" i="37"/>
  <c r="I46" i="37"/>
  <c r="I47" i="37"/>
  <c r="I32" i="17"/>
  <c r="I33" i="17"/>
  <c r="I34" i="19"/>
  <c r="I35" i="19"/>
  <c r="I30" i="18"/>
  <c r="I31" i="18"/>
  <c r="AU37" i="40"/>
  <c r="I30" i="20"/>
  <c r="I31" i="20"/>
  <c r="BC37" i="40" s="1"/>
  <c r="I50" i="34"/>
  <c r="I51" i="34"/>
  <c r="I31" i="11"/>
  <c r="I36" i="8"/>
  <c r="R36" i="40"/>
  <c r="I29" i="13"/>
  <c r="AF162" i="40" s="1"/>
  <c r="I23" i="14"/>
  <c r="AH36" i="40" s="1"/>
  <c r="I40" i="37"/>
  <c r="AJ36" i="40" s="1"/>
  <c r="I31" i="17"/>
  <c r="AL36" i="40"/>
  <c r="I33" i="19"/>
  <c r="AP36" i="40" s="1"/>
  <c r="I29" i="18"/>
  <c r="AU36" i="40" s="1"/>
  <c r="I29" i="20"/>
  <c r="BC36" i="40" s="1"/>
  <c r="I32" i="34"/>
  <c r="I33" i="34"/>
  <c r="I34" i="34"/>
  <c r="I35" i="34"/>
  <c r="I36" i="34"/>
  <c r="I37" i="34"/>
  <c r="I38" i="34"/>
  <c r="I39" i="34"/>
  <c r="I40" i="34"/>
  <c r="I41" i="34"/>
  <c r="I42" i="34"/>
  <c r="I43" i="34"/>
  <c r="I44" i="34"/>
  <c r="I45" i="34"/>
  <c r="I46" i="34"/>
  <c r="I47" i="34"/>
  <c r="I48" i="34"/>
  <c r="I49" i="34"/>
  <c r="I28" i="11"/>
  <c r="I29" i="11"/>
  <c r="I30" i="11"/>
  <c r="I33" i="8"/>
  <c r="I34" i="8"/>
  <c r="I35" i="8"/>
  <c r="I28" i="13"/>
  <c r="I22" i="14"/>
  <c r="AH35" i="40" s="1"/>
  <c r="I37" i="37"/>
  <c r="I38" i="37"/>
  <c r="I39" i="37"/>
  <c r="I28" i="17"/>
  <c r="I29" i="17"/>
  <c r="I30" i="17"/>
  <c r="I30" i="19"/>
  <c r="AP35" i="40" s="1"/>
  <c r="I31" i="19"/>
  <c r="I32" i="19"/>
  <c r="I26" i="18"/>
  <c r="I27" i="18"/>
  <c r="I28" i="18"/>
  <c r="I26" i="20"/>
  <c r="I27" i="20"/>
  <c r="I28" i="20"/>
  <c r="I37" i="20"/>
  <c r="BC42" i="40" s="1"/>
  <c r="I38" i="20"/>
  <c r="BC43" i="40" s="1"/>
  <c r="I26" i="17"/>
  <c r="I27" i="17"/>
  <c r="AL34" i="40"/>
  <c r="I53" i="37"/>
  <c r="I54" i="37"/>
  <c r="AJ43" i="40" s="1"/>
  <c r="I35" i="37"/>
  <c r="I36" i="37"/>
  <c r="AJ34" i="40" s="1"/>
  <c r="I21" i="14"/>
  <c r="AH33" i="40" s="1"/>
  <c r="I27" i="13"/>
  <c r="AF159" i="40" s="1"/>
  <c r="I38" i="11"/>
  <c r="X42" i="40" s="1"/>
  <c r="I39" i="11"/>
  <c r="X43" i="40" s="1"/>
  <c r="I26" i="11"/>
  <c r="I27" i="11"/>
  <c r="I43" i="8"/>
  <c r="R42" i="40" s="1"/>
  <c r="I44" i="8"/>
  <c r="B6" i="40"/>
  <c r="G27" i="32"/>
  <c r="H27" i="32" s="1"/>
  <c r="C16" i="28" s="1"/>
  <c r="B25" i="32"/>
  <c r="E25" i="32"/>
  <c r="I24" i="20"/>
  <c r="I25" i="20"/>
  <c r="H19" i="32"/>
  <c r="H17" i="32"/>
  <c r="H16" i="32"/>
  <c r="H15" i="32"/>
  <c r="H14" i="32"/>
  <c r="H13" i="32"/>
  <c r="H10" i="32"/>
  <c r="H9" i="32"/>
  <c r="G23" i="32"/>
  <c r="I8" i="20"/>
  <c r="I9" i="20"/>
  <c r="I14" i="20" s="1"/>
  <c r="F8" i="31"/>
  <c r="G17" i="31"/>
  <c r="G15" i="31"/>
  <c r="F19" i="31"/>
  <c r="B18" i="29"/>
  <c r="B8" i="31"/>
  <c r="E8" i="31"/>
  <c r="B15" i="31"/>
  <c r="E15" i="31"/>
  <c r="D18" i="30"/>
  <c r="D11" i="30"/>
  <c r="L18" i="30"/>
  <c r="L11" i="30"/>
  <c r="I28" i="19"/>
  <c r="I29" i="19"/>
  <c r="M11" i="30"/>
  <c r="E25" i="30"/>
  <c r="L25" i="30"/>
  <c r="G670" i="5"/>
  <c r="H670" i="5"/>
  <c r="J179" i="7"/>
  <c r="H26" i="30" s="1"/>
  <c r="H7" i="29"/>
  <c r="F7" i="29"/>
  <c r="L7" i="29"/>
  <c r="M7" i="29"/>
  <c r="D20" i="29"/>
  <c r="D18" i="29"/>
  <c r="I18" i="29"/>
  <c r="F18" i="29"/>
  <c r="L18" i="29"/>
  <c r="I102" i="3"/>
  <c r="I13" i="39"/>
  <c r="I15" i="39" s="1"/>
  <c r="D1" i="27"/>
  <c r="B1" i="27"/>
  <c r="D1" i="26"/>
  <c r="B1" i="26"/>
  <c r="G9" i="25"/>
  <c r="G41" i="25"/>
  <c r="G36" i="25"/>
  <c r="G23" i="25"/>
  <c r="H33" i="22"/>
  <c r="C33" i="27" s="1"/>
  <c r="D46" i="22"/>
  <c r="D48" i="22"/>
  <c r="D49" i="22"/>
  <c r="D52" i="22"/>
  <c r="I44" i="22"/>
  <c r="I49" i="22"/>
  <c r="I50" i="22"/>
  <c r="C1" i="54"/>
  <c r="E1" i="54"/>
  <c r="D20" i="54"/>
  <c r="D22" i="54" s="1"/>
  <c r="D50" i="54" s="1"/>
  <c r="E20" i="54"/>
  <c r="E22" i="54" s="1"/>
  <c r="E50" i="54" s="1"/>
  <c r="F20" i="54"/>
  <c r="F22" i="54" s="1"/>
  <c r="F50" i="54" s="1"/>
  <c r="G20" i="54"/>
  <c r="G22" i="54" s="1"/>
  <c r="H20" i="54"/>
  <c r="H22" i="54" s="1"/>
  <c r="H50" i="54" s="1"/>
  <c r="D45" i="54"/>
  <c r="D47" i="54" s="1"/>
  <c r="D52" i="54" s="1"/>
  <c r="E45" i="54"/>
  <c r="F45" i="54"/>
  <c r="F47" i="54" s="1"/>
  <c r="G45" i="54"/>
  <c r="H45" i="54"/>
  <c r="G50" i="54"/>
  <c r="G39" i="9"/>
  <c r="G47" i="9"/>
  <c r="G49" i="9" s="1"/>
  <c r="H47" i="9"/>
  <c r="D33" i="39"/>
  <c r="D56" i="39"/>
  <c r="D13" i="39"/>
  <c r="D15" i="39" s="1"/>
  <c r="D61" i="39" s="1"/>
  <c r="D49" i="21"/>
  <c r="D56" i="21"/>
  <c r="D13" i="21"/>
  <c r="D15" i="21"/>
  <c r="D61" i="21" s="1"/>
  <c r="D34" i="20"/>
  <c r="D48" i="20"/>
  <c r="D57" i="20"/>
  <c r="D16" i="20"/>
  <c r="D62" i="20" s="1"/>
  <c r="D39" i="19"/>
  <c r="D47" i="19"/>
  <c r="D19" i="19"/>
  <c r="D21" i="19" s="1"/>
  <c r="D52" i="19" s="1"/>
  <c r="H39" i="19"/>
  <c r="H49" i="19" s="1"/>
  <c r="H54" i="19" s="1"/>
  <c r="G39" i="19"/>
  <c r="E39" i="19"/>
  <c r="D43" i="18"/>
  <c r="D15" i="18"/>
  <c r="D17" i="18" s="1"/>
  <c r="D48" i="18" s="1"/>
  <c r="D37" i="17"/>
  <c r="D47" i="17" s="1"/>
  <c r="D45" i="17"/>
  <c r="D17" i="17"/>
  <c r="D19" i="17" s="1"/>
  <c r="D50" i="17" s="1"/>
  <c r="D52" i="17" s="1"/>
  <c r="H17" i="17"/>
  <c r="G17" i="17"/>
  <c r="F17" i="17"/>
  <c r="E17" i="17"/>
  <c r="D55" i="16"/>
  <c r="D22" i="16"/>
  <c r="D24" i="16" s="1"/>
  <c r="D60" i="16" s="1"/>
  <c r="D68" i="37"/>
  <c r="D86" i="37"/>
  <c r="H86" i="37"/>
  <c r="H68" i="37"/>
  <c r="G68" i="37"/>
  <c r="F68" i="37"/>
  <c r="D38" i="14"/>
  <c r="D40" i="14" s="1"/>
  <c r="D15" i="14"/>
  <c r="D17" i="14" s="1"/>
  <c r="D43" i="14" s="1"/>
  <c r="D18" i="13"/>
  <c r="D20" i="13" s="1"/>
  <c r="D55" i="13" s="1"/>
  <c r="D44" i="12"/>
  <c r="D22" i="12"/>
  <c r="D24" i="12"/>
  <c r="D49" i="12" s="1"/>
  <c r="D35" i="11"/>
  <c r="D47" i="11"/>
  <c r="D65" i="11"/>
  <c r="D16" i="11"/>
  <c r="D18" i="11" s="1"/>
  <c r="D70" i="11" s="1"/>
  <c r="D46" i="10"/>
  <c r="D38" i="10"/>
  <c r="D48" i="10" s="1"/>
  <c r="D53" i="10" s="1"/>
  <c r="D20" i="10"/>
  <c r="D22" i="10" s="1"/>
  <c r="D51" i="10" s="1"/>
  <c r="D63" i="8"/>
  <c r="H40" i="8"/>
  <c r="F40" i="8"/>
  <c r="E40" i="8"/>
  <c r="E110" i="7"/>
  <c r="E136" i="7"/>
  <c r="E151" i="7"/>
  <c r="E179" i="7"/>
  <c r="I110" i="7"/>
  <c r="I136" i="7"/>
  <c r="I151" i="7"/>
  <c r="I153" i="7"/>
  <c r="I170" i="7" s="1"/>
  <c r="I168" i="7"/>
  <c r="G153" i="7"/>
  <c r="G170" i="7" s="1"/>
  <c r="G168" i="7"/>
  <c r="F136" i="7"/>
  <c r="F151" i="7"/>
  <c r="F168" i="7"/>
  <c r="G119" i="47"/>
  <c r="H119" i="47"/>
  <c r="I119" i="47"/>
  <c r="N12" i="47"/>
  <c r="N119" i="47" s="1"/>
  <c r="O12" i="47"/>
  <c r="O119" i="47" s="1"/>
  <c r="P12" i="47"/>
  <c r="P119" i="47" s="1"/>
  <c r="Q12" i="47"/>
  <c r="Q119" i="47" s="1"/>
  <c r="R12" i="47"/>
  <c r="R119" i="47" s="1"/>
  <c r="S12" i="47"/>
  <c r="S119" i="47" s="1"/>
  <c r="T12" i="47"/>
  <c r="T119" i="47" s="1"/>
  <c r="U12" i="47"/>
  <c r="U119" i="47" s="1"/>
  <c r="V12" i="47"/>
  <c r="V119" i="47" s="1"/>
  <c r="X116" i="47"/>
  <c r="X115" i="47"/>
  <c r="X111" i="47"/>
  <c r="X110" i="47"/>
  <c r="X108" i="47"/>
  <c r="X105" i="47"/>
  <c r="X104" i="47"/>
  <c r="X103" i="47"/>
  <c r="X102" i="47"/>
  <c r="X101" i="47"/>
  <c r="X100" i="47"/>
  <c r="X98" i="47"/>
  <c r="X89" i="47"/>
  <c r="X88" i="47"/>
  <c r="X87" i="47"/>
  <c r="X86" i="47"/>
  <c r="X85" i="47"/>
  <c r="X83" i="47"/>
  <c r="X79" i="47"/>
  <c r="X78" i="47"/>
  <c r="X77" i="47"/>
  <c r="X76" i="47"/>
  <c r="X75" i="47"/>
  <c r="X74" i="47"/>
  <c r="X72" i="47"/>
  <c r="X61" i="47"/>
  <c r="X60" i="47"/>
  <c r="X59" i="47"/>
  <c r="X58" i="47"/>
  <c r="X57" i="47"/>
  <c r="X55" i="47"/>
  <c r="X51" i="47"/>
  <c r="X50" i="47"/>
  <c r="X49" i="47"/>
  <c r="X48" i="47"/>
  <c r="X47" i="47"/>
  <c r="X45" i="47"/>
  <c r="X41" i="47"/>
  <c r="X40" i="47"/>
  <c r="X39" i="47"/>
  <c r="X38" i="47"/>
  <c r="X37" i="47"/>
  <c r="X35" i="47"/>
  <c r="X31" i="47"/>
  <c r="X30" i="47"/>
  <c r="X29" i="47"/>
  <c r="X28" i="47"/>
  <c r="X27" i="47"/>
  <c r="X25" i="47"/>
  <c r="X21" i="47"/>
  <c r="X20" i="47"/>
  <c r="X19" i="47"/>
  <c r="X18" i="47"/>
  <c r="X17" i="47"/>
  <c r="X15" i="47"/>
  <c r="X10" i="47"/>
  <c r="X9" i="47"/>
  <c r="X8" i="47"/>
  <c r="W1" i="47"/>
  <c r="V1" i="47"/>
  <c r="U1" i="47"/>
  <c r="T1" i="47"/>
  <c r="S1" i="47"/>
  <c r="R1" i="47"/>
  <c r="Q1" i="47"/>
  <c r="P1" i="47"/>
  <c r="O1" i="47"/>
  <c r="N1" i="47"/>
  <c r="M1" i="47"/>
  <c r="L1" i="47"/>
  <c r="K1" i="47"/>
  <c r="J1" i="47"/>
  <c r="I1" i="47"/>
  <c r="H1" i="47"/>
  <c r="G1" i="47"/>
  <c r="F1" i="47"/>
  <c r="E1" i="47"/>
  <c r="D1" i="47"/>
  <c r="I179" i="53"/>
  <c r="H179" i="53"/>
  <c r="G179" i="53"/>
  <c r="F179" i="53"/>
  <c r="I110" i="53"/>
  <c r="I153" i="53" s="1"/>
  <c r="I170" i="53" s="1"/>
  <c r="I136" i="53"/>
  <c r="I151" i="53"/>
  <c r="G110" i="53"/>
  <c r="G136" i="53"/>
  <c r="G151" i="53"/>
  <c r="G153" i="53" s="1"/>
  <c r="F110" i="53"/>
  <c r="F153" i="53" s="1"/>
  <c r="F170" i="53" s="1"/>
  <c r="F181" i="53" s="1"/>
  <c r="F136" i="53"/>
  <c r="F151" i="53"/>
  <c r="F168" i="53"/>
  <c r="D115" i="52"/>
  <c r="E115" i="52"/>
  <c r="F115" i="52"/>
  <c r="H115" i="52"/>
  <c r="K115" i="52"/>
  <c r="L115" i="52"/>
  <c r="M115" i="52"/>
  <c r="N12" i="52"/>
  <c r="N115" i="52"/>
  <c r="O12" i="52"/>
  <c r="O115" i="52" s="1"/>
  <c r="P12" i="52"/>
  <c r="P115" i="52"/>
  <c r="Q12" i="52"/>
  <c r="Q115" i="52" s="1"/>
  <c r="R12" i="52"/>
  <c r="R115" i="52"/>
  <c r="S12" i="52"/>
  <c r="S115" i="52" s="1"/>
  <c r="T12" i="52"/>
  <c r="T115" i="52"/>
  <c r="U12" i="52"/>
  <c r="U115" i="52" s="1"/>
  <c r="V12" i="52"/>
  <c r="V115" i="52" s="1"/>
  <c r="W12" i="52"/>
  <c r="W115" i="52" s="1"/>
  <c r="X112" i="52"/>
  <c r="X111" i="52"/>
  <c r="X107" i="52"/>
  <c r="X106" i="52"/>
  <c r="X104" i="52"/>
  <c r="X101" i="52"/>
  <c r="X100" i="52"/>
  <c r="X99" i="52"/>
  <c r="X98" i="52"/>
  <c r="X97" i="52"/>
  <c r="X96" i="52"/>
  <c r="X94" i="52"/>
  <c r="X88" i="52"/>
  <c r="X87" i="52"/>
  <c r="X86" i="52"/>
  <c r="X85" i="52"/>
  <c r="X84" i="52"/>
  <c r="X82" i="52"/>
  <c r="X78" i="52"/>
  <c r="X77" i="52"/>
  <c r="X76" i="52"/>
  <c r="X75" i="52"/>
  <c r="X74" i="52"/>
  <c r="X73" i="52"/>
  <c r="X71" i="52"/>
  <c r="X61" i="52"/>
  <c r="X60" i="52"/>
  <c r="X59" i="52"/>
  <c r="X58" i="52"/>
  <c r="X57" i="52"/>
  <c r="X55" i="52"/>
  <c r="X51" i="52"/>
  <c r="X50" i="52"/>
  <c r="X49" i="52"/>
  <c r="X48" i="52"/>
  <c r="X47" i="52"/>
  <c r="X45" i="52"/>
  <c r="X41" i="52"/>
  <c r="X40" i="52"/>
  <c r="X39" i="52"/>
  <c r="X38" i="52"/>
  <c r="X37" i="52"/>
  <c r="X35" i="52"/>
  <c r="X31" i="52"/>
  <c r="X30" i="52"/>
  <c r="X29" i="52"/>
  <c r="X28" i="52"/>
  <c r="X27" i="52"/>
  <c r="X25" i="52"/>
  <c r="X21" i="52"/>
  <c r="X20" i="52"/>
  <c r="X19" i="52"/>
  <c r="X18" i="52"/>
  <c r="X17" i="52"/>
  <c r="X15" i="52"/>
  <c r="X10" i="52"/>
  <c r="X9" i="52"/>
  <c r="X8" i="52"/>
  <c r="X7" i="52"/>
  <c r="D65" i="6"/>
  <c r="D27" i="6"/>
  <c r="D29" i="6" s="1"/>
  <c r="D85" i="6" s="1"/>
  <c r="D47" i="9"/>
  <c r="D16" i="9"/>
  <c r="D18" i="9" s="1"/>
  <c r="D52" i="9" s="1"/>
  <c r="G16" i="9"/>
  <c r="G18" i="9" s="1"/>
  <c r="G52" i="9" s="1"/>
  <c r="H16" i="9"/>
  <c r="H18" i="9" s="1"/>
  <c r="H52" i="9" s="1"/>
  <c r="E16" i="9"/>
  <c r="E18" i="9" s="1"/>
  <c r="E52" i="9" s="1"/>
  <c r="D44" i="42"/>
  <c r="D80" i="42"/>
  <c r="D116" i="42"/>
  <c r="D152" i="42"/>
  <c r="D188" i="42"/>
  <c r="D223" i="42"/>
  <c r="D259" i="42"/>
  <c r="D295" i="42"/>
  <c r="D331" i="42"/>
  <c r="D367" i="42"/>
  <c r="D405" i="42"/>
  <c r="D442" i="42"/>
  <c r="D479" i="42"/>
  <c r="D516" i="42"/>
  <c r="D553" i="42"/>
  <c r="D590" i="42"/>
  <c r="D627" i="42"/>
  <c r="D665" i="42"/>
  <c r="D702" i="42"/>
  <c r="D739" i="42"/>
  <c r="D776" i="42"/>
  <c r="D813" i="42"/>
  <c r="D850" i="42"/>
  <c r="D887" i="42"/>
  <c r="D924" i="42"/>
  <c r="D998" i="42"/>
  <c r="D1035" i="42"/>
  <c r="D1072" i="42"/>
  <c r="D44" i="41"/>
  <c r="D81" i="41"/>
  <c r="D118" i="41"/>
  <c r="D149" i="41"/>
  <c r="D249" i="41"/>
  <c r="D280" i="41"/>
  <c r="D343" i="41"/>
  <c r="D382" i="41"/>
  <c r="D413" i="41"/>
  <c r="D474" i="41"/>
  <c r="D505" i="41"/>
  <c r="D528" i="41"/>
  <c r="D551" i="41"/>
  <c r="D582" i="41"/>
  <c r="D613" i="41"/>
  <c r="D646" i="41"/>
  <c r="D669" i="41"/>
  <c r="H44" i="42"/>
  <c r="H80" i="42"/>
  <c r="H116" i="42"/>
  <c r="H152" i="42"/>
  <c r="H188" i="42"/>
  <c r="H223" i="42"/>
  <c r="I223" i="42" s="1"/>
  <c r="H259" i="42"/>
  <c r="H295" i="42"/>
  <c r="H331" i="42"/>
  <c r="H367" i="42"/>
  <c r="H405" i="42"/>
  <c r="H442" i="42"/>
  <c r="H479" i="42"/>
  <c r="H516" i="42"/>
  <c r="H553" i="42"/>
  <c r="H590" i="42"/>
  <c r="H627" i="42"/>
  <c r="H665" i="42"/>
  <c r="H702" i="42"/>
  <c r="H739" i="42"/>
  <c r="H776" i="42"/>
  <c r="H813" i="42"/>
  <c r="H850" i="42"/>
  <c r="H887" i="42"/>
  <c r="H924" i="42"/>
  <c r="H998" i="42"/>
  <c r="H1035" i="42"/>
  <c r="H1072" i="42"/>
  <c r="H44" i="41"/>
  <c r="H81" i="41"/>
  <c r="H118" i="41"/>
  <c r="H149" i="41"/>
  <c r="H249" i="41"/>
  <c r="H280" i="41"/>
  <c r="H343" i="41"/>
  <c r="H382" i="41"/>
  <c r="H413" i="41"/>
  <c r="H474" i="41"/>
  <c r="H505" i="41"/>
  <c r="H528" i="41"/>
  <c r="H551" i="41"/>
  <c r="H582" i="41"/>
  <c r="H613" i="41"/>
  <c r="H646" i="41"/>
  <c r="F44" i="42"/>
  <c r="F80" i="42"/>
  <c r="F116" i="42"/>
  <c r="F152" i="42"/>
  <c r="F188" i="42"/>
  <c r="F223" i="42"/>
  <c r="F259" i="42"/>
  <c r="F295" i="42"/>
  <c r="F331" i="42"/>
  <c r="F367" i="42"/>
  <c r="F405" i="42"/>
  <c r="F442" i="42"/>
  <c r="F479" i="42"/>
  <c r="F516" i="42"/>
  <c r="F553" i="42"/>
  <c r="F590" i="42"/>
  <c r="F627" i="42"/>
  <c r="F665" i="42"/>
  <c r="F702" i="42"/>
  <c r="F739" i="42"/>
  <c r="F776" i="42"/>
  <c r="F813" i="42"/>
  <c r="F850" i="42"/>
  <c r="F887" i="42"/>
  <c r="F924" i="42"/>
  <c r="F998" i="42"/>
  <c r="F1035" i="42"/>
  <c r="F1072" i="42"/>
  <c r="F44" i="41"/>
  <c r="F81" i="41"/>
  <c r="F118" i="41"/>
  <c r="F149" i="41"/>
  <c r="F249" i="41"/>
  <c r="F280" i="41"/>
  <c r="F343" i="41"/>
  <c r="F382" i="41"/>
  <c r="F413" i="41"/>
  <c r="F474" i="41"/>
  <c r="F505" i="41"/>
  <c r="F528" i="41"/>
  <c r="F551" i="41"/>
  <c r="F582" i="41"/>
  <c r="F613" i="41"/>
  <c r="F646" i="41"/>
  <c r="E44" i="42"/>
  <c r="E80" i="42"/>
  <c r="E116" i="42"/>
  <c r="E152" i="42"/>
  <c r="E188" i="42"/>
  <c r="E223" i="42"/>
  <c r="E259" i="42"/>
  <c r="E295" i="42"/>
  <c r="E331" i="42"/>
  <c r="E367" i="42"/>
  <c r="E405" i="42"/>
  <c r="E442" i="42"/>
  <c r="E479" i="42"/>
  <c r="E516" i="42"/>
  <c r="E553" i="42"/>
  <c r="E590" i="42"/>
  <c r="E627" i="42"/>
  <c r="E665" i="42"/>
  <c r="E702" i="42"/>
  <c r="E739" i="42"/>
  <c r="E776" i="42"/>
  <c r="E813" i="42"/>
  <c r="E850" i="42"/>
  <c r="E887" i="42"/>
  <c r="E924" i="42"/>
  <c r="E998" i="42"/>
  <c r="E1035" i="42"/>
  <c r="E1072" i="42"/>
  <c r="E44" i="41"/>
  <c r="E81" i="41"/>
  <c r="E118" i="41"/>
  <c r="E149" i="41"/>
  <c r="E249" i="41"/>
  <c r="E280" i="41"/>
  <c r="E343" i="41"/>
  <c r="E382" i="41"/>
  <c r="E413" i="41"/>
  <c r="E474" i="41"/>
  <c r="E505" i="41"/>
  <c r="E528" i="41"/>
  <c r="E551" i="41"/>
  <c r="E582" i="41"/>
  <c r="E613" i="41"/>
  <c r="E646" i="41"/>
  <c r="C1" i="3"/>
  <c r="D80" i="4"/>
  <c r="D116" i="4"/>
  <c r="D152" i="4"/>
  <c r="D188" i="4"/>
  <c r="D223" i="4"/>
  <c r="D259" i="4"/>
  <c r="D295" i="4"/>
  <c r="D331" i="4"/>
  <c r="D367" i="4"/>
  <c r="D405" i="4"/>
  <c r="D442" i="4"/>
  <c r="D479" i="4"/>
  <c r="D516" i="4"/>
  <c r="D553" i="4"/>
  <c r="D590" i="4"/>
  <c r="D627" i="4"/>
  <c r="D665" i="4"/>
  <c r="D702" i="4"/>
  <c r="D739" i="4"/>
  <c r="D776" i="4"/>
  <c r="D813" i="4"/>
  <c r="D850" i="4"/>
  <c r="D887" i="4"/>
  <c r="D924" i="4"/>
  <c r="D961" i="4"/>
  <c r="D998" i="4"/>
  <c r="D1035" i="4"/>
  <c r="D1072" i="4"/>
  <c r="D44" i="5"/>
  <c r="D81" i="5"/>
  <c r="D118" i="5"/>
  <c r="D149" i="5"/>
  <c r="D249" i="5"/>
  <c r="D280" i="5"/>
  <c r="D343" i="5"/>
  <c r="D382" i="5"/>
  <c r="D413" i="5"/>
  <c r="D474" i="5"/>
  <c r="D505" i="5"/>
  <c r="D528" i="5"/>
  <c r="D551" i="5"/>
  <c r="D582" i="5"/>
  <c r="D613" i="5"/>
  <c r="D646" i="5"/>
  <c r="D670" i="5"/>
  <c r="D102" i="3"/>
  <c r="D93" i="3"/>
  <c r="D112" i="3"/>
  <c r="H646" i="5"/>
  <c r="F646" i="5"/>
  <c r="E646" i="5"/>
  <c r="H613" i="5"/>
  <c r="F613" i="5"/>
  <c r="E613" i="5"/>
  <c r="H582" i="5"/>
  <c r="F582" i="5"/>
  <c r="E582" i="5"/>
  <c r="H551" i="5"/>
  <c r="F551" i="5"/>
  <c r="E551" i="5"/>
  <c r="H528" i="5"/>
  <c r="F528" i="5"/>
  <c r="E528" i="5"/>
  <c r="H505" i="5"/>
  <c r="F505" i="5"/>
  <c r="E505" i="5"/>
  <c r="H474" i="5"/>
  <c r="F474" i="5"/>
  <c r="E474" i="5"/>
  <c r="H413" i="5"/>
  <c r="F413" i="5"/>
  <c r="E413" i="5"/>
  <c r="H382" i="5"/>
  <c r="F382" i="5"/>
  <c r="E382" i="5"/>
  <c r="H343" i="5"/>
  <c r="F343" i="5"/>
  <c r="E343" i="5"/>
  <c r="H280" i="5"/>
  <c r="F280" i="5"/>
  <c r="E280" i="5"/>
  <c r="H249" i="5"/>
  <c r="F249" i="5"/>
  <c r="E249" i="5"/>
  <c r="H149" i="5"/>
  <c r="F149" i="5"/>
  <c r="E149" i="5"/>
  <c r="H118" i="5"/>
  <c r="F118" i="5"/>
  <c r="E118" i="5"/>
  <c r="H81" i="5"/>
  <c r="F81" i="5"/>
  <c r="E81" i="5"/>
  <c r="H44" i="5"/>
  <c r="F44" i="5"/>
  <c r="E44" i="5"/>
  <c r="H1072" i="4"/>
  <c r="F1072" i="4"/>
  <c r="E1072" i="4"/>
  <c r="H1035" i="4"/>
  <c r="F1035" i="4"/>
  <c r="E1035" i="4"/>
  <c r="H998" i="4"/>
  <c r="F998" i="4"/>
  <c r="E998" i="4"/>
  <c r="H961" i="4"/>
  <c r="F961" i="4"/>
  <c r="E961" i="4"/>
  <c r="H924" i="4"/>
  <c r="F924" i="4"/>
  <c r="E924" i="4"/>
  <c r="H887" i="4"/>
  <c r="F887" i="4"/>
  <c r="E887" i="4"/>
  <c r="H850" i="4"/>
  <c r="F850" i="4"/>
  <c r="E850" i="4"/>
  <c r="H813" i="4"/>
  <c r="F813" i="4"/>
  <c r="E813" i="4"/>
  <c r="H776" i="4"/>
  <c r="F776" i="4"/>
  <c r="E776" i="4"/>
  <c r="H739" i="4"/>
  <c r="F739" i="4"/>
  <c r="E739" i="4"/>
  <c r="H702" i="4"/>
  <c r="F702" i="4"/>
  <c r="E702" i="4"/>
  <c r="H665" i="4"/>
  <c r="F665" i="4"/>
  <c r="E665" i="4"/>
  <c r="H627" i="4"/>
  <c r="F627" i="4"/>
  <c r="E627" i="4"/>
  <c r="H590" i="4"/>
  <c r="F590" i="4"/>
  <c r="E590" i="4"/>
  <c r="H553" i="4"/>
  <c r="F553" i="4"/>
  <c r="E553" i="4"/>
  <c r="H516" i="4"/>
  <c r="F516" i="4"/>
  <c r="E516" i="4"/>
  <c r="H479" i="4"/>
  <c r="F479" i="4"/>
  <c r="E479" i="4"/>
  <c r="H442" i="4"/>
  <c r="F442" i="4"/>
  <c r="E442" i="4"/>
  <c r="H405" i="4"/>
  <c r="F405" i="4"/>
  <c r="E405" i="4"/>
  <c r="H367" i="4"/>
  <c r="F367" i="4"/>
  <c r="E367" i="4"/>
  <c r="H331" i="4"/>
  <c r="F331" i="4"/>
  <c r="E331" i="4"/>
  <c r="H295" i="4"/>
  <c r="F295" i="4"/>
  <c r="E295" i="4"/>
  <c r="H259" i="4"/>
  <c r="F259" i="4"/>
  <c r="E259" i="4"/>
  <c r="H223" i="4"/>
  <c r="F223" i="4"/>
  <c r="E223" i="4"/>
  <c r="H188" i="4"/>
  <c r="F188" i="4"/>
  <c r="E188" i="4"/>
  <c r="H152" i="4"/>
  <c r="F152" i="4"/>
  <c r="E152" i="4"/>
  <c r="H116" i="4"/>
  <c r="F116" i="4"/>
  <c r="E116" i="4"/>
  <c r="H80" i="4"/>
  <c r="F80" i="4"/>
  <c r="E80" i="4"/>
  <c r="V89" i="52"/>
  <c r="V32" i="52"/>
  <c r="V62" i="52"/>
  <c r="V42" i="52"/>
  <c r="V52" i="52"/>
  <c r="P89" i="52"/>
  <c r="P32" i="52"/>
  <c r="P62" i="52"/>
  <c r="P42" i="52"/>
  <c r="P52" i="52"/>
  <c r="Q89" i="52"/>
  <c r="Q32" i="52"/>
  <c r="Q62" i="52"/>
  <c r="Q42" i="52"/>
  <c r="Q52" i="52"/>
  <c r="R89" i="52"/>
  <c r="R32" i="52"/>
  <c r="R62" i="52"/>
  <c r="R42" i="52"/>
  <c r="R52" i="52"/>
  <c r="S89" i="52"/>
  <c r="S32" i="52"/>
  <c r="S62" i="52"/>
  <c r="S42" i="52"/>
  <c r="S52" i="52"/>
  <c r="T89" i="52"/>
  <c r="T32" i="52"/>
  <c r="T62" i="52"/>
  <c r="T42" i="52"/>
  <c r="T52" i="52"/>
  <c r="U89" i="52"/>
  <c r="U32" i="52"/>
  <c r="U62" i="52"/>
  <c r="U42" i="52"/>
  <c r="U52" i="52"/>
  <c r="O89" i="52"/>
  <c r="O32" i="52"/>
  <c r="O62" i="52"/>
  <c r="O42" i="52"/>
  <c r="O52" i="52"/>
  <c r="W89" i="52"/>
  <c r="W32" i="52"/>
  <c r="W62" i="52"/>
  <c r="W42" i="52"/>
  <c r="W52" i="52"/>
  <c r="H44" i="4"/>
  <c r="I52" i="19"/>
  <c r="G102" i="3"/>
  <c r="G46" i="3"/>
  <c r="G77" i="3"/>
  <c r="G93" i="3"/>
  <c r="G112" i="3"/>
  <c r="H102" i="3"/>
  <c r="H46" i="3"/>
  <c r="H77" i="3"/>
  <c r="H93" i="3"/>
  <c r="H112" i="3"/>
  <c r="G13" i="25"/>
  <c r="G6" i="25"/>
  <c r="H21" i="22"/>
  <c r="I22" i="22" s="1"/>
  <c r="C22" i="29"/>
  <c r="C23" i="30"/>
  <c r="F22" i="29"/>
  <c r="F23" i="30"/>
  <c r="F18" i="30"/>
  <c r="F11" i="30"/>
  <c r="F23" i="53"/>
  <c r="F67" i="53" s="1"/>
  <c r="G23" i="53"/>
  <c r="I23" i="53"/>
  <c r="F50" i="53"/>
  <c r="G50" i="53"/>
  <c r="I50" i="53"/>
  <c r="F65" i="53"/>
  <c r="G65" i="53"/>
  <c r="I65" i="53"/>
  <c r="F86" i="53"/>
  <c r="G86" i="53"/>
  <c r="H86" i="53"/>
  <c r="I86" i="53"/>
  <c r="J157" i="53"/>
  <c r="J158" i="53"/>
  <c r="J159" i="53"/>
  <c r="J160" i="53"/>
  <c r="J161" i="53"/>
  <c r="J162" i="53"/>
  <c r="J163" i="53"/>
  <c r="J164" i="53"/>
  <c r="J165" i="53"/>
  <c r="N32" i="52"/>
  <c r="N42" i="52"/>
  <c r="N52" i="52"/>
  <c r="N62" i="52"/>
  <c r="N89" i="52"/>
  <c r="I32" i="8"/>
  <c r="I30" i="8"/>
  <c r="I35" i="16"/>
  <c r="I33" i="16"/>
  <c r="AY185" i="40"/>
  <c r="BA185" i="40"/>
  <c r="I927" i="42"/>
  <c r="I12" i="42"/>
  <c r="I48" i="42"/>
  <c r="I84" i="42"/>
  <c r="I120" i="42"/>
  <c r="I156" i="42"/>
  <c r="I192" i="42"/>
  <c r="I227" i="42"/>
  <c r="I263" i="42"/>
  <c r="I299" i="42"/>
  <c r="I335" i="42"/>
  <c r="I372" i="42"/>
  <c r="I409" i="42"/>
  <c r="I446" i="42"/>
  <c r="I483" i="42"/>
  <c r="I520" i="42"/>
  <c r="I557" i="42"/>
  <c r="I594" i="42"/>
  <c r="I631" i="42"/>
  <c r="I669" i="42"/>
  <c r="I706" i="42"/>
  <c r="I743" i="42"/>
  <c r="I780" i="42"/>
  <c r="I817" i="42"/>
  <c r="I854" i="42"/>
  <c r="I891" i="42"/>
  <c r="I928" i="42"/>
  <c r="I965" i="42"/>
  <c r="I1002" i="42"/>
  <c r="I1039" i="42"/>
  <c r="I929" i="42"/>
  <c r="I15" i="42"/>
  <c r="I51" i="42"/>
  <c r="I87" i="42"/>
  <c r="I123" i="42"/>
  <c r="I159" i="42"/>
  <c r="I195" i="42"/>
  <c r="I230" i="42"/>
  <c r="I266" i="42"/>
  <c r="I302" i="42"/>
  <c r="I338" i="42"/>
  <c r="I375" i="42"/>
  <c r="I412" i="42"/>
  <c r="I449" i="42"/>
  <c r="I486" i="42"/>
  <c r="I523" i="42"/>
  <c r="I560" i="42"/>
  <c r="I597" i="42"/>
  <c r="I634" i="42"/>
  <c r="I672" i="42"/>
  <c r="I709" i="42"/>
  <c r="I746" i="42"/>
  <c r="I783" i="42"/>
  <c r="I820" i="42"/>
  <c r="I857" i="42"/>
  <c r="I894" i="42"/>
  <c r="I931" i="42"/>
  <c r="I968" i="42"/>
  <c r="I1005" i="42"/>
  <c r="I1042" i="42"/>
  <c r="I16" i="42"/>
  <c r="I52" i="42"/>
  <c r="I88" i="42"/>
  <c r="I124" i="42"/>
  <c r="I160" i="42"/>
  <c r="I196" i="42"/>
  <c r="I231" i="42"/>
  <c r="I267" i="42"/>
  <c r="I303" i="42"/>
  <c r="I339" i="42"/>
  <c r="I376" i="42"/>
  <c r="I413" i="42"/>
  <c r="I450" i="42"/>
  <c r="I487" i="42"/>
  <c r="I524" i="42"/>
  <c r="I561" i="42"/>
  <c r="I598" i="42"/>
  <c r="I635" i="42"/>
  <c r="I673" i="42"/>
  <c r="I710" i="42"/>
  <c r="I747" i="42"/>
  <c r="I784" i="42"/>
  <c r="I821" i="42"/>
  <c r="I858" i="42"/>
  <c r="I895" i="42"/>
  <c r="I932" i="42"/>
  <c r="I969" i="42"/>
  <c r="I1006" i="42"/>
  <c r="I1043" i="42"/>
  <c r="I17" i="42"/>
  <c r="I53" i="42"/>
  <c r="I89" i="42"/>
  <c r="I125" i="42"/>
  <c r="I161" i="42"/>
  <c r="I197" i="42"/>
  <c r="I232" i="42"/>
  <c r="I268" i="42"/>
  <c r="I304" i="42"/>
  <c r="I340" i="42"/>
  <c r="I377" i="42"/>
  <c r="I414" i="42"/>
  <c r="I451" i="42"/>
  <c r="I488" i="42"/>
  <c r="I525" i="42"/>
  <c r="I562" i="42"/>
  <c r="I599" i="42"/>
  <c r="I636" i="42"/>
  <c r="I674" i="42"/>
  <c r="I711" i="42"/>
  <c r="I748" i="42"/>
  <c r="I785" i="42"/>
  <c r="I822" i="42"/>
  <c r="I859" i="42"/>
  <c r="I896" i="42"/>
  <c r="I933" i="42"/>
  <c r="I970" i="42"/>
  <c r="I1007" i="42"/>
  <c r="I1044" i="42"/>
  <c r="I18" i="42"/>
  <c r="I54" i="42"/>
  <c r="I90" i="42"/>
  <c r="I126" i="42"/>
  <c r="I162" i="42"/>
  <c r="I198" i="42"/>
  <c r="I233" i="42"/>
  <c r="I269" i="42"/>
  <c r="I305" i="42"/>
  <c r="I341" i="42"/>
  <c r="I378" i="42"/>
  <c r="I415" i="42"/>
  <c r="I452" i="42"/>
  <c r="I489" i="42"/>
  <c r="I526" i="42"/>
  <c r="I563" i="42"/>
  <c r="I600" i="42"/>
  <c r="I637" i="42"/>
  <c r="I675" i="42"/>
  <c r="I712" i="42"/>
  <c r="I749" i="42"/>
  <c r="I786" i="42"/>
  <c r="I823" i="42"/>
  <c r="I860" i="42"/>
  <c r="I897" i="42"/>
  <c r="I934" i="42"/>
  <c r="I971" i="42"/>
  <c r="I1008" i="42"/>
  <c r="I1045" i="42"/>
  <c r="I19" i="42"/>
  <c r="I55" i="42"/>
  <c r="I91" i="42"/>
  <c r="I127" i="42"/>
  <c r="I163" i="42"/>
  <c r="I199" i="42"/>
  <c r="I234" i="42"/>
  <c r="I270" i="42"/>
  <c r="I306" i="42"/>
  <c r="I342" i="42"/>
  <c r="I379" i="42"/>
  <c r="I416" i="42"/>
  <c r="I453" i="42"/>
  <c r="I490" i="42"/>
  <c r="I527" i="42"/>
  <c r="I564" i="42"/>
  <c r="I601" i="42"/>
  <c r="I638" i="42"/>
  <c r="I676" i="42"/>
  <c r="I713" i="42"/>
  <c r="I750" i="42"/>
  <c r="I787" i="42"/>
  <c r="I824" i="42"/>
  <c r="I861" i="42"/>
  <c r="I898" i="42"/>
  <c r="I935" i="42"/>
  <c r="I972" i="42"/>
  <c r="I1009" i="42"/>
  <c r="I1046" i="42"/>
  <c r="I20" i="42"/>
  <c r="I56" i="42"/>
  <c r="I92" i="42"/>
  <c r="I128" i="42"/>
  <c r="I164" i="42"/>
  <c r="I200" i="42"/>
  <c r="I235" i="42"/>
  <c r="I271" i="42"/>
  <c r="I307" i="42"/>
  <c r="I343" i="42"/>
  <c r="I380" i="42"/>
  <c r="I417" i="42"/>
  <c r="I454" i="42"/>
  <c r="I491" i="42"/>
  <c r="I528" i="42"/>
  <c r="I565" i="42"/>
  <c r="I602" i="42"/>
  <c r="I639" i="42"/>
  <c r="I677" i="42"/>
  <c r="I714" i="42"/>
  <c r="I751" i="42"/>
  <c r="I788" i="42"/>
  <c r="I825" i="42"/>
  <c r="I862" i="42"/>
  <c r="I899" i="42"/>
  <c r="I936" i="42"/>
  <c r="I973" i="42"/>
  <c r="I1010" i="42"/>
  <c r="I1047" i="42"/>
  <c r="I21" i="42"/>
  <c r="I57" i="42"/>
  <c r="I93" i="42"/>
  <c r="I129" i="42"/>
  <c r="I165" i="42"/>
  <c r="I201" i="42"/>
  <c r="I236" i="42"/>
  <c r="I272" i="42"/>
  <c r="I308" i="42"/>
  <c r="I344" i="42"/>
  <c r="I381" i="42"/>
  <c r="I418" i="42"/>
  <c r="I455" i="42"/>
  <c r="I492" i="42"/>
  <c r="I529" i="42"/>
  <c r="I566" i="42"/>
  <c r="I603" i="42"/>
  <c r="I640" i="42"/>
  <c r="I678" i="42"/>
  <c r="I715" i="42"/>
  <c r="I752" i="42"/>
  <c r="I789" i="42"/>
  <c r="I826" i="42"/>
  <c r="I863" i="42"/>
  <c r="I900" i="42"/>
  <c r="I937" i="42"/>
  <c r="I974" i="42"/>
  <c r="I1011" i="42"/>
  <c r="I1048" i="42"/>
  <c r="I23" i="42"/>
  <c r="I59" i="42"/>
  <c r="I95" i="42"/>
  <c r="I131" i="42"/>
  <c r="I167" i="42"/>
  <c r="I203" i="42"/>
  <c r="I238" i="42"/>
  <c r="I274" i="42"/>
  <c r="I310" i="42"/>
  <c r="I346" i="42"/>
  <c r="I382" i="42"/>
  <c r="I419" i="42"/>
  <c r="I456" i="42"/>
  <c r="I493" i="42"/>
  <c r="I530" i="42"/>
  <c r="I567" i="42"/>
  <c r="I604" i="42"/>
  <c r="I641" i="42"/>
  <c r="I679" i="42"/>
  <c r="I716" i="42"/>
  <c r="I753" i="42"/>
  <c r="I790" i="42"/>
  <c r="I827" i="42"/>
  <c r="I864" i="42"/>
  <c r="I901" i="42"/>
  <c r="I938" i="42"/>
  <c r="I975" i="42"/>
  <c r="I1012" i="42"/>
  <c r="I1049" i="42"/>
  <c r="I24" i="42"/>
  <c r="I60" i="42"/>
  <c r="I96" i="42"/>
  <c r="I132" i="42"/>
  <c r="I168" i="42"/>
  <c r="I204" i="42"/>
  <c r="I239" i="42"/>
  <c r="I275" i="42"/>
  <c r="I311" i="42"/>
  <c r="I347" i="42"/>
  <c r="I384" i="42"/>
  <c r="I421" i="42"/>
  <c r="I458" i="42"/>
  <c r="I495" i="42"/>
  <c r="I532" i="42"/>
  <c r="I569" i="42"/>
  <c r="I606" i="42"/>
  <c r="I643" i="42"/>
  <c r="I681" i="42"/>
  <c r="I718" i="42"/>
  <c r="I755" i="42"/>
  <c r="I792" i="42"/>
  <c r="I829" i="42"/>
  <c r="I866" i="42"/>
  <c r="I903" i="42"/>
  <c r="I940" i="42"/>
  <c r="I977" i="42"/>
  <c r="I1014" i="42"/>
  <c r="I1051" i="42"/>
  <c r="I25" i="42"/>
  <c r="I61" i="42"/>
  <c r="I97" i="42"/>
  <c r="I133" i="42"/>
  <c r="I169" i="42"/>
  <c r="I205" i="42"/>
  <c r="I240" i="42"/>
  <c r="I276" i="42"/>
  <c r="I312" i="42"/>
  <c r="I348" i="42"/>
  <c r="I385" i="42"/>
  <c r="I422" i="42"/>
  <c r="I459" i="42"/>
  <c r="I496" i="42"/>
  <c r="I533" i="42"/>
  <c r="I570" i="42"/>
  <c r="I607" i="42"/>
  <c r="I644" i="42"/>
  <c r="I682" i="42"/>
  <c r="I719" i="42"/>
  <c r="I756" i="42"/>
  <c r="I793" i="42"/>
  <c r="I830" i="42"/>
  <c r="I867" i="42"/>
  <c r="I904" i="42"/>
  <c r="I941" i="42"/>
  <c r="I978" i="42"/>
  <c r="I1015" i="42"/>
  <c r="I1052" i="42"/>
  <c r="I26" i="42"/>
  <c r="I62" i="42"/>
  <c r="I98" i="42"/>
  <c r="I134" i="42"/>
  <c r="I170" i="42"/>
  <c r="I206" i="42"/>
  <c r="I241" i="42"/>
  <c r="I277" i="42"/>
  <c r="I313" i="42"/>
  <c r="I349" i="42"/>
  <c r="I386" i="42"/>
  <c r="I423" i="42"/>
  <c r="I460" i="42"/>
  <c r="I497" i="42"/>
  <c r="I534" i="42"/>
  <c r="I571" i="42"/>
  <c r="I608" i="42"/>
  <c r="I645" i="42"/>
  <c r="I683" i="42"/>
  <c r="I720" i="42"/>
  <c r="I757" i="42"/>
  <c r="I794" i="42"/>
  <c r="I831" i="42"/>
  <c r="I868" i="42"/>
  <c r="I905" i="42"/>
  <c r="I942" i="42"/>
  <c r="I979" i="42"/>
  <c r="I1016" i="42"/>
  <c r="I1053" i="42"/>
  <c r="I27" i="42"/>
  <c r="I63" i="42"/>
  <c r="I99" i="42"/>
  <c r="I135" i="42"/>
  <c r="I171" i="42"/>
  <c r="I207" i="42"/>
  <c r="I242" i="42"/>
  <c r="I278" i="42"/>
  <c r="I314" i="42"/>
  <c r="I350" i="42"/>
  <c r="I387" i="42"/>
  <c r="I424" i="42"/>
  <c r="I461" i="42"/>
  <c r="I498" i="42"/>
  <c r="I535" i="42"/>
  <c r="I572" i="42"/>
  <c r="I609" i="42"/>
  <c r="I646" i="42"/>
  <c r="I684" i="42"/>
  <c r="I721" i="42"/>
  <c r="I758" i="42"/>
  <c r="I795" i="42"/>
  <c r="I832" i="42"/>
  <c r="I869" i="42"/>
  <c r="I906" i="42"/>
  <c r="I943" i="42"/>
  <c r="I980" i="42"/>
  <c r="I1017" i="42"/>
  <c r="I1054" i="42"/>
  <c r="I28" i="42"/>
  <c r="I64" i="42"/>
  <c r="I100" i="42"/>
  <c r="I136" i="42"/>
  <c r="I172" i="42"/>
  <c r="I208" i="42"/>
  <c r="I243" i="42"/>
  <c r="I279" i="42"/>
  <c r="I315" i="42"/>
  <c r="I351" i="42"/>
  <c r="I388" i="42"/>
  <c r="I425" i="42"/>
  <c r="I462" i="42"/>
  <c r="I499" i="42"/>
  <c r="I536" i="42"/>
  <c r="I573" i="42"/>
  <c r="I610" i="42"/>
  <c r="I647" i="42"/>
  <c r="I685" i="42"/>
  <c r="I722" i="42"/>
  <c r="I759" i="42"/>
  <c r="I796" i="42"/>
  <c r="I833" i="42"/>
  <c r="I870" i="42"/>
  <c r="I907" i="42"/>
  <c r="I944" i="42"/>
  <c r="I981" i="42"/>
  <c r="I1018" i="42"/>
  <c r="I1055" i="42"/>
  <c r="I29" i="42"/>
  <c r="I65" i="42"/>
  <c r="I101" i="42"/>
  <c r="I137" i="42"/>
  <c r="I173" i="42"/>
  <c r="I209" i="42"/>
  <c r="I244" i="42"/>
  <c r="I280" i="42"/>
  <c r="I316" i="42"/>
  <c r="I352" i="42"/>
  <c r="I389" i="42"/>
  <c r="I426" i="42"/>
  <c r="I463" i="42"/>
  <c r="I500" i="42"/>
  <c r="I537" i="42"/>
  <c r="I574" i="42"/>
  <c r="I611" i="42"/>
  <c r="I648" i="42"/>
  <c r="I686" i="42"/>
  <c r="I723" i="42"/>
  <c r="I760" i="42"/>
  <c r="I797" i="42"/>
  <c r="I834" i="42"/>
  <c r="I871" i="42"/>
  <c r="I908" i="42"/>
  <c r="I945" i="42"/>
  <c r="I982" i="42"/>
  <c r="I1019" i="42"/>
  <c r="I1056" i="42"/>
  <c r="I30" i="42"/>
  <c r="I66" i="42"/>
  <c r="I102" i="42"/>
  <c r="I138" i="42"/>
  <c r="I174" i="42"/>
  <c r="I210" i="42"/>
  <c r="I245" i="42"/>
  <c r="I281" i="42"/>
  <c r="I317" i="42"/>
  <c r="I353" i="42"/>
  <c r="I390" i="42"/>
  <c r="I427" i="42"/>
  <c r="I464" i="42"/>
  <c r="I501" i="42"/>
  <c r="I538" i="42"/>
  <c r="I575" i="42"/>
  <c r="I612" i="42"/>
  <c r="I649" i="42"/>
  <c r="I687" i="42"/>
  <c r="I724" i="42"/>
  <c r="I761" i="42"/>
  <c r="I798" i="42"/>
  <c r="I835" i="42"/>
  <c r="I872" i="42"/>
  <c r="I909" i="42"/>
  <c r="I946" i="42"/>
  <c r="I983" i="42"/>
  <c r="I1020" i="42"/>
  <c r="I1057" i="42"/>
  <c r="I31" i="42"/>
  <c r="I67" i="42"/>
  <c r="I103" i="42"/>
  <c r="I139" i="42"/>
  <c r="I175" i="42"/>
  <c r="I211" i="42"/>
  <c r="I246" i="42"/>
  <c r="I282" i="42"/>
  <c r="I318" i="42"/>
  <c r="I354" i="42"/>
  <c r="I391" i="42"/>
  <c r="I428" i="42"/>
  <c r="I465" i="42"/>
  <c r="I502" i="42"/>
  <c r="I539" i="42"/>
  <c r="I576" i="42"/>
  <c r="I613" i="42"/>
  <c r="I650" i="42"/>
  <c r="I688" i="42"/>
  <c r="I725" i="42"/>
  <c r="I762" i="42"/>
  <c r="I799" i="42"/>
  <c r="I836" i="42"/>
  <c r="I873" i="42"/>
  <c r="I910" i="42"/>
  <c r="I947" i="42"/>
  <c r="I984" i="42"/>
  <c r="I1021" i="42"/>
  <c r="I1058" i="42"/>
  <c r="I32" i="42"/>
  <c r="I68" i="42"/>
  <c r="I104" i="42"/>
  <c r="I140" i="42"/>
  <c r="I176" i="42"/>
  <c r="I212" i="42"/>
  <c r="I247" i="42"/>
  <c r="I283" i="42"/>
  <c r="I319" i="42"/>
  <c r="I355" i="42"/>
  <c r="I392" i="42"/>
  <c r="I429" i="42"/>
  <c r="I466" i="42"/>
  <c r="I503" i="42"/>
  <c r="I540" i="42"/>
  <c r="I577" i="42"/>
  <c r="I614" i="42"/>
  <c r="I651" i="42"/>
  <c r="I689" i="42"/>
  <c r="I726" i="42"/>
  <c r="I763" i="42"/>
  <c r="I800" i="42"/>
  <c r="I837" i="42"/>
  <c r="I874" i="42"/>
  <c r="I911" i="42"/>
  <c r="I948" i="42"/>
  <c r="I985" i="42"/>
  <c r="I1022" i="42"/>
  <c r="I1059" i="42"/>
  <c r="I33" i="42"/>
  <c r="I69" i="42"/>
  <c r="I105" i="42"/>
  <c r="I141" i="42"/>
  <c r="I177" i="42"/>
  <c r="I213" i="42"/>
  <c r="I248" i="42"/>
  <c r="I284" i="42"/>
  <c r="I320" i="42"/>
  <c r="I356" i="42"/>
  <c r="I393" i="42"/>
  <c r="I430" i="42"/>
  <c r="I467" i="42"/>
  <c r="I504" i="42"/>
  <c r="I541" i="42"/>
  <c r="I578" i="42"/>
  <c r="I615" i="42"/>
  <c r="I652" i="42"/>
  <c r="I690" i="42"/>
  <c r="I727" i="42"/>
  <c r="I764" i="42"/>
  <c r="I801" i="42"/>
  <c r="I838" i="42"/>
  <c r="I875" i="42"/>
  <c r="I912" i="42"/>
  <c r="I949" i="42"/>
  <c r="I986" i="42"/>
  <c r="I1023" i="42"/>
  <c r="I1060" i="42"/>
  <c r="I34" i="42"/>
  <c r="I70" i="42"/>
  <c r="I106" i="42"/>
  <c r="I142" i="42"/>
  <c r="I178" i="42"/>
  <c r="I214" i="42"/>
  <c r="I249" i="42"/>
  <c r="I285" i="42"/>
  <c r="I321" i="42"/>
  <c r="I357" i="42"/>
  <c r="I394" i="42"/>
  <c r="I431" i="42"/>
  <c r="I468" i="42"/>
  <c r="I505" i="42"/>
  <c r="I542" i="42"/>
  <c r="I579" i="42"/>
  <c r="I616" i="42"/>
  <c r="I653" i="42"/>
  <c r="I691" i="42"/>
  <c r="I728" i="42"/>
  <c r="I765" i="42"/>
  <c r="I802" i="42"/>
  <c r="I839" i="42"/>
  <c r="I876" i="42"/>
  <c r="I913" i="42"/>
  <c r="I950" i="42"/>
  <c r="I987" i="42"/>
  <c r="I1024" i="42"/>
  <c r="I1061" i="42"/>
  <c r="I35" i="42"/>
  <c r="I71" i="42"/>
  <c r="I107" i="42"/>
  <c r="I143" i="42"/>
  <c r="I179" i="42"/>
  <c r="I215" i="42"/>
  <c r="I250" i="42"/>
  <c r="I286" i="42"/>
  <c r="I322" i="42"/>
  <c r="I358" i="42"/>
  <c r="I395" i="42"/>
  <c r="I432" i="42"/>
  <c r="I469" i="42"/>
  <c r="I506" i="42"/>
  <c r="I543" i="42"/>
  <c r="I580" i="42"/>
  <c r="I617" i="42"/>
  <c r="I654" i="42"/>
  <c r="I692" i="42"/>
  <c r="I729" i="42"/>
  <c r="I766" i="42"/>
  <c r="I803" i="42"/>
  <c r="I840" i="42"/>
  <c r="I877" i="42"/>
  <c r="I914" i="42"/>
  <c r="I951" i="42"/>
  <c r="I988" i="42"/>
  <c r="I1025" i="42"/>
  <c r="I1062" i="42"/>
  <c r="I36" i="42"/>
  <c r="I72" i="42"/>
  <c r="I108" i="42"/>
  <c r="I144" i="42"/>
  <c r="I180" i="42"/>
  <c r="I216" i="42"/>
  <c r="I251" i="42"/>
  <c r="I287" i="42"/>
  <c r="I323" i="42"/>
  <c r="I359" i="42"/>
  <c r="I396" i="42"/>
  <c r="I433" i="42"/>
  <c r="I470" i="42"/>
  <c r="I507" i="42"/>
  <c r="I544" i="42"/>
  <c r="I581" i="42"/>
  <c r="I618" i="42"/>
  <c r="I655" i="42"/>
  <c r="I693" i="42"/>
  <c r="I730" i="42"/>
  <c r="I767" i="42"/>
  <c r="I804" i="42"/>
  <c r="I841" i="42"/>
  <c r="I878" i="42"/>
  <c r="I915" i="42"/>
  <c r="I952" i="42"/>
  <c r="I989" i="42"/>
  <c r="I1026" i="42"/>
  <c r="I1063" i="42"/>
  <c r="I37" i="42"/>
  <c r="I73" i="42"/>
  <c r="I109" i="42"/>
  <c r="I145" i="42"/>
  <c r="I181" i="42"/>
  <c r="I217" i="42"/>
  <c r="I252" i="42"/>
  <c r="I288" i="42"/>
  <c r="I324" i="42"/>
  <c r="I360" i="42"/>
  <c r="I397" i="42"/>
  <c r="I434" i="42"/>
  <c r="I471" i="42"/>
  <c r="I508" i="42"/>
  <c r="I545" i="42"/>
  <c r="I582" i="42"/>
  <c r="I619" i="42"/>
  <c r="I656" i="42"/>
  <c r="I694" i="42"/>
  <c r="I731" i="42"/>
  <c r="I768" i="42"/>
  <c r="I805" i="42"/>
  <c r="I842" i="42"/>
  <c r="I879" i="42"/>
  <c r="I916" i="42"/>
  <c r="I953" i="42"/>
  <c r="I990" i="42"/>
  <c r="I1027" i="42"/>
  <c r="I1064" i="42"/>
  <c r="I38" i="42"/>
  <c r="I74" i="42"/>
  <c r="I110" i="42"/>
  <c r="I146" i="42"/>
  <c r="I182" i="42"/>
  <c r="I218" i="42"/>
  <c r="I253" i="42"/>
  <c r="I289" i="42"/>
  <c r="I325" i="42"/>
  <c r="I361" i="42"/>
  <c r="I398" i="42"/>
  <c r="I435" i="42"/>
  <c r="I472" i="42"/>
  <c r="I509" i="42"/>
  <c r="I546" i="42"/>
  <c r="I583" i="42"/>
  <c r="I620" i="42"/>
  <c r="I657" i="42"/>
  <c r="I695" i="42"/>
  <c r="I732" i="42"/>
  <c r="I769" i="42"/>
  <c r="I806" i="42"/>
  <c r="I843" i="42"/>
  <c r="I880" i="42"/>
  <c r="I917" i="42"/>
  <c r="I954" i="42"/>
  <c r="I991" i="42"/>
  <c r="I1028" i="42"/>
  <c r="I1065" i="42"/>
  <c r="I39" i="42"/>
  <c r="I75" i="42"/>
  <c r="I111" i="42"/>
  <c r="I147" i="42"/>
  <c r="I183" i="42"/>
  <c r="I254" i="42"/>
  <c r="I290" i="42"/>
  <c r="I326" i="42"/>
  <c r="I362" i="42"/>
  <c r="I399" i="42"/>
  <c r="I436" i="42"/>
  <c r="I473" i="42"/>
  <c r="I510" i="42"/>
  <c r="I547" i="42"/>
  <c r="I584" i="42"/>
  <c r="I621" i="42"/>
  <c r="I658" i="42"/>
  <c r="I696" i="42"/>
  <c r="I733" i="42"/>
  <c r="I770" i="42"/>
  <c r="I807" i="42"/>
  <c r="I844" i="42"/>
  <c r="I881" i="42"/>
  <c r="I918" i="42"/>
  <c r="I955" i="42"/>
  <c r="I992" i="42"/>
  <c r="I1029" i="42"/>
  <c r="I1066" i="42"/>
  <c r="I659" i="42"/>
  <c r="B1105" i="42" s="1"/>
  <c r="I400" i="42"/>
  <c r="I437" i="42"/>
  <c r="I474" i="42"/>
  <c r="I511" i="42"/>
  <c r="I548" i="42"/>
  <c r="I585" i="42"/>
  <c r="I622" i="42"/>
  <c r="I660" i="42"/>
  <c r="I697" i="42"/>
  <c r="I734" i="42"/>
  <c r="I771" i="42"/>
  <c r="I808" i="42"/>
  <c r="I845" i="42"/>
  <c r="I882" i="42"/>
  <c r="I919" i="42"/>
  <c r="I956" i="42"/>
  <c r="I993" i="42"/>
  <c r="I1030" i="42"/>
  <c r="I1067" i="42"/>
  <c r="I40" i="42"/>
  <c r="I76" i="42"/>
  <c r="I112" i="42"/>
  <c r="I148" i="42"/>
  <c r="I184" i="42"/>
  <c r="I219" i="42"/>
  <c r="I255" i="42"/>
  <c r="I291" i="42"/>
  <c r="I327" i="42"/>
  <c r="I363" i="42"/>
  <c r="I401" i="42"/>
  <c r="I438" i="42"/>
  <c r="I475" i="42"/>
  <c r="I512" i="42"/>
  <c r="I549" i="42"/>
  <c r="I586" i="42"/>
  <c r="I623" i="42"/>
  <c r="I661" i="42"/>
  <c r="I698" i="42"/>
  <c r="I735" i="42"/>
  <c r="I772" i="42"/>
  <c r="I809" i="42"/>
  <c r="I846" i="42"/>
  <c r="I883" i="42"/>
  <c r="I920" i="42"/>
  <c r="I957" i="42"/>
  <c r="I994" i="42"/>
  <c r="I1031" i="42"/>
  <c r="I1068" i="42"/>
  <c r="I41" i="42"/>
  <c r="I77" i="42"/>
  <c r="I113" i="42"/>
  <c r="I149" i="42"/>
  <c r="I185" i="42"/>
  <c r="I220" i="42"/>
  <c r="I256" i="42"/>
  <c r="I292" i="42"/>
  <c r="I328" i="42"/>
  <c r="I364" i="42"/>
  <c r="I402" i="42"/>
  <c r="I439" i="42"/>
  <c r="I476" i="42"/>
  <c r="I513" i="42"/>
  <c r="I550" i="42"/>
  <c r="I587" i="42"/>
  <c r="I624" i="42"/>
  <c r="I662" i="42"/>
  <c r="I699" i="42"/>
  <c r="I736" i="42"/>
  <c r="I773" i="42"/>
  <c r="I810" i="42"/>
  <c r="I847" i="42"/>
  <c r="I884" i="42"/>
  <c r="I921" i="42"/>
  <c r="I958" i="42"/>
  <c r="I995" i="42"/>
  <c r="I1032" i="42"/>
  <c r="I1069" i="42"/>
  <c r="I42" i="42"/>
  <c r="I78" i="42"/>
  <c r="I114" i="42"/>
  <c r="I150" i="42"/>
  <c r="I186" i="42"/>
  <c r="I221" i="42"/>
  <c r="I257" i="42"/>
  <c r="I293" i="42"/>
  <c r="I329" i="42"/>
  <c r="I365" i="42"/>
  <c r="I403" i="42"/>
  <c r="I440" i="42"/>
  <c r="I477" i="42"/>
  <c r="I514" i="42"/>
  <c r="I551" i="42"/>
  <c r="I588" i="42"/>
  <c r="I625" i="42"/>
  <c r="I663" i="42"/>
  <c r="I700" i="42"/>
  <c r="I737" i="42"/>
  <c r="I774" i="42"/>
  <c r="I811" i="42"/>
  <c r="I848" i="42"/>
  <c r="I885" i="42"/>
  <c r="I922" i="42"/>
  <c r="I959" i="42"/>
  <c r="I996" i="42"/>
  <c r="I1033" i="42"/>
  <c r="I1070" i="42"/>
  <c r="I43" i="42"/>
  <c r="I79" i="42"/>
  <c r="I115" i="42"/>
  <c r="I151" i="42"/>
  <c r="I187" i="42"/>
  <c r="I222" i="42"/>
  <c r="I258" i="42"/>
  <c r="I294" i="42"/>
  <c r="I330" i="42"/>
  <c r="I366" i="42"/>
  <c r="I404" i="42"/>
  <c r="I441" i="42"/>
  <c r="I478" i="42"/>
  <c r="I515" i="42"/>
  <c r="I552" i="42"/>
  <c r="I589" i="42"/>
  <c r="I626" i="42"/>
  <c r="I664" i="42"/>
  <c r="I701" i="42"/>
  <c r="I738" i="42"/>
  <c r="I775" i="42"/>
  <c r="I812" i="42"/>
  <c r="I849" i="42"/>
  <c r="I886" i="42"/>
  <c r="I923" i="42"/>
  <c r="I960" i="42"/>
  <c r="I997" i="42"/>
  <c r="I1034" i="42"/>
  <c r="I1071" i="42"/>
  <c r="J157" i="7"/>
  <c r="J158" i="7"/>
  <c r="J159" i="7"/>
  <c r="J160" i="7"/>
  <c r="J161" i="7"/>
  <c r="J162" i="7"/>
  <c r="J163" i="7"/>
  <c r="J164" i="7"/>
  <c r="J165" i="7"/>
  <c r="V39" i="40"/>
  <c r="AP33" i="40"/>
  <c r="AP34" i="40"/>
  <c r="I24" i="18"/>
  <c r="I25" i="18"/>
  <c r="AU34" i="40" s="1"/>
  <c r="BC34" i="40"/>
  <c r="L174" i="40"/>
  <c r="AY174" i="40"/>
  <c r="BA174" i="40"/>
  <c r="AY18" i="40"/>
  <c r="AY21" i="40" s="1"/>
  <c r="AY29" i="40" s="1"/>
  <c r="BA18" i="40"/>
  <c r="BA21" i="40" s="1"/>
  <c r="BA29" i="40" s="1"/>
  <c r="L145" i="40"/>
  <c r="L136" i="40"/>
  <c r="L128" i="40"/>
  <c r="L119" i="40"/>
  <c r="L110" i="40"/>
  <c r="L101" i="40"/>
  <c r="L92" i="40"/>
  <c r="L84" i="40"/>
  <c r="L75" i="40"/>
  <c r="L66" i="40"/>
  <c r="L57" i="40"/>
  <c r="L48" i="40"/>
  <c r="L165" i="40"/>
  <c r="L154" i="40"/>
  <c r="I81" i="34"/>
  <c r="I79" i="34"/>
  <c r="J42" i="40" s="1"/>
  <c r="I31" i="34"/>
  <c r="I29" i="34"/>
  <c r="I619" i="41"/>
  <c r="I617" i="41"/>
  <c r="I588" i="41"/>
  <c r="I586" i="41"/>
  <c r="I557" i="41"/>
  <c r="I555" i="41"/>
  <c r="I534" i="41"/>
  <c r="I532" i="41"/>
  <c r="I511" i="41"/>
  <c r="I509" i="41"/>
  <c r="I480" i="41"/>
  <c r="I478" i="41"/>
  <c r="I450" i="41"/>
  <c r="I448" i="41"/>
  <c r="I388" i="41"/>
  <c r="I386" i="41"/>
  <c r="I349" i="41"/>
  <c r="I347" i="41"/>
  <c r="I317" i="41"/>
  <c r="I315" i="41"/>
  <c r="I255" i="41"/>
  <c r="I253" i="41"/>
  <c r="I217" i="41"/>
  <c r="I215" i="41"/>
  <c r="I124" i="41"/>
  <c r="I122" i="41"/>
  <c r="I87" i="41"/>
  <c r="I85" i="41"/>
  <c r="I50" i="41"/>
  <c r="I48" i="41"/>
  <c r="I13" i="41"/>
  <c r="I11" i="41"/>
  <c r="I1041" i="42"/>
  <c r="I1004" i="42"/>
  <c r="I967" i="42"/>
  <c r="I930" i="42"/>
  <c r="I893" i="42"/>
  <c r="I856" i="42"/>
  <c r="I819" i="42"/>
  <c r="I782" i="42"/>
  <c r="I745" i="42"/>
  <c r="I708" i="42"/>
  <c r="I671" i="42"/>
  <c r="I633" i="42"/>
  <c r="I596" i="42"/>
  <c r="I559" i="42"/>
  <c r="I522" i="42"/>
  <c r="I485" i="42"/>
  <c r="I448" i="42"/>
  <c r="I411" i="42"/>
  <c r="I374" i="42"/>
  <c r="I337" i="42"/>
  <c r="I301" i="42"/>
  <c r="I265" i="42"/>
  <c r="I229" i="42"/>
  <c r="I194" i="42"/>
  <c r="I158" i="42"/>
  <c r="I122" i="42"/>
  <c r="I86" i="42"/>
  <c r="I50" i="42"/>
  <c r="I14" i="42"/>
  <c r="I619" i="5"/>
  <c r="I617" i="5"/>
  <c r="I588" i="5"/>
  <c r="I586" i="5"/>
  <c r="I557" i="5"/>
  <c r="I555" i="5"/>
  <c r="I534" i="5"/>
  <c r="I532" i="5"/>
  <c r="I511" i="5"/>
  <c r="I509" i="5"/>
  <c r="I480" i="5"/>
  <c r="I478" i="5"/>
  <c r="I450" i="5"/>
  <c r="I448" i="5"/>
  <c r="I388" i="5"/>
  <c r="I386" i="5"/>
  <c r="I349" i="5"/>
  <c r="I347" i="5"/>
  <c r="I317" i="5"/>
  <c r="I315" i="5"/>
  <c r="I255" i="5"/>
  <c r="I253" i="5"/>
  <c r="I217" i="5"/>
  <c r="I215" i="5"/>
  <c r="I124" i="5"/>
  <c r="I122" i="5"/>
  <c r="I87" i="5"/>
  <c r="I85" i="5"/>
  <c r="I50" i="5"/>
  <c r="I48" i="5"/>
  <c r="I13" i="5"/>
  <c r="I11" i="5"/>
  <c r="I1041" i="4"/>
  <c r="I1039" i="4"/>
  <c r="I1004" i="4"/>
  <c r="I1002" i="4"/>
  <c r="I967" i="4"/>
  <c r="I965" i="4"/>
  <c r="I930" i="4"/>
  <c r="I928" i="4"/>
  <c r="I893" i="4"/>
  <c r="I891" i="4"/>
  <c r="I856" i="4"/>
  <c r="I854" i="4"/>
  <c r="I819" i="4"/>
  <c r="I817" i="4"/>
  <c r="I782" i="4"/>
  <c r="I780" i="4"/>
  <c r="I745" i="4"/>
  <c r="I743" i="4"/>
  <c r="I708" i="4"/>
  <c r="I706" i="4"/>
  <c r="I671" i="4"/>
  <c r="I669" i="4"/>
  <c r="I633" i="4"/>
  <c r="I631" i="4"/>
  <c r="I596" i="4"/>
  <c r="I594" i="4"/>
  <c r="I559" i="4"/>
  <c r="I557" i="4"/>
  <c r="I522" i="4"/>
  <c r="I520" i="4"/>
  <c r="I485" i="4"/>
  <c r="I483" i="4"/>
  <c r="I448" i="4"/>
  <c r="I446" i="4"/>
  <c r="I411" i="4"/>
  <c r="I409" i="4"/>
  <c r="I374" i="4"/>
  <c r="I372" i="4"/>
  <c r="I337" i="4"/>
  <c r="I335" i="4"/>
  <c r="I301" i="4"/>
  <c r="I299" i="4"/>
  <c r="I265" i="4"/>
  <c r="I263" i="4"/>
  <c r="I229" i="4"/>
  <c r="I227" i="4"/>
  <c r="I194" i="4"/>
  <c r="I192" i="4"/>
  <c r="I158" i="4"/>
  <c r="I156" i="4"/>
  <c r="I122" i="4"/>
  <c r="I120" i="4"/>
  <c r="I86" i="4"/>
  <c r="I84" i="4"/>
  <c r="I50" i="4"/>
  <c r="I48" i="4"/>
  <c r="I12" i="4"/>
  <c r="I14" i="4"/>
  <c r="I676" i="5"/>
  <c r="D189" i="40" s="1"/>
  <c r="BI189" i="40" s="1"/>
  <c r="I675" i="41"/>
  <c r="I558" i="5"/>
  <c r="I559" i="5"/>
  <c r="I560" i="5"/>
  <c r="I561" i="5"/>
  <c r="I562" i="5"/>
  <c r="I564" i="5"/>
  <c r="I565" i="5"/>
  <c r="I566" i="5"/>
  <c r="I567" i="5"/>
  <c r="I568" i="5"/>
  <c r="I569" i="5"/>
  <c r="I570" i="5"/>
  <c r="I571" i="5"/>
  <c r="I572" i="5"/>
  <c r="I573" i="5"/>
  <c r="I574" i="5"/>
  <c r="I575" i="5"/>
  <c r="I576" i="5"/>
  <c r="I577" i="5"/>
  <c r="I578" i="5"/>
  <c r="I579" i="5"/>
  <c r="I580" i="5"/>
  <c r="I581" i="5"/>
  <c r="I512" i="5"/>
  <c r="I513" i="5"/>
  <c r="I514" i="5"/>
  <c r="I515" i="5"/>
  <c r="I516" i="5"/>
  <c r="I518" i="5"/>
  <c r="I535" i="5"/>
  <c r="I536" i="5"/>
  <c r="I537" i="5"/>
  <c r="I538" i="5"/>
  <c r="I539" i="5"/>
  <c r="I541" i="5"/>
  <c r="I519" i="5"/>
  <c r="I520" i="5"/>
  <c r="I542" i="5"/>
  <c r="I543" i="5"/>
  <c r="I521" i="5"/>
  <c r="I522" i="5"/>
  <c r="I523" i="5"/>
  <c r="I544" i="5"/>
  <c r="I545" i="5"/>
  <c r="I546" i="5"/>
  <c r="I524" i="5"/>
  <c r="I525" i="5"/>
  <c r="I526" i="5"/>
  <c r="I527" i="5"/>
  <c r="I547" i="5"/>
  <c r="I548" i="5"/>
  <c r="I549" i="5"/>
  <c r="I550" i="5"/>
  <c r="I481" i="5"/>
  <c r="I482" i="5"/>
  <c r="I483" i="5"/>
  <c r="I484" i="5"/>
  <c r="I485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451" i="5"/>
  <c r="I452" i="5"/>
  <c r="I453" i="5"/>
  <c r="I454" i="5"/>
  <c r="I455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256" i="5"/>
  <c r="I257" i="5"/>
  <c r="I258" i="5"/>
  <c r="I259" i="5"/>
  <c r="I260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125" i="5"/>
  <c r="I126" i="5"/>
  <c r="I127" i="5"/>
  <c r="I128" i="5"/>
  <c r="I129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51" i="5"/>
  <c r="I52" i="5"/>
  <c r="I53" i="5"/>
  <c r="I54" i="5"/>
  <c r="I55" i="5"/>
  <c r="I56" i="5"/>
  <c r="I57" i="5"/>
  <c r="I58" i="5"/>
  <c r="I59" i="5"/>
  <c r="I60" i="5"/>
  <c r="I61" i="5"/>
  <c r="I62" i="5"/>
  <c r="I64" i="5"/>
  <c r="I65" i="5"/>
  <c r="I66" i="5"/>
  <c r="I67" i="5"/>
  <c r="I68" i="5"/>
  <c r="I69" i="5"/>
  <c r="I88" i="5"/>
  <c r="I89" i="5"/>
  <c r="I90" i="5"/>
  <c r="I91" i="5"/>
  <c r="I92" i="5"/>
  <c r="I93" i="5"/>
  <c r="I94" i="5"/>
  <c r="I95" i="5"/>
  <c r="I96" i="5"/>
  <c r="I97" i="5"/>
  <c r="I98" i="5"/>
  <c r="I99" i="5"/>
  <c r="I101" i="5"/>
  <c r="I102" i="5"/>
  <c r="I103" i="5"/>
  <c r="I104" i="5"/>
  <c r="I105" i="5"/>
  <c r="I106" i="5"/>
  <c r="I70" i="5"/>
  <c r="I71" i="5"/>
  <c r="I107" i="5"/>
  <c r="I108" i="5"/>
  <c r="I72" i="5"/>
  <c r="I73" i="5"/>
  <c r="I74" i="5"/>
  <c r="I109" i="5"/>
  <c r="I110" i="5"/>
  <c r="I111" i="5"/>
  <c r="I75" i="5"/>
  <c r="I76" i="5"/>
  <c r="I77" i="5"/>
  <c r="I78" i="5"/>
  <c r="I79" i="5"/>
  <c r="I80" i="5"/>
  <c r="I112" i="5"/>
  <c r="I113" i="5"/>
  <c r="I114" i="5"/>
  <c r="I115" i="5"/>
  <c r="I116" i="5"/>
  <c r="I117" i="5"/>
  <c r="I14" i="5"/>
  <c r="I15" i="5"/>
  <c r="I16" i="5"/>
  <c r="I17" i="5"/>
  <c r="I18" i="5"/>
  <c r="I19" i="5"/>
  <c r="I20" i="5"/>
  <c r="I21" i="5"/>
  <c r="I22" i="5"/>
  <c r="I23" i="5"/>
  <c r="I24" i="5"/>
  <c r="I25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15" i="4"/>
  <c r="I51" i="4"/>
  <c r="I87" i="4"/>
  <c r="I123" i="4"/>
  <c r="I159" i="4"/>
  <c r="I195" i="4"/>
  <c r="I230" i="4"/>
  <c r="I266" i="4"/>
  <c r="I302" i="4"/>
  <c r="I338" i="4"/>
  <c r="I375" i="4"/>
  <c r="I412" i="4"/>
  <c r="I449" i="4"/>
  <c r="I486" i="4"/>
  <c r="I523" i="4"/>
  <c r="I560" i="4"/>
  <c r="I597" i="4"/>
  <c r="I634" i="4"/>
  <c r="I672" i="4"/>
  <c r="I709" i="4"/>
  <c r="I746" i="4"/>
  <c r="I783" i="4"/>
  <c r="I820" i="4"/>
  <c r="I857" i="4"/>
  <c r="I894" i="4"/>
  <c r="I931" i="4"/>
  <c r="I968" i="4"/>
  <c r="I1005" i="4"/>
  <c r="I1042" i="4"/>
  <c r="I16" i="4"/>
  <c r="I52" i="4"/>
  <c r="I88" i="4"/>
  <c r="I124" i="4"/>
  <c r="I160" i="4"/>
  <c r="I196" i="4"/>
  <c r="I231" i="4"/>
  <c r="I267" i="4"/>
  <c r="I303" i="4"/>
  <c r="I339" i="4"/>
  <c r="I376" i="4"/>
  <c r="I413" i="4"/>
  <c r="I450" i="4"/>
  <c r="I487" i="4"/>
  <c r="I524" i="4"/>
  <c r="I561" i="4"/>
  <c r="I598" i="4"/>
  <c r="I635" i="4"/>
  <c r="I673" i="4"/>
  <c r="I710" i="4"/>
  <c r="I747" i="4"/>
  <c r="I784" i="4"/>
  <c r="I821" i="4"/>
  <c r="I858" i="4"/>
  <c r="I895" i="4"/>
  <c r="I932" i="4"/>
  <c r="I969" i="4"/>
  <c r="I1006" i="4"/>
  <c r="I1043" i="4"/>
  <c r="I17" i="4"/>
  <c r="I53" i="4"/>
  <c r="I89" i="4"/>
  <c r="I125" i="4"/>
  <c r="I161" i="4"/>
  <c r="I197" i="4"/>
  <c r="I232" i="4"/>
  <c r="I268" i="4"/>
  <c r="I304" i="4"/>
  <c r="I340" i="4"/>
  <c r="I377" i="4"/>
  <c r="I414" i="4"/>
  <c r="I451" i="4"/>
  <c r="I488" i="4"/>
  <c r="I525" i="4"/>
  <c r="I562" i="4"/>
  <c r="I599" i="4"/>
  <c r="I636" i="4"/>
  <c r="I674" i="4"/>
  <c r="I711" i="4"/>
  <c r="I748" i="4"/>
  <c r="I785" i="4"/>
  <c r="I822" i="4"/>
  <c r="I859" i="4"/>
  <c r="I896" i="4"/>
  <c r="I933" i="4"/>
  <c r="I970" i="4"/>
  <c r="I1007" i="4"/>
  <c r="I1044" i="4"/>
  <c r="I18" i="4"/>
  <c r="I54" i="4"/>
  <c r="I90" i="4"/>
  <c r="I126" i="4"/>
  <c r="I162" i="4"/>
  <c r="I198" i="4"/>
  <c r="I233" i="4"/>
  <c r="I269" i="4"/>
  <c r="I305" i="4"/>
  <c r="I341" i="4"/>
  <c r="I378" i="4"/>
  <c r="I415" i="4"/>
  <c r="I452" i="4"/>
  <c r="I489" i="4"/>
  <c r="I526" i="4"/>
  <c r="I563" i="4"/>
  <c r="I600" i="4"/>
  <c r="I637" i="4"/>
  <c r="I675" i="4"/>
  <c r="I712" i="4"/>
  <c r="I749" i="4"/>
  <c r="I786" i="4"/>
  <c r="I823" i="4"/>
  <c r="I860" i="4"/>
  <c r="I897" i="4"/>
  <c r="I934" i="4"/>
  <c r="I971" i="4"/>
  <c r="I1008" i="4"/>
  <c r="I1045" i="4"/>
  <c r="I19" i="4"/>
  <c r="I55" i="4"/>
  <c r="I91" i="4"/>
  <c r="I127" i="4"/>
  <c r="I163" i="4"/>
  <c r="I199" i="4"/>
  <c r="I234" i="4"/>
  <c r="I270" i="4"/>
  <c r="I306" i="4"/>
  <c r="I342" i="4"/>
  <c r="I379" i="4"/>
  <c r="I416" i="4"/>
  <c r="I453" i="4"/>
  <c r="I490" i="4"/>
  <c r="I527" i="4"/>
  <c r="I564" i="4"/>
  <c r="I601" i="4"/>
  <c r="I638" i="4"/>
  <c r="I676" i="4"/>
  <c r="I713" i="4"/>
  <c r="I750" i="4"/>
  <c r="I787" i="4"/>
  <c r="I824" i="4"/>
  <c r="I861" i="4"/>
  <c r="I898" i="4"/>
  <c r="I935" i="4"/>
  <c r="I972" i="4"/>
  <c r="I1009" i="4"/>
  <c r="I1046" i="4"/>
  <c r="I20" i="4"/>
  <c r="I56" i="4"/>
  <c r="I92" i="4"/>
  <c r="I128" i="4"/>
  <c r="I164" i="4"/>
  <c r="I200" i="4"/>
  <c r="I235" i="4"/>
  <c r="I271" i="4"/>
  <c r="I307" i="4"/>
  <c r="I343" i="4"/>
  <c r="I380" i="4"/>
  <c r="I417" i="4"/>
  <c r="I454" i="4"/>
  <c r="I491" i="4"/>
  <c r="I528" i="4"/>
  <c r="I565" i="4"/>
  <c r="I602" i="4"/>
  <c r="I639" i="4"/>
  <c r="I677" i="4"/>
  <c r="I714" i="4"/>
  <c r="I751" i="4"/>
  <c r="I788" i="4"/>
  <c r="I825" i="4"/>
  <c r="I862" i="4"/>
  <c r="I899" i="4"/>
  <c r="I936" i="4"/>
  <c r="I973" i="4"/>
  <c r="I1010" i="4"/>
  <c r="I1047" i="4"/>
  <c r="I381" i="4"/>
  <c r="I418" i="4"/>
  <c r="I455" i="4"/>
  <c r="I492" i="4"/>
  <c r="I529" i="4"/>
  <c r="I566" i="4"/>
  <c r="I603" i="4"/>
  <c r="I640" i="4"/>
  <c r="I678" i="4"/>
  <c r="I715" i="4"/>
  <c r="I752" i="4"/>
  <c r="I789" i="4"/>
  <c r="I826" i="4"/>
  <c r="I863" i="4"/>
  <c r="I900" i="4"/>
  <c r="I937" i="4"/>
  <c r="I974" i="4"/>
  <c r="I1011" i="4"/>
  <c r="I1048" i="4"/>
  <c r="I21" i="4"/>
  <c r="I57" i="4"/>
  <c r="I93" i="4"/>
  <c r="I129" i="4"/>
  <c r="I165" i="4"/>
  <c r="I201" i="4"/>
  <c r="I236" i="4"/>
  <c r="I272" i="4"/>
  <c r="I308" i="4"/>
  <c r="I344" i="4"/>
  <c r="I382" i="4"/>
  <c r="I419" i="4"/>
  <c r="I456" i="4"/>
  <c r="I493" i="4"/>
  <c r="I530" i="4"/>
  <c r="I567" i="4"/>
  <c r="I604" i="4"/>
  <c r="I641" i="4"/>
  <c r="I679" i="4"/>
  <c r="I716" i="4"/>
  <c r="I753" i="4"/>
  <c r="I790" i="4"/>
  <c r="I827" i="4"/>
  <c r="I864" i="4"/>
  <c r="I901" i="4"/>
  <c r="I938" i="4"/>
  <c r="I975" i="4"/>
  <c r="I1012" i="4"/>
  <c r="I1049" i="4"/>
  <c r="I23" i="4"/>
  <c r="I59" i="4"/>
  <c r="I95" i="4"/>
  <c r="I131" i="4"/>
  <c r="I167" i="4"/>
  <c r="I203" i="4"/>
  <c r="I238" i="4"/>
  <c r="I274" i="4"/>
  <c r="I310" i="4"/>
  <c r="I346" i="4"/>
  <c r="I384" i="4"/>
  <c r="I421" i="4"/>
  <c r="I458" i="4"/>
  <c r="I495" i="4"/>
  <c r="I532" i="4"/>
  <c r="I569" i="4"/>
  <c r="I606" i="4"/>
  <c r="I643" i="4"/>
  <c r="I681" i="4"/>
  <c r="I718" i="4"/>
  <c r="I755" i="4"/>
  <c r="I792" i="4"/>
  <c r="I829" i="4"/>
  <c r="I866" i="4"/>
  <c r="I903" i="4"/>
  <c r="I940" i="4"/>
  <c r="I977" i="4"/>
  <c r="I1014" i="4"/>
  <c r="I1051" i="4"/>
  <c r="I24" i="4"/>
  <c r="I60" i="4"/>
  <c r="I96" i="4"/>
  <c r="I132" i="4"/>
  <c r="I168" i="4"/>
  <c r="I204" i="4"/>
  <c r="I239" i="4"/>
  <c r="I275" i="4"/>
  <c r="I311" i="4"/>
  <c r="I347" i="4"/>
  <c r="I385" i="4"/>
  <c r="I422" i="4"/>
  <c r="I459" i="4"/>
  <c r="I496" i="4"/>
  <c r="I533" i="4"/>
  <c r="I570" i="4"/>
  <c r="I607" i="4"/>
  <c r="I644" i="4"/>
  <c r="I682" i="4"/>
  <c r="I719" i="4"/>
  <c r="I756" i="4"/>
  <c r="I793" i="4"/>
  <c r="I830" i="4"/>
  <c r="I867" i="4"/>
  <c r="I904" i="4"/>
  <c r="I941" i="4"/>
  <c r="I978" i="4"/>
  <c r="I1015" i="4"/>
  <c r="I1052" i="4"/>
  <c r="I25" i="4"/>
  <c r="I61" i="4"/>
  <c r="I97" i="4"/>
  <c r="I133" i="4"/>
  <c r="I169" i="4"/>
  <c r="I205" i="4"/>
  <c r="I240" i="4"/>
  <c r="I276" i="4"/>
  <c r="I312" i="4"/>
  <c r="I348" i="4"/>
  <c r="I386" i="4"/>
  <c r="I423" i="4"/>
  <c r="I460" i="4"/>
  <c r="I497" i="4"/>
  <c r="I534" i="4"/>
  <c r="I571" i="4"/>
  <c r="I608" i="4"/>
  <c r="I645" i="4"/>
  <c r="I683" i="4"/>
  <c r="I720" i="4"/>
  <c r="I757" i="4"/>
  <c r="I794" i="4"/>
  <c r="I831" i="4"/>
  <c r="I868" i="4"/>
  <c r="I905" i="4"/>
  <c r="I942" i="4"/>
  <c r="I979" i="4"/>
  <c r="I1016" i="4"/>
  <c r="I1053" i="4"/>
  <c r="I26" i="4"/>
  <c r="I62" i="4"/>
  <c r="I98" i="4"/>
  <c r="I134" i="4"/>
  <c r="I170" i="4"/>
  <c r="I206" i="4"/>
  <c r="I241" i="4"/>
  <c r="I277" i="4"/>
  <c r="I313" i="4"/>
  <c r="I349" i="4"/>
  <c r="I387" i="4"/>
  <c r="I424" i="4"/>
  <c r="I461" i="4"/>
  <c r="I498" i="4"/>
  <c r="I535" i="4"/>
  <c r="I572" i="4"/>
  <c r="I609" i="4"/>
  <c r="I646" i="4"/>
  <c r="I684" i="4"/>
  <c r="I721" i="4"/>
  <c r="I758" i="4"/>
  <c r="I795" i="4"/>
  <c r="I832" i="4"/>
  <c r="I869" i="4"/>
  <c r="I906" i="4"/>
  <c r="I943" i="4"/>
  <c r="I980" i="4"/>
  <c r="I1017" i="4"/>
  <c r="I1054" i="4"/>
  <c r="I27" i="4"/>
  <c r="I63" i="4"/>
  <c r="I99" i="4"/>
  <c r="I135" i="4"/>
  <c r="I171" i="4"/>
  <c r="I207" i="4"/>
  <c r="I242" i="4"/>
  <c r="I278" i="4"/>
  <c r="I314" i="4"/>
  <c r="I350" i="4"/>
  <c r="I388" i="4"/>
  <c r="I425" i="4"/>
  <c r="I462" i="4"/>
  <c r="I499" i="4"/>
  <c r="I536" i="4"/>
  <c r="I573" i="4"/>
  <c r="I610" i="4"/>
  <c r="I647" i="4"/>
  <c r="I685" i="4"/>
  <c r="I722" i="4"/>
  <c r="I759" i="4"/>
  <c r="I796" i="4"/>
  <c r="I833" i="4"/>
  <c r="I870" i="4"/>
  <c r="I907" i="4"/>
  <c r="I944" i="4"/>
  <c r="I981" i="4"/>
  <c r="I1018" i="4"/>
  <c r="I1055" i="4"/>
  <c r="I28" i="4"/>
  <c r="I64" i="4"/>
  <c r="I100" i="4"/>
  <c r="I136" i="4"/>
  <c r="I172" i="4"/>
  <c r="I208" i="4"/>
  <c r="I243" i="4"/>
  <c r="I279" i="4"/>
  <c r="I315" i="4"/>
  <c r="I351" i="4"/>
  <c r="I389" i="4"/>
  <c r="I426" i="4"/>
  <c r="I463" i="4"/>
  <c r="I500" i="4"/>
  <c r="I537" i="4"/>
  <c r="I574" i="4"/>
  <c r="I611" i="4"/>
  <c r="I648" i="4"/>
  <c r="I686" i="4"/>
  <c r="I723" i="4"/>
  <c r="I760" i="4"/>
  <c r="I797" i="4"/>
  <c r="I834" i="4"/>
  <c r="I871" i="4"/>
  <c r="I908" i="4"/>
  <c r="I945" i="4"/>
  <c r="I982" i="4"/>
  <c r="I1019" i="4"/>
  <c r="I1056" i="4"/>
  <c r="I29" i="4"/>
  <c r="I65" i="4"/>
  <c r="I101" i="4"/>
  <c r="I137" i="4"/>
  <c r="I173" i="4"/>
  <c r="I209" i="4"/>
  <c r="I244" i="4"/>
  <c r="I280" i="4"/>
  <c r="I316" i="4"/>
  <c r="I352" i="4"/>
  <c r="I390" i="4"/>
  <c r="I427" i="4"/>
  <c r="I464" i="4"/>
  <c r="I501" i="4"/>
  <c r="I538" i="4"/>
  <c r="I575" i="4"/>
  <c r="I612" i="4"/>
  <c r="I649" i="4"/>
  <c r="I687" i="4"/>
  <c r="I724" i="4"/>
  <c r="I761" i="4"/>
  <c r="I798" i="4"/>
  <c r="I835" i="4"/>
  <c r="I872" i="4"/>
  <c r="I909" i="4"/>
  <c r="I946" i="4"/>
  <c r="I983" i="4"/>
  <c r="I1020" i="4"/>
  <c r="I1057" i="4"/>
  <c r="I30" i="4"/>
  <c r="I66" i="4"/>
  <c r="I102" i="4"/>
  <c r="I138" i="4"/>
  <c r="I174" i="4"/>
  <c r="I210" i="4"/>
  <c r="I245" i="4"/>
  <c r="I281" i="4"/>
  <c r="I317" i="4"/>
  <c r="I353" i="4"/>
  <c r="I391" i="4"/>
  <c r="I428" i="4"/>
  <c r="I465" i="4"/>
  <c r="I502" i="4"/>
  <c r="I539" i="4"/>
  <c r="I576" i="4"/>
  <c r="I613" i="4"/>
  <c r="I650" i="4"/>
  <c r="I688" i="4"/>
  <c r="I725" i="4"/>
  <c r="I762" i="4"/>
  <c r="I799" i="4"/>
  <c r="I836" i="4"/>
  <c r="I873" i="4"/>
  <c r="I910" i="4"/>
  <c r="I947" i="4"/>
  <c r="I984" i="4"/>
  <c r="I1021" i="4"/>
  <c r="I1058" i="4"/>
  <c r="I31" i="4"/>
  <c r="I67" i="4"/>
  <c r="I103" i="4"/>
  <c r="I139" i="4"/>
  <c r="I175" i="4"/>
  <c r="I211" i="4"/>
  <c r="I246" i="4"/>
  <c r="I282" i="4"/>
  <c r="I318" i="4"/>
  <c r="I354" i="4"/>
  <c r="I392" i="4"/>
  <c r="I429" i="4"/>
  <c r="I466" i="4"/>
  <c r="I503" i="4"/>
  <c r="I540" i="4"/>
  <c r="I577" i="4"/>
  <c r="I614" i="4"/>
  <c r="I651" i="4"/>
  <c r="I689" i="4"/>
  <c r="I726" i="4"/>
  <c r="I763" i="4"/>
  <c r="I800" i="4"/>
  <c r="I837" i="4"/>
  <c r="I874" i="4"/>
  <c r="I911" i="4"/>
  <c r="I948" i="4"/>
  <c r="I985" i="4"/>
  <c r="I1022" i="4"/>
  <c r="I1059" i="4"/>
  <c r="I32" i="4"/>
  <c r="I68" i="4"/>
  <c r="I104" i="4"/>
  <c r="I140" i="4"/>
  <c r="I176" i="4"/>
  <c r="I212" i="4"/>
  <c r="I247" i="4"/>
  <c r="I283" i="4"/>
  <c r="I319" i="4"/>
  <c r="I355" i="4"/>
  <c r="I393" i="4"/>
  <c r="I430" i="4"/>
  <c r="I467" i="4"/>
  <c r="I504" i="4"/>
  <c r="I541" i="4"/>
  <c r="I578" i="4"/>
  <c r="I615" i="4"/>
  <c r="I652" i="4"/>
  <c r="I690" i="4"/>
  <c r="I727" i="4"/>
  <c r="I764" i="4"/>
  <c r="I801" i="4"/>
  <c r="I838" i="4"/>
  <c r="I875" i="4"/>
  <c r="I912" i="4"/>
  <c r="I949" i="4"/>
  <c r="I986" i="4"/>
  <c r="I1023" i="4"/>
  <c r="I1060" i="4"/>
  <c r="I33" i="4"/>
  <c r="I69" i="4"/>
  <c r="I105" i="4"/>
  <c r="I141" i="4"/>
  <c r="I177" i="4"/>
  <c r="I213" i="4"/>
  <c r="I248" i="4"/>
  <c r="I284" i="4"/>
  <c r="I320" i="4"/>
  <c r="I356" i="4"/>
  <c r="I394" i="4"/>
  <c r="I431" i="4"/>
  <c r="I468" i="4"/>
  <c r="I505" i="4"/>
  <c r="I542" i="4"/>
  <c r="I579" i="4"/>
  <c r="I616" i="4"/>
  <c r="I653" i="4"/>
  <c r="I691" i="4"/>
  <c r="I728" i="4"/>
  <c r="I765" i="4"/>
  <c r="I802" i="4"/>
  <c r="I839" i="4"/>
  <c r="I876" i="4"/>
  <c r="I913" i="4"/>
  <c r="I950" i="4"/>
  <c r="I987" i="4"/>
  <c r="I1024" i="4"/>
  <c r="I1061" i="4"/>
  <c r="I34" i="4"/>
  <c r="I70" i="4"/>
  <c r="I106" i="4"/>
  <c r="I142" i="4"/>
  <c r="I178" i="4"/>
  <c r="I214" i="4"/>
  <c r="I249" i="4"/>
  <c r="I285" i="4"/>
  <c r="I321" i="4"/>
  <c r="I357" i="4"/>
  <c r="I395" i="4"/>
  <c r="I432" i="4"/>
  <c r="I469" i="4"/>
  <c r="I506" i="4"/>
  <c r="I543" i="4"/>
  <c r="I580" i="4"/>
  <c r="I617" i="4"/>
  <c r="I654" i="4"/>
  <c r="I692" i="4"/>
  <c r="I729" i="4"/>
  <c r="I766" i="4"/>
  <c r="I803" i="4"/>
  <c r="I840" i="4"/>
  <c r="I877" i="4"/>
  <c r="I914" i="4"/>
  <c r="I951" i="4"/>
  <c r="I988" i="4"/>
  <c r="I1025" i="4"/>
  <c r="I1062" i="4"/>
  <c r="I35" i="4"/>
  <c r="I71" i="4"/>
  <c r="I107" i="4"/>
  <c r="I143" i="4"/>
  <c r="I179" i="4"/>
  <c r="I215" i="4"/>
  <c r="I250" i="4"/>
  <c r="I286" i="4"/>
  <c r="I322" i="4"/>
  <c r="I358" i="4"/>
  <c r="I396" i="4"/>
  <c r="I433" i="4"/>
  <c r="I470" i="4"/>
  <c r="I507" i="4"/>
  <c r="I544" i="4"/>
  <c r="I581" i="4"/>
  <c r="I618" i="4"/>
  <c r="I655" i="4"/>
  <c r="I693" i="4"/>
  <c r="I730" i="4"/>
  <c r="I767" i="4"/>
  <c r="I804" i="4"/>
  <c r="I841" i="4"/>
  <c r="I878" i="4"/>
  <c r="I915" i="4"/>
  <c r="I952" i="4"/>
  <c r="I989" i="4"/>
  <c r="I1026" i="4"/>
  <c r="I1063" i="4"/>
  <c r="I36" i="4"/>
  <c r="I72" i="4"/>
  <c r="I108" i="4"/>
  <c r="I144" i="4"/>
  <c r="I180" i="4"/>
  <c r="I216" i="4"/>
  <c r="I251" i="4"/>
  <c r="I287" i="4"/>
  <c r="I323" i="4"/>
  <c r="I359" i="4"/>
  <c r="I397" i="4"/>
  <c r="I434" i="4"/>
  <c r="I471" i="4"/>
  <c r="I508" i="4"/>
  <c r="I545" i="4"/>
  <c r="I582" i="4"/>
  <c r="I619" i="4"/>
  <c r="I656" i="4"/>
  <c r="I694" i="4"/>
  <c r="I731" i="4"/>
  <c r="I768" i="4"/>
  <c r="I805" i="4"/>
  <c r="I842" i="4"/>
  <c r="I879" i="4"/>
  <c r="I916" i="4"/>
  <c r="I953" i="4"/>
  <c r="I990" i="4"/>
  <c r="I1027" i="4"/>
  <c r="I1064" i="4"/>
  <c r="I37" i="4"/>
  <c r="I73" i="4"/>
  <c r="I109" i="4"/>
  <c r="I145" i="4"/>
  <c r="I181" i="4"/>
  <c r="I217" i="4"/>
  <c r="I252" i="4"/>
  <c r="I288" i="4"/>
  <c r="I324" i="4"/>
  <c r="I360" i="4"/>
  <c r="I398" i="4"/>
  <c r="I435" i="4"/>
  <c r="I472" i="4"/>
  <c r="I509" i="4"/>
  <c r="I546" i="4"/>
  <c r="I583" i="4"/>
  <c r="I620" i="4"/>
  <c r="I657" i="4"/>
  <c r="I695" i="4"/>
  <c r="I732" i="4"/>
  <c r="I769" i="4"/>
  <c r="I806" i="4"/>
  <c r="I843" i="4"/>
  <c r="I880" i="4"/>
  <c r="I917" i="4"/>
  <c r="I954" i="4"/>
  <c r="I991" i="4"/>
  <c r="I1028" i="4"/>
  <c r="I1065" i="4"/>
  <c r="I38" i="4"/>
  <c r="I74" i="4"/>
  <c r="I110" i="4"/>
  <c r="I146" i="4"/>
  <c r="I182" i="4"/>
  <c r="I218" i="4"/>
  <c r="I253" i="4"/>
  <c r="I289" i="4"/>
  <c r="I325" i="4"/>
  <c r="I361" i="4"/>
  <c r="I399" i="4"/>
  <c r="I436" i="4"/>
  <c r="I473" i="4"/>
  <c r="I510" i="4"/>
  <c r="I547" i="4"/>
  <c r="I584" i="4"/>
  <c r="I621" i="4"/>
  <c r="I658" i="4"/>
  <c r="I696" i="4"/>
  <c r="I733" i="4"/>
  <c r="I770" i="4"/>
  <c r="I807" i="4"/>
  <c r="I844" i="4"/>
  <c r="I881" i="4"/>
  <c r="I918" i="4"/>
  <c r="I955" i="4"/>
  <c r="I992" i="4"/>
  <c r="I1029" i="4"/>
  <c r="I1066" i="4"/>
  <c r="I659" i="4"/>
  <c r="B1106" i="4" s="1"/>
  <c r="I39" i="4"/>
  <c r="I75" i="4"/>
  <c r="I111" i="4"/>
  <c r="I147" i="4"/>
  <c r="I183" i="4"/>
  <c r="I254" i="4"/>
  <c r="I290" i="4"/>
  <c r="I326" i="4"/>
  <c r="I362" i="4"/>
  <c r="I400" i="4"/>
  <c r="I437" i="4"/>
  <c r="I474" i="4"/>
  <c r="I511" i="4"/>
  <c r="I548" i="4"/>
  <c r="I585" i="4"/>
  <c r="I622" i="4"/>
  <c r="I660" i="4"/>
  <c r="I697" i="4"/>
  <c r="I734" i="4"/>
  <c r="I771" i="4"/>
  <c r="I808" i="4"/>
  <c r="I845" i="4"/>
  <c r="I882" i="4"/>
  <c r="I919" i="4"/>
  <c r="I956" i="4"/>
  <c r="I993" i="4"/>
  <c r="I1030" i="4"/>
  <c r="I40" i="4"/>
  <c r="I76" i="4"/>
  <c r="I112" i="4"/>
  <c r="I148" i="4"/>
  <c r="I184" i="4"/>
  <c r="I219" i="4"/>
  <c r="I255" i="4"/>
  <c r="I291" i="4"/>
  <c r="I327" i="4"/>
  <c r="I363" i="4"/>
  <c r="I401" i="4"/>
  <c r="I438" i="4"/>
  <c r="I475" i="4"/>
  <c r="I512" i="4"/>
  <c r="I549" i="4"/>
  <c r="I586" i="4"/>
  <c r="I623" i="4"/>
  <c r="I661" i="4"/>
  <c r="I698" i="4"/>
  <c r="I735" i="4"/>
  <c r="I772" i="4"/>
  <c r="I809" i="4"/>
  <c r="I846" i="4"/>
  <c r="I883" i="4"/>
  <c r="I920" i="4"/>
  <c r="I957" i="4"/>
  <c r="I994" i="4"/>
  <c r="I1031" i="4"/>
  <c r="I1068" i="4"/>
  <c r="I41" i="4"/>
  <c r="I77" i="4"/>
  <c r="I113" i="4"/>
  <c r="I149" i="4"/>
  <c r="I185" i="4"/>
  <c r="I220" i="4"/>
  <c r="I256" i="4"/>
  <c r="I292" i="4"/>
  <c r="I328" i="4"/>
  <c r="I364" i="4"/>
  <c r="I402" i="4"/>
  <c r="I439" i="4"/>
  <c r="I476" i="4"/>
  <c r="I513" i="4"/>
  <c r="I550" i="4"/>
  <c r="I587" i="4"/>
  <c r="I624" i="4"/>
  <c r="I662" i="4"/>
  <c r="I699" i="4"/>
  <c r="I736" i="4"/>
  <c r="I773" i="4"/>
  <c r="I810" i="4"/>
  <c r="I847" i="4"/>
  <c r="I884" i="4"/>
  <c r="I921" i="4"/>
  <c r="I958" i="4"/>
  <c r="I995" i="4"/>
  <c r="I1032" i="4"/>
  <c r="I1069" i="4"/>
  <c r="I42" i="4"/>
  <c r="I78" i="4"/>
  <c r="I114" i="4"/>
  <c r="I150" i="4"/>
  <c r="I186" i="4"/>
  <c r="I221" i="4"/>
  <c r="I257" i="4"/>
  <c r="I293" i="4"/>
  <c r="I329" i="4"/>
  <c r="I365" i="4"/>
  <c r="I403" i="4"/>
  <c r="I440" i="4"/>
  <c r="I477" i="4"/>
  <c r="I514" i="4"/>
  <c r="I551" i="4"/>
  <c r="I588" i="4"/>
  <c r="I625" i="4"/>
  <c r="I663" i="4"/>
  <c r="I700" i="4"/>
  <c r="I737" i="4"/>
  <c r="I774" i="4"/>
  <c r="I811" i="4"/>
  <c r="I848" i="4"/>
  <c r="I885" i="4"/>
  <c r="I922" i="4"/>
  <c r="I959" i="4"/>
  <c r="I996" i="4"/>
  <c r="I1033" i="4"/>
  <c r="I1070" i="4"/>
  <c r="I43" i="4"/>
  <c r="I79" i="4"/>
  <c r="I115" i="4"/>
  <c r="I151" i="4"/>
  <c r="I187" i="4"/>
  <c r="I222" i="4"/>
  <c r="I258" i="4"/>
  <c r="I294" i="4"/>
  <c r="I330" i="4"/>
  <c r="I366" i="4"/>
  <c r="I404" i="4"/>
  <c r="I441" i="4"/>
  <c r="I478" i="4"/>
  <c r="I515" i="4"/>
  <c r="I552" i="4"/>
  <c r="I589" i="4"/>
  <c r="I626" i="4"/>
  <c r="I664" i="4"/>
  <c r="I701" i="4"/>
  <c r="I738" i="4"/>
  <c r="I775" i="4"/>
  <c r="I812" i="4"/>
  <c r="I849" i="4"/>
  <c r="I886" i="4"/>
  <c r="I923" i="4"/>
  <c r="I960" i="4"/>
  <c r="I997" i="4"/>
  <c r="I1034" i="4"/>
  <c r="I1071" i="4"/>
  <c r="I653" i="5"/>
  <c r="I655" i="5"/>
  <c r="I620" i="5"/>
  <c r="I621" i="5"/>
  <c r="I622" i="5"/>
  <c r="I623" i="5"/>
  <c r="I624" i="5"/>
  <c r="I626" i="5"/>
  <c r="I627" i="5"/>
  <c r="I628" i="5"/>
  <c r="I629" i="5"/>
  <c r="I630" i="5"/>
  <c r="I631" i="5"/>
  <c r="I632" i="5"/>
  <c r="I633" i="5"/>
  <c r="I634" i="5"/>
  <c r="I635" i="5"/>
  <c r="I636" i="5"/>
  <c r="I637" i="5"/>
  <c r="I638" i="5"/>
  <c r="I639" i="5"/>
  <c r="I640" i="5"/>
  <c r="I641" i="5"/>
  <c r="I642" i="5"/>
  <c r="I643" i="5"/>
  <c r="I644" i="5"/>
  <c r="I645" i="5"/>
  <c r="I558" i="41"/>
  <c r="I559" i="41"/>
  <c r="I560" i="41"/>
  <c r="I561" i="41"/>
  <c r="I562" i="41"/>
  <c r="I564" i="41"/>
  <c r="I565" i="41"/>
  <c r="I566" i="41"/>
  <c r="I567" i="41"/>
  <c r="I568" i="41"/>
  <c r="I569" i="41"/>
  <c r="I570" i="41"/>
  <c r="I571" i="41"/>
  <c r="I572" i="41"/>
  <c r="I573" i="41"/>
  <c r="I574" i="41"/>
  <c r="I575" i="41"/>
  <c r="I576" i="41"/>
  <c r="I577" i="41"/>
  <c r="I578" i="41"/>
  <c r="I579" i="41"/>
  <c r="I580" i="41"/>
  <c r="I581" i="41"/>
  <c r="I512" i="41"/>
  <c r="I513" i="41"/>
  <c r="I514" i="41"/>
  <c r="I515" i="41"/>
  <c r="I516" i="41"/>
  <c r="I518" i="41"/>
  <c r="I535" i="41"/>
  <c r="I536" i="41"/>
  <c r="I537" i="41"/>
  <c r="I538" i="41"/>
  <c r="I539" i="41"/>
  <c r="I541" i="41"/>
  <c r="I519" i="41"/>
  <c r="I520" i="41"/>
  <c r="I542" i="41"/>
  <c r="I543" i="41"/>
  <c r="I521" i="41"/>
  <c r="I522" i="41"/>
  <c r="I523" i="41"/>
  <c r="I544" i="41"/>
  <c r="I545" i="41"/>
  <c r="I546" i="41"/>
  <c r="I524" i="41"/>
  <c r="I525" i="41"/>
  <c r="I526" i="41"/>
  <c r="I527" i="41"/>
  <c r="I547" i="41"/>
  <c r="I548" i="41"/>
  <c r="I549" i="41"/>
  <c r="I550" i="41"/>
  <c r="I481" i="41"/>
  <c r="I482" i="41"/>
  <c r="I483" i="41"/>
  <c r="I484" i="41"/>
  <c r="I485" i="41"/>
  <c r="I487" i="41"/>
  <c r="I488" i="41"/>
  <c r="I489" i="41"/>
  <c r="I490" i="41"/>
  <c r="I491" i="41"/>
  <c r="I492" i="41"/>
  <c r="I493" i="41"/>
  <c r="I494" i="41"/>
  <c r="I495" i="41"/>
  <c r="I496" i="41"/>
  <c r="I497" i="41"/>
  <c r="I498" i="41"/>
  <c r="I499" i="41"/>
  <c r="I500" i="41"/>
  <c r="I501" i="41"/>
  <c r="I502" i="41"/>
  <c r="I503" i="41"/>
  <c r="I504" i="41"/>
  <c r="I451" i="41"/>
  <c r="I452" i="41"/>
  <c r="I453" i="41"/>
  <c r="I454" i="41"/>
  <c r="I455" i="41"/>
  <c r="I457" i="41"/>
  <c r="I458" i="41"/>
  <c r="I459" i="41"/>
  <c r="I460" i="41"/>
  <c r="I461" i="41"/>
  <c r="I462" i="41"/>
  <c r="I463" i="41"/>
  <c r="I464" i="41"/>
  <c r="I465" i="41"/>
  <c r="I466" i="41"/>
  <c r="I467" i="41"/>
  <c r="I468" i="41"/>
  <c r="I469" i="41"/>
  <c r="I470" i="41"/>
  <c r="I471" i="41"/>
  <c r="I472" i="41"/>
  <c r="I473" i="41"/>
  <c r="I389" i="41"/>
  <c r="I390" i="41"/>
  <c r="I391" i="41"/>
  <c r="I392" i="41"/>
  <c r="I393" i="41"/>
  <c r="I394" i="41"/>
  <c r="I395" i="41"/>
  <c r="I396" i="41"/>
  <c r="I397" i="41"/>
  <c r="I398" i="41"/>
  <c r="I399" i="41"/>
  <c r="I400" i="41"/>
  <c r="I401" i="41"/>
  <c r="I402" i="41"/>
  <c r="I403" i="41"/>
  <c r="I404" i="41"/>
  <c r="I405" i="41"/>
  <c r="I406" i="41"/>
  <c r="I407" i="41"/>
  <c r="I408" i="41"/>
  <c r="I409" i="41"/>
  <c r="I410" i="41"/>
  <c r="I411" i="41"/>
  <c r="I412" i="41"/>
  <c r="I350" i="41"/>
  <c r="I351" i="41"/>
  <c r="I352" i="41"/>
  <c r="I353" i="41"/>
  <c r="I354" i="41"/>
  <c r="I355" i="41"/>
  <c r="I356" i="41"/>
  <c r="I357" i="41"/>
  <c r="I358" i="41"/>
  <c r="I359" i="41"/>
  <c r="I360" i="41"/>
  <c r="I361" i="41"/>
  <c r="I362" i="41"/>
  <c r="I363" i="41"/>
  <c r="I364" i="41"/>
  <c r="I365" i="41"/>
  <c r="I366" i="41"/>
  <c r="I367" i="41"/>
  <c r="I368" i="41"/>
  <c r="I369" i="41"/>
  <c r="I370" i="41"/>
  <c r="I371" i="41"/>
  <c r="I372" i="41"/>
  <c r="I373" i="41"/>
  <c r="I374" i="41"/>
  <c r="I375" i="41"/>
  <c r="I376" i="41"/>
  <c r="I377" i="41"/>
  <c r="I378" i="41"/>
  <c r="I379" i="41"/>
  <c r="I380" i="41"/>
  <c r="I381" i="41"/>
  <c r="I318" i="41"/>
  <c r="I319" i="41"/>
  <c r="I320" i="41"/>
  <c r="I321" i="41"/>
  <c r="I322" i="41"/>
  <c r="I323" i="41"/>
  <c r="I324" i="41"/>
  <c r="I325" i="41"/>
  <c r="I326" i="41"/>
  <c r="I327" i="41"/>
  <c r="I328" i="41"/>
  <c r="I329" i="41"/>
  <c r="I330" i="41"/>
  <c r="I331" i="41"/>
  <c r="I332" i="41"/>
  <c r="I333" i="41"/>
  <c r="I334" i="41"/>
  <c r="I335" i="41"/>
  <c r="I336" i="41"/>
  <c r="I337" i="41"/>
  <c r="I338" i="41"/>
  <c r="I339" i="41"/>
  <c r="I340" i="41"/>
  <c r="I341" i="41"/>
  <c r="I342" i="41"/>
  <c r="I256" i="41"/>
  <c r="I257" i="41"/>
  <c r="I258" i="41"/>
  <c r="I259" i="41"/>
  <c r="I260" i="41"/>
  <c r="I262" i="41"/>
  <c r="I263" i="41"/>
  <c r="I264" i="41"/>
  <c r="I265" i="41"/>
  <c r="I266" i="41"/>
  <c r="I267" i="41"/>
  <c r="I268" i="41"/>
  <c r="I269" i="41"/>
  <c r="I270" i="41"/>
  <c r="I271" i="41"/>
  <c r="I272" i="41"/>
  <c r="I273" i="41"/>
  <c r="I274" i="41"/>
  <c r="I275" i="41"/>
  <c r="I276" i="41"/>
  <c r="I277" i="41"/>
  <c r="I278" i="41"/>
  <c r="I279" i="41"/>
  <c r="I218" i="41"/>
  <c r="I219" i="41"/>
  <c r="I220" i="41"/>
  <c r="I221" i="41"/>
  <c r="I222" i="41"/>
  <c r="I223" i="41"/>
  <c r="I224" i="41"/>
  <c r="I225" i="41"/>
  <c r="I226" i="41"/>
  <c r="I227" i="41"/>
  <c r="I228" i="41"/>
  <c r="I229" i="41"/>
  <c r="I230" i="41"/>
  <c r="I232" i="41"/>
  <c r="I233" i="41"/>
  <c r="I234" i="41"/>
  <c r="I235" i="41"/>
  <c r="I236" i="41"/>
  <c r="I237" i="41"/>
  <c r="I238" i="41"/>
  <c r="I239" i="41"/>
  <c r="I240" i="41"/>
  <c r="I241" i="41"/>
  <c r="I242" i="41"/>
  <c r="I243" i="41"/>
  <c r="I244" i="41"/>
  <c r="I245" i="41"/>
  <c r="I246" i="41"/>
  <c r="I247" i="41"/>
  <c r="I248" i="41"/>
  <c r="I125" i="41"/>
  <c r="I126" i="41"/>
  <c r="I127" i="41"/>
  <c r="I128" i="41"/>
  <c r="I129" i="41"/>
  <c r="I131" i="41"/>
  <c r="I132" i="41"/>
  <c r="I133" i="41"/>
  <c r="I134" i="41"/>
  <c r="I135" i="41"/>
  <c r="I136" i="41"/>
  <c r="I137" i="41"/>
  <c r="I138" i="41"/>
  <c r="I139" i="41"/>
  <c r="I140" i="41"/>
  <c r="I141" i="41"/>
  <c r="I142" i="41"/>
  <c r="I143" i="41"/>
  <c r="I144" i="41"/>
  <c r="I145" i="41"/>
  <c r="I146" i="41"/>
  <c r="I147" i="41"/>
  <c r="I148" i="41"/>
  <c r="I51" i="41"/>
  <c r="I52" i="41"/>
  <c r="I53" i="41"/>
  <c r="I54" i="41"/>
  <c r="I55" i="41"/>
  <c r="I56" i="41"/>
  <c r="I57" i="41"/>
  <c r="I58" i="41"/>
  <c r="I59" i="41"/>
  <c r="I60" i="41"/>
  <c r="I61" i="41"/>
  <c r="I62" i="41"/>
  <c r="I64" i="41"/>
  <c r="I65" i="41"/>
  <c r="I66" i="41"/>
  <c r="I67" i="41"/>
  <c r="I68" i="41"/>
  <c r="I69" i="41"/>
  <c r="I88" i="41"/>
  <c r="I89" i="41"/>
  <c r="I90" i="41"/>
  <c r="I91" i="41"/>
  <c r="I92" i="41"/>
  <c r="I93" i="41"/>
  <c r="I94" i="41"/>
  <c r="I95" i="41"/>
  <c r="I96" i="41"/>
  <c r="I97" i="41"/>
  <c r="I98" i="41"/>
  <c r="I99" i="41"/>
  <c r="I101" i="41"/>
  <c r="I102" i="41"/>
  <c r="I103" i="41"/>
  <c r="I104" i="41"/>
  <c r="I105" i="41"/>
  <c r="I106" i="41"/>
  <c r="I70" i="41"/>
  <c r="I71" i="41"/>
  <c r="I107" i="41"/>
  <c r="I108" i="41"/>
  <c r="I72" i="41"/>
  <c r="I73" i="41"/>
  <c r="I74" i="41"/>
  <c r="I109" i="41"/>
  <c r="I110" i="41"/>
  <c r="I111" i="41"/>
  <c r="I75" i="41"/>
  <c r="I76" i="41"/>
  <c r="I77" i="41"/>
  <c r="I78" i="41"/>
  <c r="I79" i="41"/>
  <c r="I80" i="41"/>
  <c r="I112" i="41"/>
  <c r="I113" i="41"/>
  <c r="I114" i="41"/>
  <c r="I115" i="41"/>
  <c r="I116" i="41"/>
  <c r="I117" i="41"/>
  <c r="I14" i="41"/>
  <c r="I15" i="41"/>
  <c r="I16" i="41"/>
  <c r="I17" i="41"/>
  <c r="I18" i="41"/>
  <c r="I19" i="41"/>
  <c r="I20" i="41"/>
  <c r="I21" i="41"/>
  <c r="I22" i="41"/>
  <c r="I23" i="41"/>
  <c r="I24" i="41"/>
  <c r="I25" i="41"/>
  <c r="I27" i="41"/>
  <c r="I28" i="41"/>
  <c r="I29" i="41"/>
  <c r="I30" i="41"/>
  <c r="I31" i="41"/>
  <c r="I32" i="41"/>
  <c r="I33" i="41"/>
  <c r="I34" i="41"/>
  <c r="I35" i="41"/>
  <c r="I36" i="41"/>
  <c r="I37" i="41"/>
  <c r="I38" i="41"/>
  <c r="I39" i="41"/>
  <c r="I40" i="41"/>
  <c r="I41" i="41"/>
  <c r="I42" i="41"/>
  <c r="I43" i="41"/>
  <c r="I653" i="41"/>
  <c r="I655" i="41"/>
  <c r="I620" i="41"/>
  <c r="I621" i="41"/>
  <c r="I622" i="41"/>
  <c r="I623" i="41"/>
  <c r="I624" i="41"/>
  <c r="I626" i="41"/>
  <c r="I627" i="41"/>
  <c r="I628" i="41"/>
  <c r="I629" i="41"/>
  <c r="I630" i="41"/>
  <c r="I631" i="41"/>
  <c r="I632" i="41"/>
  <c r="I633" i="41"/>
  <c r="I634" i="41"/>
  <c r="I635" i="41"/>
  <c r="I636" i="41"/>
  <c r="I637" i="41"/>
  <c r="I638" i="41"/>
  <c r="I639" i="41"/>
  <c r="I640" i="41"/>
  <c r="I641" i="41"/>
  <c r="I642" i="41"/>
  <c r="I643" i="41"/>
  <c r="I644" i="41"/>
  <c r="I645" i="41"/>
  <c r="AY145" i="40"/>
  <c r="AY136" i="40"/>
  <c r="AY128" i="40"/>
  <c r="AY119" i="40"/>
  <c r="AY110" i="40"/>
  <c r="AY101" i="40"/>
  <c r="AY92" i="40"/>
  <c r="AY156" i="40" s="1"/>
  <c r="AY176" i="40" s="1"/>
  <c r="AY187" i="40" s="1"/>
  <c r="AY84" i="40"/>
  <c r="AY75" i="40"/>
  <c r="AY66" i="40"/>
  <c r="AY57" i="40"/>
  <c r="AY48" i="40"/>
  <c r="AY39" i="40"/>
  <c r="AY165" i="40"/>
  <c r="BA145" i="40"/>
  <c r="BA156" i="40" s="1"/>
  <c r="BA176" i="40" s="1"/>
  <c r="BA187" i="40" s="1"/>
  <c r="BA136" i="40"/>
  <c r="BA128" i="40"/>
  <c r="BA119" i="40"/>
  <c r="BA110" i="40"/>
  <c r="BA101" i="40"/>
  <c r="BA92" i="40"/>
  <c r="BA84" i="40"/>
  <c r="BA75" i="40"/>
  <c r="BA66" i="40"/>
  <c r="BA57" i="40"/>
  <c r="BA48" i="40"/>
  <c r="BA39" i="40"/>
  <c r="BA165" i="40"/>
  <c r="G50" i="6"/>
  <c r="G65" i="6"/>
  <c r="G80" i="6"/>
  <c r="B3" i="40"/>
  <c r="A3" i="40"/>
  <c r="I668" i="5"/>
  <c r="D180" i="40" s="1"/>
  <c r="I667" i="41"/>
  <c r="F180" i="40" s="1"/>
  <c r="I607" i="5"/>
  <c r="I608" i="5"/>
  <c r="I609" i="5"/>
  <c r="I610" i="5"/>
  <c r="I611" i="5"/>
  <c r="I612" i="5"/>
  <c r="I607" i="41"/>
  <c r="I608" i="41"/>
  <c r="I609" i="41"/>
  <c r="I610" i="41"/>
  <c r="I611" i="41"/>
  <c r="I612" i="41"/>
  <c r="I604" i="5"/>
  <c r="I605" i="5"/>
  <c r="I606" i="5"/>
  <c r="I604" i="41"/>
  <c r="I605" i="41"/>
  <c r="I606" i="41"/>
  <c r="I602" i="5"/>
  <c r="I603" i="5"/>
  <c r="I602" i="41"/>
  <c r="I603" i="41"/>
  <c r="I589" i="5"/>
  <c r="I590" i="5"/>
  <c r="I591" i="5"/>
  <c r="I592" i="5"/>
  <c r="I593" i="5"/>
  <c r="I594" i="5"/>
  <c r="I596" i="5"/>
  <c r="I597" i="5"/>
  <c r="I598" i="5"/>
  <c r="I599" i="5"/>
  <c r="I600" i="5"/>
  <c r="I601" i="5"/>
  <c r="I589" i="41"/>
  <c r="I590" i="41"/>
  <c r="I591" i="41"/>
  <c r="I592" i="41"/>
  <c r="I593" i="41"/>
  <c r="I594" i="41"/>
  <c r="I596" i="41"/>
  <c r="I597" i="41"/>
  <c r="I598" i="41"/>
  <c r="I599" i="41"/>
  <c r="I600" i="41"/>
  <c r="I601" i="41"/>
  <c r="E1" i="3"/>
  <c r="E46" i="3"/>
  <c r="F46" i="3"/>
  <c r="F104" i="3" s="1"/>
  <c r="F106" i="3" s="1"/>
  <c r="F114" i="3" s="1"/>
  <c r="F680" i="5" s="1"/>
  <c r="E77" i="3"/>
  <c r="F77" i="3"/>
  <c r="E93" i="3"/>
  <c r="F93" i="3"/>
  <c r="E102" i="3"/>
  <c r="F102" i="3"/>
  <c r="E112" i="3"/>
  <c r="F112" i="3"/>
  <c r="C1" i="4"/>
  <c r="E1" i="4"/>
  <c r="E44" i="4"/>
  <c r="F44" i="4"/>
  <c r="C1" i="5"/>
  <c r="E1" i="5"/>
  <c r="G659" i="5"/>
  <c r="I664" i="5"/>
  <c r="D181" i="40" s="1"/>
  <c r="I665" i="5"/>
  <c r="I667" i="5"/>
  <c r="D184" i="40" s="1"/>
  <c r="BI184" i="40" s="1"/>
  <c r="I669" i="5"/>
  <c r="D179" i="40" s="1"/>
  <c r="E670" i="5"/>
  <c r="F670" i="5"/>
  <c r="C1" i="43"/>
  <c r="E1" i="43"/>
  <c r="I5" i="43"/>
  <c r="C7" i="29" s="1"/>
  <c r="I7" i="43"/>
  <c r="C10" i="29" s="1"/>
  <c r="I8" i="43"/>
  <c r="C12" i="29" s="1"/>
  <c r="N12" i="29" s="1"/>
  <c r="I9" i="43"/>
  <c r="I10" i="43"/>
  <c r="I11" i="43"/>
  <c r="I12" i="43"/>
  <c r="I13" i="43"/>
  <c r="I14" i="43"/>
  <c r="I15" i="43"/>
  <c r="I16" i="43"/>
  <c r="I17" i="43"/>
  <c r="I18" i="43"/>
  <c r="I19" i="43"/>
  <c r="I20" i="43"/>
  <c r="I21" i="43"/>
  <c r="I22" i="43"/>
  <c r="I23" i="43"/>
  <c r="I24" i="43"/>
  <c r="I25" i="43"/>
  <c r="I26" i="43"/>
  <c r="I27" i="43"/>
  <c r="I28" i="43"/>
  <c r="I29" i="43"/>
  <c r="I30" i="43"/>
  <c r="I31" i="43"/>
  <c r="I32" i="43"/>
  <c r="I33" i="43"/>
  <c r="I34" i="43"/>
  <c r="I35" i="43"/>
  <c r="I36" i="43"/>
  <c r="I37" i="43"/>
  <c r="I38" i="43"/>
  <c r="I39" i="43"/>
  <c r="I40" i="43"/>
  <c r="I41" i="43"/>
  <c r="I42" i="43"/>
  <c r="I44" i="43"/>
  <c r="D46" i="43"/>
  <c r="E46" i="43"/>
  <c r="F46" i="43"/>
  <c r="G46" i="43"/>
  <c r="H46" i="43"/>
  <c r="I49" i="43"/>
  <c r="I52" i="43"/>
  <c r="C11" i="29" s="1"/>
  <c r="I53" i="43"/>
  <c r="I54" i="43"/>
  <c r="I55" i="43"/>
  <c r="I56" i="43"/>
  <c r="I57" i="43"/>
  <c r="I58" i="43"/>
  <c r="I59" i="43"/>
  <c r="I60" i="43"/>
  <c r="I61" i="43"/>
  <c r="I62" i="43"/>
  <c r="I63" i="43"/>
  <c r="I64" i="43"/>
  <c r="I65" i="43"/>
  <c r="I66" i="43"/>
  <c r="I67" i="43"/>
  <c r="I68" i="43"/>
  <c r="I69" i="43"/>
  <c r="I70" i="43"/>
  <c r="I71" i="43"/>
  <c r="I72" i="43"/>
  <c r="I73" i="43"/>
  <c r="D75" i="43"/>
  <c r="E75" i="43"/>
  <c r="F75" i="43"/>
  <c r="G75" i="43"/>
  <c r="H75" i="43"/>
  <c r="I78" i="43"/>
  <c r="I79" i="43"/>
  <c r="I80" i="43"/>
  <c r="I81" i="43"/>
  <c r="I82" i="43"/>
  <c r="I83" i="43"/>
  <c r="I84" i="43"/>
  <c r="I85" i="43"/>
  <c r="I86" i="43"/>
  <c r="I87" i="43"/>
  <c r="I88" i="43"/>
  <c r="D90" i="43"/>
  <c r="E90" i="43"/>
  <c r="F90" i="43"/>
  <c r="G90" i="43"/>
  <c r="H90" i="43"/>
  <c r="I93" i="43"/>
  <c r="I97" i="43" s="1"/>
  <c r="I94" i="43"/>
  <c r="C19" i="29" s="1"/>
  <c r="I95" i="43"/>
  <c r="I96" i="43"/>
  <c r="D97" i="43"/>
  <c r="E97" i="43"/>
  <c r="F97" i="43"/>
  <c r="G97" i="43"/>
  <c r="H97" i="43"/>
  <c r="I103" i="43"/>
  <c r="I107" i="43" s="1"/>
  <c r="F23" i="40" s="1"/>
  <c r="I104" i="43"/>
  <c r="C34" i="24" s="1"/>
  <c r="I105" i="43"/>
  <c r="D107" i="43"/>
  <c r="E107" i="43"/>
  <c r="F107" i="43"/>
  <c r="G107" i="43"/>
  <c r="H107" i="43"/>
  <c r="C1" i="42"/>
  <c r="E1" i="42"/>
  <c r="C1" i="41"/>
  <c r="E1" i="41"/>
  <c r="I664" i="41"/>
  <c r="F181" i="40" s="1"/>
  <c r="I665" i="41"/>
  <c r="F183" i="40" s="1"/>
  <c r="I666" i="41"/>
  <c r="F184" i="40" s="1"/>
  <c r="I668" i="41"/>
  <c r="F179" i="40" s="1"/>
  <c r="E669" i="41"/>
  <c r="F669" i="41"/>
  <c r="G669" i="41"/>
  <c r="H669" i="41"/>
  <c r="C1" i="9"/>
  <c r="E1" i="9"/>
  <c r="F16" i="9"/>
  <c r="F18" i="9" s="1"/>
  <c r="F52" i="9" s="1"/>
  <c r="E39" i="9"/>
  <c r="E47" i="9"/>
  <c r="F47" i="9"/>
  <c r="E49" i="9"/>
  <c r="E54" i="9" s="1"/>
  <c r="C1" i="34"/>
  <c r="E1" i="34"/>
  <c r="E17" i="34"/>
  <c r="E19" i="34" s="1"/>
  <c r="E132" i="34" s="1"/>
  <c r="F17" i="34"/>
  <c r="F19" i="34" s="1"/>
  <c r="F132" i="34" s="1"/>
  <c r="G17" i="34"/>
  <c r="G19" i="34" s="1"/>
  <c r="G132" i="34" s="1"/>
  <c r="H17" i="34"/>
  <c r="H19" i="34" s="1"/>
  <c r="H132" i="34" s="1"/>
  <c r="E127" i="34"/>
  <c r="F127" i="34"/>
  <c r="G127" i="34"/>
  <c r="H127" i="34"/>
  <c r="C1" i="6"/>
  <c r="E1" i="6"/>
  <c r="E27" i="6"/>
  <c r="E29" i="6" s="1"/>
  <c r="E85" i="6" s="1"/>
  <c r="F27" i="6"/>
  <c r="F29" i="6" s="1"/>
  <c r="F85" i="6" s="1"/>
  <c r="G27" i="6"/>
  <c r="G29" i="6" s="1"/>
  <c r="G85" i="6" s="1"/>
  <c r="H27" i="6"/>
  <c r="H29" i="6" s="1"/>
  <c r="H85" i="6" s="1"/>
  <c r="E50" i="6"/>
  <c r="E82" i="6" s="1"/>
  <c r="F50" i="6"/>
  <c r="H50" i="6"/>
  <c r="F65" i="6"/>
  <c r="H65" i="6"/>
  <c r="F80" i="6"/>
  <c r="H80" i="6"/>
  <c r="F179" i="7"/>
  <c r="G179" i="7"/>
  <c r="I179" i="7"/>
  <c r="I181" i="7" s="1"/>
  <c r="G181" i="7"/>
  <c r="C1" i="8"/>
  <c r="E1" i="8"/>
  <c r="E17" i="8"/>
  <c r="E19" i="8" s="1"/>
  <c r="E68" i="8" s="1"/>
  <c r="F17" i="8"/>
  <c r="F19" i="8" s="1"/>
  <c r="F68" i="8" s="1"/>
  <c r="G17" i="8"/>
  <c r="G19" i="8" s="1"/>
  <c r="G68" i="8" s="1"/>
  <c r="H17" i="8"/>
  <c r="H19" i="8" s="1"/>
  <c r="H68" i="8" s="1"/>
  <c r="E53" i="8"/>
  <c r="E55" i="8" s="1"/>
  <c r="H53" i="8"/>
  <c r="E63" i="8"/>
  <c r="F63" i="8"/>
  <c r="G63" i="8"/>
  <c r="H63" i="8"/>
  <c r="C1" i="10"/>
  <c r="E1" i="10"/>
  <c r="I6" i="10"/>
  <c r="I8" i="10"/>
  <c r="I9" i="10"/>
  <c r="I10" i="10"/>
  <c r="I11" i="10"/>
  <c r="I12" i="10"/>
  <c r="I13" i="10"/>
  <c r="I14" i="10"/>
  <c r="I15" i="10"/>
  <c r="I16" i="10"/>
  <c r="I17" i="10"/>
  <c r="V25" i="40" s="1"/>
  <c r="I18" i="10"/>
  <c r="E20" i="10"/>
  <c r="E22" i="10" s="1"/>
  <c r="E51" i="10" s="1"/>
  <c r="F20" i="10"/>
  <c r="F22" i="10"/>
  <c r="F51" i="10" s="1"/>
  <c r="G20" i="10"/>
  <c r="H20" i="10"/>
  <c r="H22" i="10" s="1"/>
  <c r="H51" i="10" s="1"/>
  <c r="G22" i="10"/>
  <c r="G51" i="10" s="1"/>
  <c r="I26" i="10"/>
  <c r="I29" i="10"/>
  <c r="V43" i="40" s="1"/>
  <c r="I30" i="10"/>
  <c r="V44" i="40" s="1"/>
  <c r="I31" i="10"/>
  <c r="I32" i="10"/>
  <c r="I33" i="10"/>
  <c r="V45" i="40" s="1"/>
  <c r="I34" i="10"/>
  <c r="V46" i="40" s="1"/>
  <c r="I35" i="10"/>
  <c r="I36" i="10"/>
  <c r="V47" i="40" s="1"/>
  <c r="E38" i="10"/>
  <c r="E48" i="10" s="1"/>
  <c r="F38" i="10"/>
  <c r="G38" i="10"/>
  <c r="H38" i="10"/>
  <c r="H48" i="10" s="1"/>
  <c r="I41" i="10"/>
  <c r="V181" i="40" s="1"/>
  <c r="I42" i="10"/>
  <c r="I43" i="10"/>
  <c r="V184" i="40" s="1"/>
  <c r="I44" i="10"/>
  <c r="V180" i="40" s="1"/>
  <c r="I45" i="10"/>
  <c r="V179" i="40" s="1"/>
  <c r="E46" i="10"/>
  <c r="F46" i="10"/>
  <c r="G46" i="10"/>
  <c r="H46" i="10"/>
  <c r="C1" i="11"/>
  <c r="E1" i="11"/>
  <c r="E16" i="11"/>
  <c r="E18" i="11" s="1"/>
  <c r="E70" i="11" s="1"/>
  <c r="F16" i="11"/>
  <c r="F18" i="11" s="1"/>
  <c r="F70" i="11" s="1"/>
  <c r="G16" i="11"/>
  <c r="G18" i="11" s="1"/>
  <c r="G70" i="11" s="1"/>
  <c r="H16" i="11"/>
  <c r="H18" i="11" s="1"/>
  <c r="H70" i="11" s="1"/>
  <c r="E35" i="11"/>
  <c r="F35" i="11"/>
  <c r="G35" i="11"/>
  <c r="H35" i="11"/>
  <c r="E47" i="11"/>
  <c r="F47" i="11"/>
  <c r="G47" i="11"/>
  <c r="H47" i="11"/>
  <c r="H55" i="11"/>
  <c r="E65" i="11"/>
  <c r="F65" i="11"/>
  <c r="G65" i="11"/>
  <c r="H65" i="11"/>
  <c r="C1" i="12"/>
  <c r="E1" i="12"/>
  <c r="E22" i="12"/>
  <c r="E24" i="12" s="1"/>
  <c r="E49" i="12" s="1"/>
  <c r="F22" i="12"/>
  <c r="F24" i="12" s="1"/>
  <c r="F49" i="12" s="1"/>
  <c r="G22" i="12"/>
  <c r="G24" i="12" s="1"/>
  <c r="G49" i="12" s="1"/>
  <c r="H22" i="12"/>
  <c r="H24" i="12" s="1"/>
  <c r="H49" i="12" s="1"/>
  <c r="E37" i="12"/>
  <c r="F37" i="12"/>
  <c r="G37" i="12"/>
  <c r="G46" i="12" s="1"/>
  <c r="E44" i="12"/>
  <c r="E46" i="12" s="1"/>
  <c r="E51" i="12" s="1"/>
  <c r="F44" i="12"/>
  <c r="G44" i="12"/>
  <c r="H44" i="12"/>
  <c r="C1" i="13"/>
  <c r="E1" i="13"/>
  <c r="E18" i="13"/>
  <c r="F18" i="13"/>
  <c r="F20" i="13" s="1"/>
  <c r="F55" i="13" s="1"/>
  <c r="G18" i="13"/>
  <c r="H18" i="13"/>
  <c r="E20" i="13"/>
  <c r="E55" i="13" s="1"/>
  <c r="G20" i="13"/>
  <c r="G55" i="13" s="1"/>
  <c r="H20" i="13"/>
  <c r="H55" i="13" s="1"/>
  <c r="E42" i="13"/>
  <c r="F42" i="13"/>
  <c r="H42" i="13"/>
  <c r="E50" i="13"/>
  <c r="E52" i="13" s="1"/>
  <c r="F50" i="13"/>
  <c r="G50" i="13"/>
  <c r="H50" i="13"/>
  <c r="H52" i="13" s="1"/>
  <c r="H57" i="13" s="1"/>
  <c r="C1" i="14"/>
  <c r="E1" i="14"/>
  <c r="E15" i="14"/>
  <c r="E17" i="14" s="1"/>
  <c r="E43" i="14" s="1"/>
  <c r="F15" i="14"/>
  <c r="F17" i="14" s="1"/>
  <c r="F43" i="14" s="1"/>
  <c r="G15" i="14"/>
  <c r="H15" i="14"/>
  <c r="H17" i="14" s="1"/>
  <c r="H43" i="14" s="1"/>
  <c r="G17" i="14"/>
  <c r="G43" i="14" s="1"/>
  <c r="E30" i="14"/>
  <c r="F30" i="14"/>
  <c r="G30" i="14"/>
  <c r="H30" i="14"/>
  <c r="E38" i="14"/>
  <c r="F38" i="14"/>
  <c r="F40" i="14" s="1"/>
  <c r="F45" i="14" s="1"/>
  <c r="G38" i="14"/>
  <c r="G40" i="14" s="1"/>
  <c r="H38" i="14"/>
  <c r="E40" i="14"/>
  <c r="H40" i="14"/>
  <c r="H45" i="14" s="1"/>
  <c r="C1" i="37"/>
  <c r="E1" i="37"/>
  <c r="E25" i="37"/>
  <c r="E27" i="37" s="1"/>
  <c r="E91" i="37" s="1"/>
  <c r="F25" i="37"/>
  <c r="F27" i="37" s="1"/>
  <c r="F91" i="37" s="1"/>
  <c r="G25" i="37"/>
  <c r="G27" i="37" s="1"/>
  <c r="G91" i="37" s="1"/>
  <c r="H25" i="37"/>
  <c r="H27" i="37" s="1"/>
  <c r="H91" i="37" s="1"/>
  <c r="F50" i="37"/>
  <c r="G50" i="37"/>
  <c r="H50" i="37"/>
  <c r="H76" i="37"/>
  <c r="H78" i="37" s="1"/>
  <c r="E86" i="37"/>
  <c r="F86" i="37"/>
  <c r="G86" i="37"/>
  <c r="C1" i="16"/>
  <c r="E1" i="16"/>
  <c r="E22" i="16"/>
  <c r="E24" i="16" s="1"/>
  <c r="E60" i="16" s="1"/>
  <c r="F22" i="16"/>
  <c r="F24" i="16" s="1"/>
  <c r="F60" i="16" s="1"/>
  <c r="G22" i="16"/>
  <c r="G24" i="16" s="1"/>
  <c r="G60" i="16" s="1"/>
  <c r="H22" i="16"/>
  <c r="H24" i="16" s="1"/>
  <c r="H60" i="16" s="1"/>
  <c r="E47" i="16"/>
  <c r="F47" i="16"/>
  <c r="H47" i="16"/>
  <c r="E55" i="16"/>
  <c r="F55" i="16"/>
  <c r="G55" i="16"/>
  <c r="H55" i="16"/>
  <c r="I66" i="16"/>
  <c r="C1" i="17"/>
  <c r="E1" i="17"/>
  <c r="E19" i="17"/>
  <c r="E50" i="17" s="1"/>
  <c r="F19" i="17"/>
  <c r="G19" i="17"/>
  <c r="H19" i="17"/>
  <c r="H50" i="17" s="1"/>
  <c r="E37" i="17"/>
  <c r="F37" i="17"/>
  <c r="G37" i="17"/>
  <c r="H37" i="17"/>
  <c r="E45" i="17"/>
  <c r="E47" i="17" s="1"/>
  <c r="E52" i="17" s="1"/>
  <c r="F45" i="17"/>
  <c r="G45" i="17"/>
  <c r="H45" i="17"/>
  <c r="H47" i="17" s="1"/>
  <c r="H52" i="17" s="1"/>
  <c r="F47" i="17"/>
  <c r="F52" i="17" s="1"/>
  <c r="G47" i="17"/>
  <c r="F50" i="17"/>
  <c r="G50" i="17"/>
  <c r="G52" i="17"/>
  <c r="I56" i="17"/>
  <c r="C1" i="18"/>
  <c r="E1" i="18"/>
  <c r="E15" i="18"/>
  <c r="E17" i="18" s="1"/>
  <c r="F15" i="18"/>
  <c r="G15" i="18"/>
  <c r="G17" i="18" s="1"/>
  <c r="H15" i="18"/>
  <c r="F17" i="18"/>
  <c r="F48" i="18" s="1"/>
  <c r="H17" i="18"/>
  <c r="H48" i="18" s="1"/>
  <c r="E43" i="18"/>
  <c r="E45" i="18" s="1"/>
  <c r="F43" i="18"/>
  <c r="G43" i="18"/>
  <c r="G45" i="18" s="1"/>
  <c r="H43" i="18"/>
  <c r="H45" i="18" s="1"/>
  <c r="F45" i="18"/>
  <c r="E48" i="18"/>
  <c r="G48" i="18"/>
  <c r="C1" i="19"/>
  <c r="E1" i="19"/>
  <c r="E19" i="19"/>
  <c r="E21" i="19" s="1"/>
  <c r="F19" i="19"/>
  <c r="F21" i="19" s="1"/>
  <c r="F52" i="19" s="1"/>
  <c r="G19" i="19"/>
  <c r="H19" i="19"/>
  <c r="H21" i="19" s="1"/>
  <c r="G21" i="19"/>
  <c r="G52" i="19" s="1"/>
  <c r="E47" i="19"/>
  <c r="E49" i="19" s="1"/>
  <c r="E54" i="19" s="1"/>
  <c r="F47" i="19"/>
  <c r="G47" i="19"/>
  <c r="H47" i="19"/>
  <c r="G49" i="19"/>
  <c r="G54" i="19" s="1"/>
  <c r="E52" i="19"/>
  <c r="H52" i="19"/>
  <c r="C1" i="20"/>
  <c r="E1" i="20"/>
  <c r="E14" i="20"/>
  <c r="F14" i="20"/>
  <c r="F16" i="20" s="1"/>
  <c r="F62" i="20" s="1"/>
  <c r="G14" i="20"/>
  <c r="H14" i="20"/>
  <c r="E16" i="20"/>
  <c r="G16" i="20"/>
  <c r="H16" i="20"/>
  <c r="H62" i="20" s="1"/>
  <c r="E34" i="20"/>
  <c r="F34" i="20"/>
  <c r="G34" i="20"/>
  <c r="H34" i="20"/>
  <c r="F48" i="20"/>
  <c r="G48" i="20"/>
  <c r="G50" i="20" s="1"/>
  <c r="H48" i="20"/>
  <c r="H50" i="20" s="1"/>
  <c r="H59" i="20" s="1"/>
  <c r="H64" i="20" s="1"/>
  <c r="F50" i="20"/>
  <c r="F59" i="20" s="1"/>
  <c r="F64" i="20" s="1"/>
  <c r="E57" i="20"/>
  <c r="F57" i="20"/>
  <c r="G57" i="20"/>
  <c r="H57" i="20"/>
  <c r="E62" i="20"/>
  <c r="G62" i="20"/>
  <c r="C1" i="21"/>
  <c r="E1" i="21"/>
  <c r="E13" i="21"/>
  <c r="E15" i="21" s="1"/>
  <c r="E61" i="21" s="1"/>
  <c r="F13" i="21"/>
  <c r="F15" i="21" s="1"/>
  <c r="G13" i="21"/>
  <c r="H13" i="21"/>
  <c r="H15" i="21" s="1"/>
  <c r="H61" i="21" s="1"/>
  <c r="G15" i="21"/>
  <c r="G61" i="21" s="1"/>
  <c r="F33" i="21"/>
  <c r="F49" i="21" s="1"/>
  <c r="F58" i="21" s="1"/>
  <c r="G33" i="21"/>
  <c r="H33" i="21"/>
  <c r="H49" i="21" s="1"/>
  <c r="H58" i="21" s="1"/>
  <c r="H63" i="21" s="1"/>
  <c r="F47" i="21"/>
  <c r="H47" i="21"/>
  <c r="E49" i="21"/>
  <c r="E58" i="21" s="1"/>
  <c r="E56" i="21"/>
  <c r="F56" i="21"/>
  <c r="G56" i="21"/>
  <c r="H56" i="21"/>
  <c r="F61" i="21"/>
  <c r="C1" i="39"/>
  <c r="E1" i="39"/>
  <c r="E13" i="39"/>
  <c r="F13" i="39"/>
  <c r="F15" i="39" s="1"/>
  <c r="G13" i="39"/>
  <c r="H13" i="39"/>
  <c r="E15" i="39"/>
  <c r="E61" i="39" s="1"/>
  <c r="G15" i="39"/>
  <c r="H15" i="39"/>
  <c r="F33" i="39"/>
  <c r="G33" i="39"/>
  <c r="G49" i="39" s="1"/>
  <c r="H33" i="39"/>
  <c r="F47" i="39"/>
  <c r="F49" i="39" s="1"/>
  <c r="F58" i="39" s="1"/>
  <c r="G47" i="39"/>
  <c r="H47" i="39"/>
  <c r="E56" i="39"/>
  <c r="F56" i="39"/>
  <c r="G56" i="39"/>
  <c r="H56" i="39"/>
  <c r="F61" i="39"/>
  <c r="G61" i="39"/>
  <c r="H61" i="39"/>
  <c r="B1" i="22"/>
  <c r="D1" i="22"/>
  <c r="F8" i="22"/>
  <c r="B1" i="25"/>
  <c r="D1" i="25"/>
  <c r="G5" i="25"/>
  <c r="G7" i="25"/>
  <c r="G8" i="25"/>
  <c r="G10" i="25"/>
  <c r="G11" i="25"/>
  <c r="G12" i="25"/>
  <c r="G14" i="25"/>
  <c r="G15" i="25"/>
  <c r="G16" i="25"/>
  <c r="G18" i="25"/>
  <c r="G19" i="25"/>
  <c r="G20" i="25"/>
  <c r="G21" i="25"/>
  <c r="G22" i="25"/>
  <c r="G24" i="25"/>
  <c r="G25" i="25"/>
  <c r="E47" i="25"/>
  <c r="F50" i="25"/>
  <c r="F51" i="25"/>
  <c r="A1" i="28"/>
  <c r="B18" i="32"/>
  <c r="B11" i="32"/>
  <c r="E11" i="32"/>
  <c r="A1" i="29"/>
  <c r="B22" i="29"/>
  <c r="D22" i="29"/>
  <c r="E22" i="29"/>
  <c r="G22" i="29"/>
  <c r="H22" i="29"/>
  <c r="I22" i="29"/>
  <c r="J22" i="29"/>
  <c r="L22" i="29"/>
  <c r="M22" i="29"/>
  <c r="N22" i="29"/>
  <c r="A1" i="30"/>
  <c r="H11" i="30"/>
  <c r="H18" i="30"/>
  <c r="B23" i="30"/>
  <c r="D23" i="30"/>
  <c r="E23" i="30"/>
  <c r="G23" i="30"/>
  <c r="H23" i="30"/>
  <c r="I23" i="30"/>
  <c r="J23" i="30"/>
  <c r="L23" i="30"/>
  <c r="M23" i="30"/>
  <c r="N23" i="30"/>
  <c r="A1" i="31"/>
  <c r="B19" i="31"/>
  <c r="D19" i="31"/>
  <c r="E19" i="31"/>
  <c r="G19" i="31"/>
  <c r="H19" i="31"/>
  <c r="A1" i="32"/>
  <c r="B23" i="32"/>
  <c r="D23" i="32"/>
  <c r="E23" i="32"/>
  <c r="F23" i="32"/>
  <c r="H23" i="32"/>
  <c r="AY154" i="40"/>
  <c r="BA154" i="40"/>
  <c r="W22" i="52"/>
  <c r="V22" i="52"/>
  <c r="U22" i="52"/>
  <c r="T22" i="52"/>
  <c r="S22" i="52"/>
  <c r="R22" i="52"/>
  <c r="Q22" i="52"/>
  <c r="P22" i="52"/>
  <c r="O22" i="52"/>
  <c r="N22" i="52"/>
  <c r="N22" i="47"/>
  <c r="O22" i="47"/>
  <c r="P22" i="47"/>
  <c r="Q22" i="47"/>
  <c r="R22" i="47"/>
  <c r="S22" i="47"/>
  <c r="T22" i="47"/>
  <c r="U22" i="47"/>
  <c r="V22" i="47"/>
  <c r="W22" i="47"/>
  <c r="N32" i="47"/>
  <c r="O32" i="47"/>
  <c r="P32" i="47"/>
  <c r="Q32" i="47"/>
  <c r="R32" i="47"/>
  <c r="S32" i="47"/>
  <c r="T32" i="47"/>
  <c r="U32" i="47"/>
  <c r="V32" i="47"/>
  <c r="W32" i="47"/>
  <c r="N42" i="47"/>
  <c r="O42" i="47"/>
  <c r="P42" i="47"/>
  <c r="Q42" i="47"/>
  <c r="R42" i="47"/>
  <c r="S42" i="47"/>
  <c r="T42" i="47"/>
  <c r="U42" i="47"/>
  <c r="V42" i="47"/>
  <c r="W42" i="47"/>
  <c r="N52" i="47"/>
  <c r="O52" i="47"/>
  <c r="P52" i="47"/>
  <c r="Q52" i="47"/>
  <c r="R52" i="47"/>
  <c r="S52" i="47"/>
  <c r="T52" i="47"/>
  <c r="U52" i="47"/>
  <c r="V52" i="47"/>
  <c r="W52" i="47"/>
  <c r="N62" i="47"/>
  <c r="O62" i="47"/>
  <c r="P62" i="47"/>
  <c r="Q62" i="47"/>
  <c r="R62" i="47"/>
  <c r="S62" i="47"/>
  <c r="T62" i="47"/>
  <c r="U62" i="47"/>
  <c r="V62" i="47"/>
  <c r="W62" i="47"/>
  <c r="N90" i="47"/>
  <c r="O90" i="47"/>
  <c r="P90" i="47"/>
  <c r="Q90" i="47"/>
  <c r="R90" i="47"/>
  <c r="S90" i="47"/>
  <c r="T90" i="47"/>
  <c r="U90" i="47"/>
  <c r="V90" i="47"/>
  <c r="W90" i="47"/>
  <c r="E22" i="47"/>
  <c r="E90" i="47"/>
  <c r="E32" i="47"/>
  <c r="E62" i="47"/>
  <c r="E42" i="47"/>
  <c r="X42" i="47" s="1"/>
  <c r="E52" i="47"/>
  <c r="F22" i="47"/>
  <c r="F90" i="47"/>
  <c r="F32" i="47"/>
  <c r="F62" i="47"/>
  <c r="F42" i="47"/>
  <c r="F52" i="47"/>
  <c r="G22" i="47"/>
  <c r="G90" i="47"/>
  <c r="G32" i="47"/>
  <c r="G62" i="47"/>
  <c r="G42" i="47"/>
  <c r="G52" i="47"/>
  <c r="H22" i="47"/>
  <c r="H90" i="47"/>
  <c r="H32" i="47"/>
  <c r="H62" i="47"/>
  <c r="H42" i="47"/>
  <c r="H52" i="47"/>
  <c r="I22" i="47"/>
  <c r="I90" i="47"/>
  <c r="I32" i="47"/>
  <c r="I62" i="47"/>
  <c r="I42" i="47"/>
  <c r="I52" i="47"/>
  <c r="J22" i="47"/>
  <c r="J90" i="47"/>
  <c r="J32" i="47"/>
  <c r="J62" i="47"/>
  <c r="J42" i="47"/>
  <c r="J52" i="47"/>
  <c r="K22" i="47"/>
  <c r="K90" i="47"/>
  <c r="K32" i="47"/>
  <c r="K62" i="47"/>
  <c r="K42" i="47"/>
  <c r="K52" i="47"/>
  <c r="L22" i="47"/>
  <c r="L90" i="47"/>
  <c r="L32" i="47"/>
  <c r="L62" i="47"/>
  <c r="L42" i="47"/>
  <c r="L52" i="47"/>
  <c r="M22" i="47"/>
  <c r="M90" i="47"/>
  <c r="M32" i="47"/>
  <c r="M62" i="47"/>
  <c r="M42" i="47"/>
  <c r="M52" i="47"/>
  <c r="X84" i="47"/>
  <c r="X82" i="47"/>
  <c r="X56" i="47"/>
  <c r="X54" i="47"/>
  <c r="X46" i="47"/>
  <c r="X44" i="47"/>
  <c r="X36" i="47"/>
  <c r="X34" i="47"/>
  <c r="X26" i="47"/>
  <c r="X24" i="47"/>
  <c r="D89" i="52"/>
  <c r="D32" i="52"/>
  <c r="D62" i="52"/>
  <c r="D42" i="52"/>
  <c r="D52" i="52"/>
  <c r="E22" i="52"/>
  <c r="E89" i="52"/>
  <c r="E32" i="52"/>
  <c r="E62" i="52"/>
  <c r="E42" i="52"/>
  <c r="E52" i="52"/>
  <c r="F22" i="52"/>
  <c r="F89" i="52"/>
  <c r="F32" i="52"/>
  <c r="F62" i="52"/>
  <c r="F42" i="52"/>
  <c r="F52" i="52"/>
  <c r="G22" i="52"/>
  <c r="G89" i="52"/>
  <c r="G32" i="52"/>
  <c r="G62" i="52"/>
  <c r="G42" i="52"/>
  <c r="G52" i="52"/>
  <c r="H22" i="52"/>
  <c r="H89" i="52"/>
  <c r="H32" i="52"/>
  <c r="H62" i="52"/>
  <c r="H42" i="52"/>
  <c r="H52" i="52"/>
  <c r="I22" i="52"/>
  <c r="I89" i="52"/>
  <c r="I32" i="52"/>
  <c r="I62" i="52"/>
  <c r="I42" i="52"/>
  <c r="I52" i="52"/>
  <c r="J22" i="52"/>
  <c r="J89" i="52"/>
  <c r="J32" i="52"/>
  <c r="J62" i="52"/>
  <c r="J42" i="52"/>
  <c r="J52" i="52"/>
  <c r="K22" i="52"/>
  <c r="K89" i="52"/>
  <c r="K32" i="52"/>
  <c r="K62" i="52"/>
  <c r="K42" i="52"/>
  <c r="K52" i="52"/>
  <c r="L22" i="52"/>
  <c r="L89" i="52"/>
  <c r="L32" i="52"/>
  <c r="L62" i="52"/>
  <c r="L42" i="52"/>
  <c r="L52" i="52"/>
  <c r="M22" i="52"/>
  <c r="M89" i="52"/>
  <c r="M32" i="52"/>
  <c r="M62" i="52"/>
  <c r="M42" i="52"/>
  <c r="M52" i="52"/>
  <c r="X83" i="52"/>
  <c r="X81" i="52"/>
  <c r="X56" i="52"/>
  <c r="X54" i="52"/>
  <c r="X46" i="52"/>
  <c r="X44" i="52"/>
  <c r="X36" i="52"/>
  <c r="X34" i="52"/>
  <c r="X26" i="52"/>
  <c r="X24" i="52"/>
  <c r="I47" i="4"/>
  <c r="I83" i="4"/>
  <c r="I119" i="4"/>
  <c r="I155" i="4"/>
  <c r="I191" i="4"/>
  <c r="I226" i="4"/>
  <c r="I262" i="4"/>
  <c r="I298" i="4"/>
  <c r="I334" i="4"/>
  <c r="I371" i="4"/>
  <c r="I408" i="4"/>
  <c r="I445" i="4"/>
  <c r="I482" i="4"/>
  <c r="I519" i="4"/>
  <c r="I556" i="4"/>
  <c r="I593" i="4"/>
  <c r="I630" i="4"/>
  <c r="I668" i="4"/>
  <c r="I705" i="4"/>
  <c r="I742" i="4"/>
  <c r="I779" i="4"/>
  <c r="I816" i="4"/>
  <c r="I853" i="4"/>
  <c r="I890" i="4"/>
  <c r="I927" i="4"/>
  <c r="I964" i="4"/>
  <c r="I1001" i="4"/>
  <c r="I1038" i="4"/>
  <c r="I49" i="4"/>
  <c r="I85" i="4"/>
  <c r="I121" i="4"/>
  <c r="I157" i="4"/>
  <c r="I193" i="4"/>
  <c r="I228" i="4"/>
  <c r="I264" i="4"/>
  <c r="I300" i="4"/>
  <c r="I336" i="4"/>
  <c r="I373" i="4"/>
  <c r="I410" i="4"/>
  <c r="I447" i="4"/>
  <c r="I484" i="4"/>
  <c r="I521" i="4"/>
  <c r="I558" i="4"/>
  <c r="I595" i="4"/>
  <c r="I632" i="4"/>
  <c r="I670" i="4"/>
  <c r="I707" i="4"/>
  <c r="I744" i="4"/>
  <c r="I781" i="4"/>
  <c r="I818" i="4"/>
  <c r="I855" i="4"/>
  <c r="I892" i="4"/>
  <c r="I929" i="4"/>
  <c r="I966" i="4"/>
  <c r="I1003" i="4"/>
  <c r="I1040" i="4"/>
  <c r="I47" i="42"/>
  <c r="I83" i="42"/>
  <c r="I119" i="42"/>
  <c r="I155" i="42"/>
  <c r="I191" i="42"/>
  <c r="I226" i="42"/>
  <c r="I262" i="42"/>
  <c r="I298" i="42"/>
  <c r="I334" i="42"/>
  <c r="I371" i="42"/>
  <c r="I408" i="42"/>
  <c r="I445" i="42"/>
  <c r="I482" i="42"/>
  <c r="I519" i="42"/>
  <c r="I556" i="42"/>
  <c r="I593" i="42"/>
  <c r="I630" i="42"/>
  <c r="I668" i="42"/>
  <c r="I705" i="42"/>
  <c r="I742" i="42"/>
  <c r="I779" i="42"/>
  <c r="I816" i="42"/>
  <c r="I853" i="42"/>
  <c r="I890" i="42"/>
  <c r="I964" i="42"/>
  <c r="I1001" i="42"/>
  <c r="I1038" i="42"/>
  <c r="I49" i="42"/>
  <c r="I85" i="42"/>
  <c r="I121" i="42"/>
  <c r="I157" i="42"/>
  <c r="I193" i="42"/>
  <c r="I228" i="42"/>
  <c r="I264" i="42"/>
  <c r="I300" i="42"/>
  <c r="I336" i="42"/>
  <c r="I373" i="42"/>
  <c r="I410" i="42"/>
  <c r="I447" i="42"/>
  <c r="I484" i="42"/>
  <c r="I521" i="42"/>
  <c r="I558" i="42"/>
  <c r="I595" i="42"/>
  <c r="I632" i="42"/>
  <c r="I670" i="42"/>
  <c r="I707" i="42"/>
  <c r="I744" i="42"/>
  <c r="I781" i="42"/>
  <c r="I818" i="42"/>
  <c r="I855" i="42"/>
  <c r="I892" i="42"/>
  <c r="I966" i="42"/>
  <c r="I1003" i="42"/>
  <c r="I1040" i="42"/>
  <c r="G118" i="5"/>
  <c r="G80" i="4"/>
  <c r="G116" i="4"/>
  <c r="G152" i="4"/>
  <c r="G188" i="4"/>
  <c r="I188" i="4" s="1"/>
  <c r="G223" i="4"/>
  <c r="G259" i="4"/>
  <c r="G295" i="4"/>
  <c r="G331" i="4"/>
  <c r="G367" i="4"/>
  <c r="G405" i="4"/>
  <c r="I405" i="4" s="1"/>
  <c r="G442" i="4"/>
  <c r="G479" i="4"/>
  <c r="I479" i="4" s="1"/>
  <c r="G516" i="4"/>
  <c r="G553" i="4"/>
  <c r="G590" i="4"/>
  <c r="G627" i="4"/>
  <c r="G665" i="4"/>
  <c r="G702" i="4"/>
  <c r="I702" i="4" s="1"/>
  <c r="G739" i="4"/>
  <c r="G776" i="4"/>
  <c r="I776" i="4" s="1"/>
  <c r="G813" i="4"/>
  <c r="G850" i="4"/>
  <c r="G887" i="4"/>
  <c r="G924" i="4"/>
  <c r="G961" i="4"/>
  <c r="G998" i="4"/>
  <c r="I998" i="4" s="1"/>
  <c r="G1035" i="4"/>
  <c r="G1072" i="4"/>
  <c r="I1072" i="4" s="1"/>
  <c r="G118" i="41"/>
  <c r="I118" i="41" s="1"/>
  <c r="G80" i="42"/>
  <c r="G116" i="42"/>
  <c r="G152" i="42"/>
  <c r="G188" i="42"/>
  <c r="G223" i="42"/>
  <c r="G259" i="42"/>
  <c r="I259" i="42" s="1"/>
  <c r="G295" i="42"/>
  <c r="I295" i="42" s="1"/>
  <c r="G331" i="42"/>
  <c r="G367" i="42"/>
  <c r="G405" i="42"/>
  <c r="G442" i="42"/>
  <c r="G479" i="42"/>
  <c r="G516" i="42"/>
  <c r="G553" i="42"/>
  <c r="I553" i="42" s="1"/>
  <c r="G590" i="42"/>
  <c r="I590" i="42" s="1"/>
  <c r="G627" i="42"/>
  <c r="G665" i="42"/>
  <c r="G702" i="42"/>
  <c r="G739" i="42"/>
  <c r="G776" i="42"/>
  <c r="G813" i="42"/>
  <c r="G850" i="42"/>
  <c r="I850" i="42" s="1"/>
  <c r="G887" i="42"/>
  <c r="I887" i="42" s="1"/>
  <c r="G924" i="42"/>
  <c r="G998" i="42"/>
  <c r="G1035" i="42"/>
  <c r="G1072" i="42"/>
  <c r="I80" i="34"/>
  <c r="I531" i="5"/>
  <c r="I533" i="5"/>
  <c r="I84" i="5"/>
  <c r="I86" i="5"/>
  <c r="G551" i="41"/>
  <c r="I531" i="41"/>
  <c r="I84" i="41"/>
  <c r="G551" i="5"/>
  <c r="I551" i="5" s="1"/>
  <c r="I86" i="41"/>
  <c r="I533" i="41"/>
  <c r="G44" i="41"/>
  <c r="G81" i="41"/>
  <c r="G149" i="41"/>
  <c r="I149" i="41" s="1"/>
  <c r="G249" i="41"/>
  <c r="G280" i="41"/>
  <c r="G343" i="41"/>
  <c r="G382" i="41"/>
  <c r="G413" i="41"/>
  <c r="G474" i="41"/>
  <c r="G505" i="41"/>
  <c r="I505" i="41" s="1"/>
  <c r="C16" i="30" s="1"/>
  <c r="G528" i="41"/>
  <c r="I528" i="41" s="1"/>
  <c r="G582" i="41"/>
  <c r="G613" i="41"/>
  <c r="G646" i="41"/>
  <c r="I618" i="41"/>
  <c r="I587" i="41"/>
  <c r="I556" i="41"/>
  <c r="I510" i="41"/>
  <c r="I479" i="41"/>
  <c r="I449" i="41"/>
  <c r="I387" i="41"/>
  <c r="I348" i="41"/>
  <c r="I316" i="41"/>
  <c r="I254" i="41"/>
  <c r="I216" i="41"/>
  <c r="F70" i="40" s="1"/>
  <c r="I123" i="41"/>
  <c r="I49" i="41"/>
  <c r="I12" i="41"/>
  <c r="F43" i="40" s="1"/>
  <c r="I47" i="41"/>
  <c r="I121" i="41"/>
  <c r="I214" i="41"/>
  <c r="F69" i="40" s="1"/>
  <c r="I252" i="41"/>
  <c r="I314" i="41"/>
  <c r="I346" i="41"/>
  <c r="I385" i="41"/>
  <c r="I447" i="41"/>
  <c r="I477" i="41"/>
  <c r="I508" i="41"/>
  <c r="I554" i="41"/>
  <c r="I585" i="41"/>
  <c r="I616" i="41"/>
  <c r="I10" i="41"/>
  <c r="F42" i="40" s="1"/>
  <c r="G149" i="5"/>
  <c r="G343" i="5"/>
  <c r="G382" i="5"/>
  <c r="I382" i="5" s="1"/>
  <c r="B15" i="30" s="1"/>
  <c r="G505" i="5"/>
  <c r="G280" i="5"/>
  <c r="I280" i="5" s="1"/>
  <c r="G413" i="5"/>
  <c r="G474" i="5"/>
  <c r="G528" i="5"/>
  <c r="G646" i="5"/>
  <c r="I646" i="5" s="1"/>
  <c r="G582" i="5"/>
  <c r="I582" i="5" s="1"/>
  <c r="G613" i="5"/>
  <c r="G44" i="5"/>
  <c r="G81" i="5"/>
  <c r="G249" i="5"/>
  <c r="I10" i="5"/>
  <c r="I12" i="5"/>
  <c r="I47" i="5"/>
  <c r="I49" i="5"/>
  <c r="I121" i="5"/>
  <c r="I123" i="5"/>
  <c r="I214" i="5"/>
  <c r="I216" i="5"/>
  <c r="I252" i="5"/>
  <c r="I254" i="5"/>
  <c r="I314" i="5"/>
  <c r="I316" i="5"/>
  <c r="I346" i="5"/>
  <c r="D95" i="40" s="1"/>
  <c r="I348" i="5"/>
  <c r="I385" i="5"/>
  <c r="I387" i="5"/>
  <c r="I447" i="5"/>
  <c r="I449" i="5"/>
  <c r="I477" i="5"/>
  <c r="I479" i="5"/>
  <c r="I508" i="5"/>
  <c r="I510" i="5"/>
  <c r="I554" i="5"/>
  <c r="I556" i="5"/>
  <c r="I585" i="5"/>
  <c r="I587" i="5"/>
  <c r="I616" i="5"/>
  <c r="D159" i="40" s="1"/>
  <c r="I618" i="5"/>
  <c r="I11" i="4"/>
  <c r="I13" i="4"/>
  <c r="I11" i="42"/>
  <c r="I13" i="42"/>
  <c r="I30" i="34"/>
  <c r="J34" i="40" s="1"/>
  <c r="BI34" i="40" s="1"/>
  <c r="I29" i="8"/>
  <c r="I31" i="8"/>
  <c r="D22" i="52"/>
  <c r="X22" i="52" s="1"/>
  <c r="I32" i="16"/>
  <c r="I34" i="16"/>
  <c r="G44" i="4"/>
  <c r="G44" i="42"/>
  <c r="G40" i="8"/>
  <c r="X14" i="52"/>
  <c r="X16" i="52"/>
  <c r="X14" i="47"/>
  <c r="X16" i="47"/>
  <c r="I28" i="34"/>
  <c r="G60" i="34"/>
  <c r="I78" i="34"/>
  <c r="G113" i="34"/>
  <c r="I25" i="54"/>
  <c r="I37" i="54" s="1"/>
  <c r="I27" i="54"/>
  <c r="T34" i="40" s="1"/>
  <c r="G37" i="54"/>
  <c r="E80" i="47"/>
  <c r="E106" i="47"/>
  <c r="F80" i="47"/>
  <c r="F106" i="47"/>
  <c r="G80" i="47"/>
  <c r="G106" i="47"/>
  <c r="H80" i="47"/>
  <c r="H106" i="47"/>
  <c r="I80" i="47"/>
  <c r="I106" i="47"/>
  <c r="J80" i="47"/>
  <c r="J106" i="47"/>
  <c r="K80" i="47"/>
  <c r="K106" i="47"/>
  <c r="L80" i="47"/>
  <c r="L106" i="47"/>
  <c r="M80" i="47"/>
  <c r="M106" i="47"/>
  <c r="D79" i="52"/>
  <c r="D102" i="52"/>
  <c r="E79" i="52"/>
  <c r="E102" i="52"/>
  <c r="E105" i="52" s="1"/>
  <c r="E108" i="52" s="1"/>
  <c r="E113" i="52" s="1"/>
  <c r="F79" i="52"/>
  <c r="F102" i="52"/>
  <c r="G79" i="52"/>
  <c r="G102" i="52"/>
  <c r="H79" i="52"/>
  <c r="H102" i="52"/>
  <c r="I79" i="52"/>
  <c r="I102" i="52"/>
  <c r="J79" i="52"/>
  <c r="J102" i="52"/>
  <c r="K79" i="52"/>
  <c r="K102" i="52"/>
  <c r="L79" i="52"/>
  <c r="L102" i="52"/>
  <c r="M79" i="52"/>
  <c r="M102" i="52"/>
  <c r="X73" i="47"/>
  <c r="X99" i="47"/>
  <c r="X71" i="47"/>
  <c r="X97" i="47"/>
  <c r="X72" i="52"/>
  <c r="X95" i="52"/>
  <c r="X70" i="52"/>
  <c r="X93" i="52"/>
  <c r="N80" i="47"/>
  <c r="N106" i="47"/>
  <c r="O80" i="47"/>
  <c r="O106" i="47"/>
  <c r="P80" i="47"/>
  <c r="P106" i="47"/>
  <c r="Q80" i="47"/>
  <c r="Q106" i="47"/>
  <c r="R80" i="47"/>
  <c r="R106" i="47"/>
  <c r="S80" i="47"/>
  <c r="S106" i="47"/>
  <c r="T80" i="47"/>
  <c r="T106" i="47"/>
  <c r="U80" i="47"/>
  <c r="U106" i="47"/>
  <c r="V80" i="47"/>
  <c r="V106" i="47"/>
  <c r="W80" i="47"/>
  <c r="W106" i="47"/>
  <c r="N79" i="52"/>
  <c r="N102" i="52"/>
  <c r="O79" i="52"/>
  <c r="O102" i="52"/>
  <c r="P79" i="52"/>
  <c r="P102" i="52"/>
  <c r="Q79" i="52"/>
  <c r="Q102" i="52"/>
  <c r="R79" i="52"/>
  <c r="R102" i="52"/>
  <c r="S79" i="52"/>
  <c r="S102" i="52"/>
  <c r="T79" i="52"/>
  <c r="T102" i="52"/>
  <c r="U79" i="52"/>
  <c r="U102" i="52"/>
  <c r="V79" i="52"/>
  <c r="V102" i="52"/>
  <c r="W79" i="52"/>
  <c r="W102" i="52"/>
  <c r="V27" i="40"/>
  <c r="V14" i="40"/>
  <c r="V7" i="40"/>
  <c r="C46" i="24"/>
  <c r="F25" i="40"/>
  <c r="H18" i="29"/>
  <c r="C51" i="24"/>
  <c r="BC10" i="40"/>
  <c r="F10" i="31"/>
  <c r="F14" i="31" s="1"/>
  <c r="E10" i="31"/>
  <c r="E14" i="31" s="1"/>
  <c r="L25" i="40"/>
  <c r="P25" i="40"/>
  <c r="AL38" i="40"/>
  <c r="AP38" i="40"/>
  <c r="G51" i="56"/>
  <c r="I37" i="56"/>
  <c r="BE47" i="40"/>
  <c r="X115" i="52"/>
  <c r="J33" i="40"/>
  <c r="BC25" i="40"/>
  <c r="R27" i="40"/>
  <c r="D25" i="40"/>
  <c r="AP10" i="40"/>
  <c r="AH10" i="40"/>
  <c r="J10" i="40"/>
  <c r="H14" i="40"/>
  <c r="BE25" i="40"/>
  <c r="J86" i="7"/>
  <c r="H19" i="29" s="1"/>
  <c r="G2" i="52"/>
  <c r="J2" i="52"/>
  <c r="R2" i="52"/>
  <c r="AW44" i="40"/>
  <c r="E67" i="7"/>
  <c r="E88" i="7" s="1"/>
  <c r="E184" i="7" s="1"/>
  <c r="G67" i="7"/>
  <c r="G88" i="7" s="1"/>
  <c r="G184" i="7" s="1"/>
  <c r="G186" i="7" s="1"/>
  <c r="I2" i="52"/>
  <c r="C20" i="32"/>
  <c r="C8" i="31"/>
  <c r="C11" i="31"/>
  <c r="C16" i="31"/>
  <c r="F67" i="7"/>
  <c r="F88" i="7" s="1"/>
  <c r="F184" i="7" s="1"/>
  <c r="D50" i="20"/>
  <c r="D59" i="20" s="1"/>
  <c r="D64" i="20" s="1"/>
  <c r="F153" i="7"/>
  <c r="F170" i="7" s="1"/>
  <c r="F181" i="7" s="1"/>
  <c r="F186" i="7" s="1"/>
  <c r="E51" i="56"/>
  <c r="I2" i="47" l="1"/>
  <c r="T2" i="47"/>
  <c r="N109" i="47"/>
  <c r="N112" i="47" s="1"/>
  <c r="N117" i="47" s="1"/>
  <c r="N121" i="47" s="1"/>
  <c r="J2" i="47"/>
  <c r="X119" i="47"/>
  <c r="M109" i="47"/>
  <c r="M112" i="47" s="1"/>
  <c r="M117" i="47" s="1"/>
  <c r="V2" i="47"/>
  <c r="X32" i="47"/>
  <c r="M121" i="47"/>
  <c r="X80" i="47"/>
  <c r="I109" i="47"/>
  <c r="I112" i="47" s="1"/>
  <c r="I117" i="47" s="1"/>
  <c r="I121" i="47" s="1"/>
  <c r="E109" i="47"/>
  <c r="E112" i="47" s="1"/>
  <c r="E117" i="47" s="1"/>
  <c r="E121" i="47" s="1"/>
  <c r="X22" i="47"/>
  <c r="J12" i="40"/>
  <c r="BI12" i="40" s="1"/>
  <c r="J37" i="40"/>
  <c r="BI37" i="40" s="1"/>
  <c r="BI179" i="40"/>
  <c r="BI180" i="40"/>
  <c r="V42" i="40"/>
  <c r="I38" i="10"/>
  <c r="J15" i="30" s="1"/>
  <c r="R185" i="40"/>
  <c r="AC185" i="40"/>
  <c r="F185" i="40"/>
  <c r="P185" i="40"/>
  <c r="V48" i="40"/>
  <c r="N128" i="40"/>
  <c r="N156" i="40" s="1"/>
  <c r="N176" i="40" s="1"/>
  <c r="I22" i="16"/>
  <c r="I47" i="22"/>
  <c r="AN16" i="40"/>
  <c r="AN14" i="40"/>
  <c r="H88" i="37"/>
  <c r="H93" i="37" s="1"/>
  <c r="AJ27" i="40"/>
  <c r="I76" i="37"/>
  <c r="D21" i="32" s="1"/>
  <c r="AJ35" i="40"/>
  <c r="D12" i="31"/>
  <c r="H12" i="31" s="1"/>
  <c r="D13" i="31"/>
  <c r="H13" i="31" s="1"/>
  <c r="G78" i="37"/>
  <c r="G88" i="37" s="1"/>
  <c r="G93" i="37" s="1"/>
  <c r="AJ14" i="40"/>
  <c r="F78" i="37"/>
  <c r="AJ173" i="40"/>
  <c r="F52" i="13"/>
  <c r="F57" i="13" s="1"/>
  <c r="D15" i="31"/>
  <c r="AF27" i="40"/>
  <c r="G52" i="13"/>
  <c r="G57" i="13" s="1"/>
  <c r="H11" i="31"/>
  <c r="I44" i="12"/>
  <c r="B26" i="32" s="1"/>
  <c r="B21" i="32"/>
  <c r="I22" i="12"/>
  <c r="I24" i="12" s="1"/>
  <c r="J19" i="29"/>
  <c r="F57" i="11"/>
  <c r="F67" i="11" s="1"/>
  <c r="F72" i="11" s="1"/>
  <c r="I16" i="11"/>
  <c r="I55" i="11"/>
  <c r="J20" i="30" s="1"/>
  <c r="E57" i="11"/>
  <c r="E67" i="11" s="1"/>
  <c r="E72" i="11" s="1"/>
  <c r="J7" i="29"/>
  <c r="I47" i="11"/>
  <c r="J21" i="30" s="1"/>
  <c r="J15" i="29"/>
  <c r="E53" i="10"/>
  <c r="C54" i="24"/>
  <c r="F52" i="54"/>
  <c r="G47" i="54"/>
  <c r="G52" i="54" s="1"/>
  <c r="T33" i="40"/>
  <c r="T25" i="40"/>
  <c r="T35" i="40"/>
  <c r="H47" i="54"/>
  <c r="H52" i="54" s="1"/>
  <c r="G82" i="6"/>
  <c r="I71" i="6"/>
  <c r="I47" i="6"/>
  <c r="H82" i="6"/>
  <c r="H87" i="6" s="1"/>
  <c r="F82" i="6"/>
  <c r="F87" i="6" s="1"/>
  <c r="R34" i="40"/>
  <c r="F55" i="8"/>
  <c r="F65" i="8" s="1"/>
  <c r="F70" i="8" s="1"/>
  <c r="I63" i="8"/>
  <c r="I26" i="30" s="1"/>
  <c r="I25" i="30"/>
  <c r="E65" i="8"/>
  <c r="E70" i="8" s="1"/>
  <c r="R16" i="40"/>
  <c r="G55" i="8"/>
  <c r="G65" i="8" s="1"/>
  <c r="G70" i="8" s="1"/>
  <c r="H55" i="8"/>
  <c r="N27" i="40"/>
  <c r="N25" i="40"/>
  <c r="N10" i="40"/>
  <c r="N16" i="40"/>
  <c r="J43" i="40"/>
  <c r="J27" i="40"/>
  <c r="C39" i="24"/>
  <c r="E15" i="29"/>
  <c r="H129" i="34"/>
  <c r="H134" i="34" s="1"/>
  <c r="J47" i="40"/>
  <c r="F118" i="34"/>
  <c r="F129" i="34" s="1"/>
  <c r="F134" i="34" s="1"/>
  <c r="J36" i="40"/>
  <c r="BI36" i="40" s="1"/>
  <c r="E20" i="29"/>
  <c r="I49" i="9"/>
  <c r="C12" i="27" s="1"/>
  <c r="D7" i="29"/>
  <c r="H54" i="9"/>
  <c r="C47" i="24"/>
  <c r="I47" i="9"/>
  <c r="D26" i="30" s="1"/>
  <c r="F160" i="40"/>
  <c r="I551" i="41"/>
  <c r="F140" i="40"/>
  <c r="F96" i="40"/>
  <c r="C20" i="30"/>
  <c r="I669" i="41"/>
  <c r="C26" i="30" s="1"/>
  <c r="F151" i="40"/>
  <c r="F162" i="40"/>
  <c r="I343" i="41"/>
  <c r="C14" i="30" s="1"/>
  <c r="F114" i="40"/>
  <c r="F89" i="40"/>
  <c r="F95" i="40"/>
  <c r="BI95" i="40" s="1"/>
  <c r="F131" i="40"/>
  <c r="F130" i="40"/>
  <c r="F72" i="40"/>
  <c r="I582" i="41"/>
  <c r="F73" i="40"/>
  <c r="F86" i="40"/>
  <c r="F122" i="40"/>
  <c r="I646" i="41"/>
  <c r="I474" i="41"/>
  <c r="I44" i="41"/>
  <c r="F45" i="40"/>
  <c r="F164" i="40"/>
  <c r="I413" i="41"/>
  <c r="F91" i="40"/>
  <c r="F51" i="40"/>
  <c r="I81" i="41"/>
  <c r="F99" i="40"/>
  <c r="C25" i="30"/>
  <c r="F159" i="40"/>
  <c r="BI159" i="40" s="1"/>
  <c r="F161" i="40"/>
  <c r="F47" i="40"/>
  <c r="F113" i="40"/>
  <c r="F87" i="40"/>
  <c r="F56" i="40"/>
  <c r="F98" i="40"/>
  <c r="F97" i="40"/>
  <c r="F127" i="40"/>
  <c r="E648" i="41"/>
  <c r="F52" i="40"/>
  <c r="BI60" i="40"/>
  <c r="F148" i="40"/>
  <c r="I382" i="41"/>
  <c r="C15" i="30" s="1"/>
  <c r="F139" i="40"/>
  <c r="F149" i="40"/>
  <c r="F123" i="40"/>
  <c r="I613" i="41"/>
  <c r="I280" i="41"/>
  <c r="F54" i="40"/>
  <c r="F74" i="40"/>
  <c r="F117" i="40"/>
  <c r="F126" i="40"/>
  <c r="F144" i="40"/>
  <c r="F143" i="40"/>
  <c r="B1089" i="42"/>
  <c r="I776" i="42"/>
  <c r="I479" i="42"/>
  <c r="I188" i="42"/>
  <c r="I924" i="42"/>
  <c r="I627" i="42"/>
  <c r="I331" i="42"/>
  <c r="B1091" i="42"/>
  <c r="B1086" i="42"/>
  <c r="I813" i="42"/>
  <c r="I516" i="42"/>
  <c r="I152" i="42"/>
  <c r="I405" i="42"/>
  <c r="I1072" i="42"/>
  <c r="I442" i="42"/>
  <c r="I1035" i="42"/>
  <c r="I116" i="42"/>
  <c r="I739" i="42"/>
  <c r="I702" i="42"/>
  <c r="B1081" i="42"/>
  <c r="F1074" i="42"/>
  <c r="B1092" i="42"/>
  <c r="I367" i="42"/>
  <c r="B1102" i="42"/>
  <c r="B1079" i="42"/>
  <c r="E1074" i="42"/>
  <c r="B1095" i="42"/>
  <c r="E99" i="43"/>
  <c r="E101" i="43" s="1"/>
  <c r="E109" i="43" s="1"/>
  <c r="N10" i="29"/>
  <c r="C18" i="29"/>
  <c r="G109" i="43"/>
  <c r="G679" i="41" s="1"/>
  <c r="F27" i="40"/>
  <c r="D113" i="40"/>
  <c r="I474" i="5"/>
  <c r="D98" i="40"/>
  <c r="I249" i="5"/>
  <c r="B10" i="30" s="1"/>
  <c r="B27" i="30"/>
  <c r="D144" i="40"/>
  <c r="BI144" i="40" s="1"/>
  <c r="I505" i="5"/>
  <c r="B16" i="30" s="1"/>
  <c r="D162" i="40"/>
  <c r="BI162" i="40" s="1"/>
  <c r="H648" i="5"/>
  <c r="F648" i="5"/>
  <c r="E648" i="5"/>
  <c r="D151" i="40"/>
  <c r="BI151" i="40" s="1"/>
  <c r="D152" i="40"/>
  <c r="I613" i="5"/>
  <c r="B19" i="30" s="1"/>
  <c r="I343" i="5"/>
  <c r="B14" i="30" s="1"/>
  <c r="BI61" i="40"/>
  <c r="D130" i="40"/>
  <c r="BI130" i="40" s="1"/>
  <c r="D123" i="40"/>
  <c r="BI123" i="40" s="1"/>
  <c r="D87" i="40"/>
  <c r="I118" i="5"/>
  <c r="D45" i="40"/>
  <c r="BI45" i="40" s="1"/>
  <c r="D96" i="40"/>
  <c r="BI96" i="40" s="1"/>
  <c r="D161" i="40"/>
  <c r="BI161" i="40" s="1"/>
  <c r="D88" i="40"/>
  <c r="D139" i="40"/>
  <c r="D69" i="40"/>
  <c r="BI69" i="40" s="1"/>
  <c r="I81" i="5"/>
  <c r="D142" i="40"/>
  <c r="D73" i="40"/>
  <c r="D125" i="40"/>
  <c r="D160" i="40"/>
  <c r="B20" i="30"/>
  <c r="D127" i="40"/>
  <c r="D149" i="40"/>
  <c r="I528" i="5"/>
  <c r="I149" i="5"/>
  <c r="N13" i="30" s="1"/>
  <c r="D74" i="40"/>
  <c r="D71" i="40"/>
  <c r="D100" i="40"/>
  <c r="D126" i="40"/>
  <c r="D135" i="40"/>
  <c r="D143" i="40"/>
  <c r="BI143" i="40" s="1"/>
  <c r="D116" i="40"/>
  <c r="BI116" i="40" s="1"/>
  <c r="D150" i="40"/>
  <c r="D118" i="40"/>
  <c r="D124" i="40"/>
  <c r="C76" i="24"/>
  <c r="D72" i="40"/>
  <c r="BI72" i="40" s="1"/>
  <c r="D89" i="40"/>
  <c r="D133" i="40"/>
  <c r="I44" i="4"/>
  <c r="I850" i="4"/>
  <c r="I553" i="4"/>
  <c r="B1081" i="4"/>
  <c r="I259" i="4"/>
  <c r="I1035" i="4"/>
  <c r="I924" i="4"/>
  <c r="I331" i="4"/>
  <c r="I627" i="4"/>
  <c r="I367" i="4"/>
  <c r="I887" i="4"/>
  <c r="I590" i="4"/>
  <c r="I295" i="4"/>
  <c r="B1090" i="4"/>
  <c r="I739" i="4"/>
  <c r="I442" i="4"/>
  <c r="I152" i="4"/>
  <c r="I961" i="4"/>
  <c r="I665" i="4"/>
  <c r="I80" i="4"/>
  <c r="I223" i="4"/>
  <c r="B1087" i="4"/>
  <c r="B1098" i="4"/>
  <c r="B1084" i="4"/>
  <c r="B1100" i="4"/>
  <c r="B1101" i="4"/>
  <c r="B1093" i="4"/>
  <c r="B1083" i="4"/>
  <c r="D104" i="3"/>
  <c r="D106" i="3" s="1"/>
  <c r="D114" i="3" s="1"/>
  <c r="D680" i="5" s="1"/>
  <c r="I659" i="5"/>
  <c r="I77" i="3"/>
  <c r="B15" i="29" s="1"/>
  <c r="G7" i="29"/>
  <c r="I73" i="6"/>
  <c r="N11" i="29"/>
  <c r="E87" i="6"/>
  <c r="I44" i="42"/>
  <c r="G1074" i="42"/>
  <c r="B10" i="31"/>
  <c r="B14" i="31" s="1"/>
  <c r="I35" i="11"/>
  <c r="B20" i="32"/>
  <c r="B22" i="32" s="1"/>
  <c r="B24" i="32" s="1"/>
  <c r="AC174" i="40"/>
  <c r="AC176" i="40" s="1"/>
  <c r="I37" i="12"/>
  <c r="M19" i="29"/>
  <c r="AU27" i="40"/>
  <c r="I16" i="9"/>
  <c r="I18" i="9" s="1"/>
  <c r="B12" i="27" s="1"/>
  <c r="H10" i="40"/>
  <c r="H18" i="40" s="1"/>
  <c r="H21" i="40" s="1"/>
  <c r="D13" i="29"/>
  <c r="D17" i="29" s="1"/>
  <c r="I47" i="39"/>
  <c r="I49" i="39" s="1"/>
  <c r="I58" i="39" s="1"/>
  <c r="I63" i="39" s="1"/>
  <c r="C28" i="24" s="1"/>
  <c r="BE44" i="40"/>
  <c r="J173" i="40"/>
  <c r="J174" i="40" s="1"/>
  <c r="E21" i="30"/>
  <c r="E64" i="20"/>
  <c r="N2" i="52"/>
  <c r="V2" i="52"/>
  <c r="S2" i="52"/>
  <c r="M2" i="52"/>
  <c r="U2" i="52"/>
  <c r="O2" i="52"/>
  <c r="C20" i="29"/>
  <c r="I113" i="34"/>
  <c r="E12" i="30" s="1"/>
  <c r="E18" i="30" s="1"/>
  <c r="I48" i="20"/>
  <c r="F12" i="32" s="1"/>
  <c r="F18" i="32" s="1"/>
  <c r="BC47" i="40"/>
  <c r="X12" i="47"/>
  <c r="A58" i="53"/>
  <c r="W2" i="52"/>
  <c r="D16" i="31"/>
  <c r="X42" i="52"/>
  <c r="I56" i="21"/>
  <c r="C66" i="24"/>
  <c r="AW25" i="40"/>
  <c r="F15" i="31"/>
  <c r="I13" i="21"/>
  <c r="B1082" i="4"/>
  <c r="D56" i="40"/>
  <c r="I24" i="16"/>
  <c r="AJ10" i="40"/>
  <c r="D10" i="31"/>
  <c r="L183" i="40"/>
  <c r="L185" i="40" s="1"/>
  <c r="J179" i="53"/>
  <c r="F26" i="30" s="1"/>
  <c r="BE33" i="40"/>
  <c r="I33" i="39"/>
  <c r="G8" i="32" s="1"/>
  <c r="G11" i="32" s="1"/>
  <c r="A140" i="53"/>
  <c r="A56" i="53"/>
  <c r="A142" i="53"/>
  <c r="C142" i="53"/>
  <c r="C141" i="53"/>
  <c r="C54" i="53"/>
  <c r="A54" i="53"/>
  <c r="H54" i="53"/>
  <c r="J54" i="53" s="1"/>
  <c r="C59" i="53"/>
  <c r="H60" i="53"/>
  <c r="J60" i="53" s="1"/>
  <c r="C140" i="53"/>
  <c r="C147" i="53"/>
  <c r="C55" i="53"/>
  <c r="I93" i="3"/>
  <c r="Q2" i="52"/>
  <c r="X32" i="52"/>
  <c r="X90" i="47"/>
  <c r="X52" i="47"/>
  <c r="D109" i="47"/>
  <c r="D112" i="47" s="1"/>
  <c r="D117" i="47" s="1"/>
  <c r="D121" i="47" s="1"/>
  <c r="B32" i="27"/>
  <c r="I61" i="39"/>
  <c r="C12" i="26"/>
  <c r="C16" i="26"/>
  <c r="D16" i="26" s="1"/>
  <c r="F16" i="26" s="1"/>
  <c r="B21" i="27"/>
  <c r="I49" i="12"/>
  <c r="X62" i="52"/>
  <c r="F152" i="40"/>
  <c r="D153" i="40"/>
  <c r="F115" i="40"/>
  <c r="F133" i="40"/>
  <c r="D164" i="40"/>
  <c r="B1104" i="4"/>
  <c r="B1097" i="4"/>
  <c r="D47" i="40"/>
  <c r="D90" i="40"/>
  <c r="BI90" i="40" s="1"/>
  <c r="B1104" i="42"/>
  <c r="B1101" i="42"/>
  <c r="B1100" i="42"/>
  <c r="B1099" i="42"/>
  <c r="B1098" i="42"/>
  <c r="B1096" i="42"/>
  <c r="B1094" i="42"/>
  <c r="B1093" i="42"/>
  <c r="B1090" i="42"/>
  <c r="B1087" i="42"/>
  <c r="B1085" i="42"/>
  <c r="B1084" i="42"/>
  <c r="B1083" i="42"/>
  <c r="B1082" i="42"/>
  <c r="D648" i="41"/>
  <c r="D1074" i="42"/>
  <c r="B20" i="27"/>
  <c r="I70" i="11"/>
  <c r="F25" i="30"/>
  <c r="D183" i="40"/>
  <c r="D44" i="22"/>
  <c r="B25" i="30"/>
  <c r="I39" i="9"/>
  <c r="D21" i="30" s="1"/>
  <c r="H88" i="40"/>
  <c r="H92" i="40" s="1"/>
  <c r="F12" i="40"/>
  <c r="C14" i="29"/>
  <c r="P2" i="52"/>
  <c r="G118" i="34"/>
  <c r="G129" i="34" s="1"/>
  <c r="G134" i="34" s="1"/>
  <c r="F63" i="21"/>
  <c r="F100" i="40"/>
  <c r="F118" i="40"/>
  <c r="F135" i="40"/>
  <c r="D163" i="40"/>
  <c r="B1105" i="4"/>
  <c r="B1096" i="4"/>
  <c r="B1092" i="4"/>
  <c r="B1088" i="4"/>
  <c r="B1085" i="4"/>
  <c r="BI64" i="40"/>
  <c r="D91" i="40"/>
  <c r="BI91" i="40" s="1"/>
  <c r="D97" i="40"/>
  <c r="D115" i="40"/>
  <c r="D141" i="40"/>
  <c r="L156" i="40"/>
  <c r="K109" i="47"/>
  <c r="K112" i="47" s="1"/>
  <c r="K117" i="47" s="1"/>
  <c r="K121" i="47" s="1"/>
  <c r="X106" i="47"/>
  <c r="I60" i="34"/>
  <c r="I40" i="8"/>
  <c r="R33" i="40"/>
  <c r="I249" i="41"/>
  <c r="C10" i="30" s="1"/>
  <c r="I116" i="4"/>
  <c r="F63" i="39"/>
  <c r="J25" i="30"/>
  <c r="D51" i="22"/>
  <c r="V183" i="40"/>
  <c r="V185" i="40" s="1"/>
  <c r="J109" i="47"/>
  <c r="J112" i="47" s="1"/>
  <c r="J117" i="47" s="1"/>
  <c r="J121" i="47" s="1"/>
  <c r="F109" i="47"/>
  <c r="F112" i="47" s="1"/>
  <c r="F117" i="47" s="1"/>
  <c r="F121" i="47" s="1"/>
  <c r="D52" i="40"/>
  <c r="BI52" i="40" s="1"/>
  <c r="V10" i="40"/>
  <c r="V18" i="40" s="1"/>
  <c r="V21" i="40" s="1"/>
  <c r="V29" i="40" s="1"/>
  <c r="J13" i="29"/>
  <c r="F150" i="40"/>
  <c r="F153" i="40"/>
  <c r="F163" i="40"/>
  <c r="F71" i="40"/>
  <c r="F90" i="40"/>
  <c r="F88" i="40"/>
  <c r="F116" i="40"/>
  <c r="F125" i="40"/>
  <c r="F124" i="40"/>
  <c r="F142" i="40"/>
  <c r="F141" i="40"/>
  <c r="B1102" i="4"/>
  <c r="B1099" i="4"/>
  <c r="B1094" i="4"/>
  <c r="B1091" i="4"/>
  <c r="B1086" i="4"/>
  <c r="D54" i="40"/>
  <c r="BI54" i="40" s="1"/>
  <c r="D99" i="40"/>
  <c r="D117" i="40"/>
  <c r="C27" i="30"/>
  <c r="G170" i="53"/>
  <c r="G181" i="53" s="1"/>
  <c r="G186" i="53" s="1"/>
  <c r="D49" i="19"/>
  <c r="I50" i="13"/>
  <c r="I18" i="13"/>
  <c r="I20" i="13" s="1"/>
  <c r="AF14" i="40"/>
  <c r="AW43" i="40"/>
  <c r="I47" i="21"/>
  <c r="G16" i="31"/>
  <c r="BE27" i="40"/>
  <c r="E78" i="37"/>
  <c r="E88" i="37" s="1"/>
  <c r="E93" i="37" s="1"/>
  <c r="E45" i="14"/>
  <c r="H99" i="43"/>
  <c r="H101" i="43" s="1"/>
  <c r="H109" i="43" s="1"/>
  <c r="H679" i="41" s="1"/>
  <c r="I75" i="43"/>
  <c r="D99" i="43"/>
  <c r="D101" i="43" s="1"/>
  <c r="D679" i="41" s="1"/>
  <c r="C55" i="24"/>
  <c r="X25" i="40"/>
  <c r="J18" i="29"/>
  <c r="I44" i="56"/>
  <c r="I51" i="56" s="1"/>
  <c r="F50" i="18"/>
  <c r="AF161" i="40"/>
  <c r="I42" i="13"/>
  <c r="I52" i="13" s="1"/>
  <c r="I50" i="6"/>
  <c r="I82" i="6" s="1"/>
  <c r="I65" i="6"/>
  <c r="G18" i="30" s="1"/>
  <c r="B16" i="31"/>
  <c r="AL10" i="40"/>
  <c r="I17" i="17"/>
  <c r="I19" i="17" s="1"/>
  <c r="L13" i="29"/>
  <c r="L17" i="29" s="1"/>
  <c r="L21" i="29" s="1"/>
  <c r="L23" i="29" s="1"/>
  <c r="I17" i="29"/>
  <c r="I21" i="29" s="1"/>
  <c r="I23" i="29" s="1"/>
  <c r="D140" i="40"/>
  <c r="BI140" i="40" s="1"/>
  <c r="BI105" i="40"/>
  <c r="D70" i="40"/>
  <c r="BI70" i="40" s="1"/>
  <c r="I413" i="5"/>
  <c r="H50" i="18"/>
  <c r="F46" i="12"/>
  <c r="F51" i="12" s="1"/>
  <c r="G57" i="11"/>
  <c r="G67" i="11" s="1"/>
  <c r="G72" i="11" s="1"/>
  <c r="E104" i="3"/>
  <c r="E106" i="3" s="1"/>
  <c r="E114" i="3" s="1"/>
  <c r="B1103" i="4"/>
  <c r="B1095" i="4"/>
  <c r="B1080" i="42"/>
  <c r="B1103" i="42"/>
  <c r="B1097" i="42"/>
  <c r="B1088" i="42"/>
  <c r="F648" i="41"/>
  <c r="E12" i="32"/>
  <c r="E18" i="32" s="1"/>
  <c r="I40" i="14"/>
  <c r="E18" i="29"/>
  <c r="C48" i="24"/>
  <c r="J25" i="40"/>
  <c r="BI25" i="40" s="1"/>
  <c r="J7" i="40"/>
  <c r="BI7" i="40" s="1"/>
  <c r="E7" i="29"/>
  <c r="I15" i="18"/>
  <c r="I17" i="18" s="1"/>
  <c r="M13" i="29"/>
  <c r="M17" i="29" s="1"/>
  <c r="D105" i="52"/>
  <c r="X105" i="52" s="1"/>
  <c r="G109" i="47"/>
  <c r="G112" i="47" s="1"/>
  <c r="G117" i="47" s="1"/>
  <c r="G121" i="47" s="1"/>
  <c r="G57" i="16"/>
  <c r="G62" i="16" s="1"/>
  <c r="B1080" i="4"/>
  <c r="D131" i="40"/>
  <c r="BI131" i="40" s="1"/>
  <c r="I44" i="5"/>
  <c r="G59" i="20"/>
  <c r="G64" i="20" s="1"/>
  <c r="E1074" i="4"/>
  <c r="B1106" i="42"/>
  <c r="H2" i="47"/>
  <c r="R43" i="40"/>
  <c r="I53" i="8"/>
  <c r="I12" i="30" s="1"/>
  <c r="I18" i="30" s="1"/>
  <c r="H46" i="12"/>
  <c r="E18" i="31"/>
  <c r="E20" i="31" s="1"/>
  <c r="G105" i="52"/>
  <c r="G108" i="52" s="1"/>
  <c r="G113" i="52" s="1"/>
  <c r="G117" i="52" s="1"/>
  <c r="I47" i="16"/>
  <c r="D122" i="40"/>
  <c r="BI122" i="40" s="1"/>
  <c r="D86" i="40"/>
  <c r="D51" i="40"/>
  <c r="I813" i="4"/>
  <c r="I516" i="4"/>
  <c r="G50" i="18"/>
  <c r="E57" i="16"/>
  <c r="E62" i="16" s="1"/>
  <c r="G45" i="14"/>
  <c r="H15" i="23"/>
  <c r="D12" i="27" s="1"/>
  <c r="X180" i="40"/>
  <c r="X185" i="40" s="1"/>
  <c r="I65" i="11"/>
  <c r="H183" i="40"/>
  <c r="H185" i="40" s="1"/>
  <c r="D25" i="30"/>
  <c r="D45" i="22"/>
  <c r="M18" i="29"/>
  <c r="C63" i="24"/>
  <c r="AU25" i="40"/>
  <c r="E13" i="29"/>
  <c r="I17" i="34"/>
  <c r="I19" i="34" s="1"/>
  <c r="D114" i="40"/>
  <c r="BI79" i="40"/>
  <c r="D43" i="40"/>
  <c r="BI43" i="40" s="1"/>
  <c r="E63" i="21"/>
  <c r="E57" i="13"/>
  <c r="G48" i="10"/>
  <c r="G53" i="10" s="1"/>
  <c r="H1074" i="42"/>
  <c r="D2" i="47"/>
  <c r="O2" i="47"/>
  <c r="G2" i="47"/>
  <c r="N2" i="47"/>
  <c r="F2" i="47"/>
  <c r="M2" i="47"/>
  <c r="E2" i="47"/>
  <c r="K2" i="47"/>
  <c r="R2" i="47"/>
  <c r="P2" i="47"/>
  <c r="L2" i="47"/>
  <c r="AP180" i="40"/>
  <c r="I47" i="19"/>
  <c r="T181" i="40"/>
  <c r="T185" i="40" s="1"/>
  <c r="I45" i="54"/>
  <c r="I47" i="54" s="1"/>
  <c r="BC33" i="40"/>
  <c r="I33" i="21"/>
  <c r="I49" i="21" s="1"/>
  <c r="AW34" i="40"/>
  <c r="D148" i="40"/>
  <c r="BI148" i="40" s="1"/>
  <c r="D42" i="40"/>
  <c r="D48" i="40" s="1"/>
  <c r="E50" i="18"/>
  <c r="H57" i="11"/>
  <c r="H67" i="11" s="1"/>
  <c r="H72" i="11" s="1"/>
  <c r="I39" i="19"/>
  <c r="I46" i="22"/>
  <c r="D25" i="32"/>
  <c r="H25" i="32" s="1"/>
  <c r="C13" i="28" s="1"/>
  <c r="N181" i="40"/>
  <c r="N185" i="40" s="1"/>
  <c r="I80" i="6"/>
  <c r="G26" i="30" s="1"/>
  <c r="I7" i="29"/>
  <c r="R7" i="40"/>
  <c r="B24" i="27"/>
  <c r="I43" i="14"/>
  <c r="J86" i="53"/>
  <c r="F19" i="29" s="1"/>
  <c r="I665" i="42"/>
  <c r="I80" i="42"/>
  <c r="H49" i="39"/>
  <c r="H58" i="39" s="1"/>
  <c r="H63" i="39" s="1"/>
  <c r="F57" i="16"/>
  <c r="F62" i="16" s="1"/>
  <c r="G51" i="12"/>
  <c r="D1074" i="4"/>
  <c r="D57" i="16"/>
  <c r="D54" i="19"/>
  <c r="H25" i="30"/>
  <c r="I37" i="17"/>
  <c r="AL33" i="40"/>
  <c r="BC35" i="40"/>
  <c r="AL183" i="40"/>
  <c r="I48" i="22"/>
  <c r="I86" i="37"/>
  <c r="D26" i="32" s="1"/>
  <c r="AJ181" i="40"/>
  <c r="N183" i="40"/>
  <c r="G25" i="30"/>
  <c r="D47" i="22"/>
  <c r="C60" i="24"/>
  <c r="AJ25" i="40"/>
  <c r="C56" i="24"/>
  <c r="I27" i="6"/>
  <c r="I29" i="6" s="1"/>
  <c r="E118" i="34"/>
  <c r="E129" i="34" s="1"/>
  <c r="E134" i="34" s="1"/>
  <c r="D46" i="56"/>
  <c r="H57" i="16"/>
  <c r="H62" i="16" s="1"/>
  <c r="I659" i="41"/>
  <c r="D648" i="5"/>
  <c r="I181" i="53"/>
  <c r="I186" i="53" s="1"/>
  <c r="D63" i="39"/>
  <c r="AJ33" i="40"/>
  <c r="I50" i="37"/>
  <c r="AJ37" i="40"/>
  <c r="R37" i="40"/>
  <c r="AJ46" i="40"/>
  <c r="AN181" i="40"/>
  <c r="I55" i="16"/>
  <c r="J181" i="40"/>
  <c r="J185" i="40" s="1"/>
  <c r="I127" i="34"/>
  <c r="E26" i="30" s="1"/>
  <c r="C64" i="24"/>
  <c r="AP25" i="40"/>
  <c r="E16" i="31"/>
  <c r="AH27" i="40"/>
  <c r="BC7" i="40"/>
  <c r="I16" i="20"/>
  <c r="AF7" i="40"/>
  <c r="D8" i="31"/>
  <c r="H8" i="31" s="1"/>
  <c r="C7" i="28" s="1"/>
  <c r="AU10" i="40"/>
  <c r="I25" i="37"/>
  <c r="I27" i="37" s="1"/>
  <c r="I20" i="54"/>
  <c r="I22" i="54" s="1"/>
  <c r="T10" i="40"/>
  <c r="T18" i="40" s="1"/>
  <c r="T21" i="40" s="1"/>
  <c r="T29" i="40" s="1"/>
  <c r="D45" i="18"/>
  <c r="D50" i="18" s="1"/>
  <c r="H1074" i="4"/>
  <c r="D57" i="13"/>
  <c r="H36" i="22"/>
  <c r="H42" i="23"/>
  <c r="D33" i="27" s="1"/>
  <c r="AL37" i="40"/>
  <c r="R44" i="40"/>
  <c r="M25" i="30"/>
  <c r="AP183" i="40"/>
  <c r="D19" i="29"/>
  <c r="H27" i="40"/>
  <c r="AW7" i="40"/>
  <c r="I15" i="21"/>
  <c r="D7" i="40"/>
  <c r="B7" i="29"/>
  <c r="AN10" i="40"/>
  <c r="D12" i="40"/>
  <c r="I658" i="5"/>
  <c r="D173" i="40" s="1"/>
  <c r="X12" i="52"/>
  <c r="F99" i="43"/>
  <c r="F101" i="43" s="1"/>
  <c r="F109" i="43" s="1"/>
  <c r="F679" i="41" s="1"/>
  <c r="F1074" i="4"/>
  <c r="D87" i="6"/>
  <c r="AJ42" i="40"/>
  <c r="I68" i="37"/>
  <c r="J35" i="40"/>
  <c r="BI35" i="40" s="1"/>
  <c r="AH37" i="40"/>
  <c r="I57" i="20"/>
  <c r="BC181" i="40"/>
  <c r="I38" i="14"/>
  <c r="E26" i="32" s="1"/>
  <c r="I45" i="22"/>
  <c r="AH183" i="40"/>
  <c r="R10" i="40"/>
  <c r="I17" i="8"/>
  <c r="I19" i="8" s="1"/>
  <c r="G10" i="31"/>
  <c r="G14" i="31" s="1"/>
  <c r="BE10" i="40"/>
  <c r="F2" i="52"/>
  <c r="I67" i="53"/>
  <c r="I88" i="53" s="1"/>
  <c r="I184" i="53" s="1"/>
  <c r="E153" i="7"/>
  <c r="E170" i="7" s="1"/>
  <c r="E181" i="7" s="1"/>
  <c r="BC46" i="40"/>
  <c r="C52" i="24"/>
  <c r="I112" i="3"/>
  <c r="B20" i="29" s="1"/>
  <c r="X10" i="40"/>
  <c r="X18" i="40" s="1"/>
  <c r="X21" i="40" s="1"/>
  <c r="X29" i="40" s="1"/>
  <c r="I46" i="3"/>
  <c r="AW35" i="40"/>
  <c r="I658" i="41"/>
  <c r="C21" i="30" s="1"/>
  <c r="I670" i="5"/>
  <c r="B26" i="30" s="1"/>
  <c r="AL35" i="40"/>
  <c r="R35" i="40"/>
  <c r="AP37" i="40"/>
  <c r="X44" i="40"/>
  <c r="X48" i="40" s="1"/>
  <c r="X156" i="40" s="1"/>
  <c r="X176" i="40" s="1"/>
  <c r="AH25" i="40"/>
  <c r="AF25" i="40"/>
  <c r="J16" i="40"/>
  <c r="X173" i="40"/>
  <c r="X174" i="40" s="1"/>
  <c r="H648" i="41"/>
  <c r="J38" i="40"/>
  <c r="BI38" i="40" s="1"/>
  <c r="J44" i="40"/>
  <c r="BI44" i="40" s="1"/>
  <c r="AL27" i="40"/>
  <c r="H106" i="40"/>
  <c r="H110" i="40" s="1"/>
  <c r="H156" i="40" s="1"/>
  <c r="H176" i="40" s="1"/>
  <c r="E153" i="53"/>
  <c r="E170" i="53" s="1"/>
  <c r="E181" i="53" s="1"/>
  <c r="L2" i="52"/>
  <c r="A128" i="53" s="1"/>
  <c r="E2" i="52"/>
  <c r="H15" i="53" s="1"/>
  <c r="J15" i="53" s="1"/>
  <c r="H46" i="56"/>
  <c r="D57" i="11"/>
  <c r="D67" i="11" s="1"/>
  <c r="D72" i="11" s="1"/>
  <c r="D78" i="37"/>
  <c r="D88" i="37" s="1"/>
  <c r="D93" i="37" s="1"/>
  <c r="I34" i="20"/>
  <c r="F8" i="32" s="1"/>
  <c r="F11" i="32" s="1"/>
  <c r="F22" i="32" s="1"/>
  <c r="AU35" i="40"/>
  <c r="AJ44" i="40"/>
  <c r="J46" i="40"/>
  <c r="BI46" i="40" s="1"/>
  <c r="L27" i="40"/>
  <c r="D118" i="34"/>
  <c r="D129" i="34" s="1"/>
  <c r="D134" i="34" s="1"/>
  <c r="H2" i="52"/>
  <c r="A11" i="53" s="1"/>
  <c r="C10" i="31"/>
  <c r="C14" i="31" s="1"/>
  <c r="C18" i="31" s="1"/>
  <c r="C20" i="31" s="1"/>
  <c r="C21" i="32"/>
  <c r="H21" i="32" s="1"/>
  <c r="I961" i="42"/>
  <c r="I998" i="42"/>
  <c r="X52" i="52"/>
  <c r="X89" i="52"/>
  <c r="G26" i="25"/>
  <c r="G37" i="25" s="1"/>
  <c r="G42" i="25" s="1"/>
  <c r="G49" i="21"/>
  <c r="G58" i="21" s="1"/>
  <c r="G63" i="21" s="1"/>
  <c r="I20" i="10"/>
  <c r="I22" i="10" s="1"/>
  <c r="A32" i="53"/>
  <c r="A48" i="53"/>
  <c r="A107" i="53"/>
  <c r="H131" i="53"/>
  <c r="J131" i="53" s="1"/>
  <c r="H101" i="53"/>
  <c r="J101" i="53" s="1"/>
  <c r="G12" i="32"/>
  <c r="W105" i="52"/>
  <c r="W108" i="52" s="1"/>
  <c r="W113" i="52" s="1"/>
  <c r="W117" i="52" s="1"/>
  <c r="V105" i="52"/>
  <c r="V108" i="52" s="1"/>
  <c r="V113" i="52" s="1"/>
  <c r="V117" i="52" s="1"/>
  <c r="U105" i="52"/>
  <c r="U108" i="52" s="1"/>
  <c r="U113" i="52" s="1"/>
  <c r="U117" i="52" s="1"/>
  <c r="T105" i="52"/>
  <c r="T108" i="52" s="1"/>
  <c r="T113" i="52" s="1"/>
  <c r="T117" i="52" s="1"/>
  <c r="S105" i="52"/>
  <c r="S108" i="52" s="1"/>
  <c r="S113" i="52" s="1"/>
  <c r="S117" i="52" s="1"/>
  <c r="R105" i="52"/>
  <c r="R108" i="52" s="1"/>
  <c r="R113" i="52" s="1"/>
  <c r="R117" i="52" s="1"/>
  <c r="Q105" i="52"/>
  <c r="Q108" i="52" s="1"/>
  <c r="Q113" i="52" s="1"/>
  <c r="Q117" i="52" s="1"/>
  <c r="P105" i="52"/>
  <c r="P108" i="52" s="1"/>
  <c r="P113" i="52" s="1"/>
  <c r="P117" i="52" s="1"/>
  <c r="O105" i="52"/>
  <c r="O108" i="52" s="1"/>
  <c r="O113" i="52" s="1"/>
  <c r="O117" i="52" s="1"/>
  <c r="N105" i="52"/>
  <c r="N108" i="52" s="1"/>
  <c r="N113" i="52" s="1"/>
  <c r="N117" i="52" s="1"/>
  <c r="W109" i="47"/>
  <c r="W112" i="47" s="1"/>
  <c r="W117" i="47" s="1"/>
  <c r="W121" i="47" s="1"/>
  <c r="V109" i="47"/>
  <c r="V112" i="47" s="1"/>
  <c r="V117" i="47" s="1"/>
  <c r="V121" i="47" s="1"/>
  <c r="U109" i="47"/>
  <c r="U112" i="47" s="1"/>
  <c r="U117" i="47" s="1"/>
  <c r="U121" i="47" s="1"/>
  <c r="T109" i="47"/>
  <c r="T112" i="47" s="1"/>
  <c r="T117" i="47" s="1"/>
  <c r="T121" i="47" s="1"/>
  <c r="S109" i="47"/>
  <c r="S112" i="47" s="1"/>
  <c r="S117" i="47" s="1"/>
  <c r="S121" i="47" s="1"/>
  <c r="R109" i="47"/>
  <c r="R112" i="47" s="1"/>
  <c r="R117" i="47" s="1"/>
  <c r="R121" i="47" s="1"/>
  <c r="Q109" i="47"/>
  <c r="Q112" i="47" s="1"/>
  <c r="Q117" i="47" s="1"/>
  <c r="Q121" i="47" s="1"/>
  <c r="P109" i="47"/>
  <c r="P112" i="47" s="1"/>
  <c r="P117" i="47" s="1"/>
  <c r="P121" i="47" s="1"/>
  <c r="O109" i="47"/>
  <c r="O112" i="47" s="1"/>
  <c r="O117" i="47" s="1"/>
  <c r="O121" i="47" s="1"/>
  <c r="M105" i="52"/>
  <c r="M108" i="52" s="1"/>
  <c r="M113" i="52" s="1"/>
  <c r="L105" i="52"/>
  <c r="L108" i="52" s="1"/>
  <c r="L113" i="52" s="1"/>
  <c r="K105" i="52"/>
  <c r="K108" i="52" s="1"/>
  <c r="K113" i="52" s="1"/>
  <c r="J105" i="52"/>
  <c r="J108" i="52" s="1"/>
  <c r="J113" i="52" s="1"/>
  <c r="I105" i="52"/>
  <c r="I108" i="52" s="1"/>
  <c r="I113" i="52" s="1"/>
  <c r="H105" i="52"/>
  <c r="H108" i="52" s="1"/>
  <c r="H113" i="52" s="1"/>
  <c r="F105" i="52"/>
  <c r="F108" i="52" s="1"/>
  <c r="F113" i="52" s="1"/>
  <c r="H142" i="53" s="1"/>
  <c r="J142" i="53" s="1"/>
  <c r="X79" i="52"/>
  <c r="L109" i="47"/>
  <c r="L112" i="47" s="1"/>
  <c r="L117" i="47" s="1"/>
  <c r="H109" i="47"/>
  <c r="H112" i="47" s="1"/>
  <c r="H117" i="47" s="1"/>
  <c r="X62" i="47"/>
  <c r="G58" i="39"/>
  <c r="G63" i="39" s="1"/>
  <c r="F88" i="37"/>
  <c r="F93" i="37" s="1"/>
  <c r="H51" i="12"/>
  <c r="H65" i="8"/>
  <c r="H70" i="8" s="1"/>
  <c r="G87" i="6"/>
  <c r="B1111" i="4"/>
  <c r="B1109" i="4"/>
  <c r="B1107" i="4"/>
  <c r="I35" i="18"/>
  <c r="J168" i="7"/>
  <c r="B1109" i="42"/>
  <c r="B1107" i="42"/>
  <c r="F88" i="53"/>
  <c r="F184" i="53" s="1"/>
  <c r="F186" i="53" s="1"/>
  <c r="G67" i="53"/>
  <c r="G88" i="53" s="1"/>
  <c r="G184" i="53" s="1"/>
  <c r="D62" i="16"/>
  <c r="F48" i="10"/>
  <c r="F53" i="10" s="1"/>
  <c r="F54" i="9"/>
  <c r="I90" i="43"/>
  <c r="C16" i="29" s="1"/>
  <c r="I46" i="43"/>
  <c r="I99" i="43" s="1"/>
  <c r="I101" i="43" s="1"/>
  <c r="I109" i="43" s="1"/>
  <c r="B11" i="27" s="1"/>
  <c r="B1110" i="4"/>
  <c r="B1108" i="4"/>
  <c r="AU33" i="40"/>
  <c r="B1110" i="42"/>
  <c r="B1108" i="42"/>
  <c r="J168" i="53"/>
  <c r="H104" i="3"/>
  <c r="H106" i="3" s="1"/>
  <c r="H114" i="3" s="1"/>
  <c r="H680" i="5" s="1"/>
  <c r="G104" i="3"/>
  <c r="G106" i="3" s="1"/>
  <c r="G114" i="3" s="1"/>
  <c r="G680" i="5" s="1"/>
  <c r="D45" i="14"/>
  <c r="D23" i="40"/>
  <c r="D51" i="56"/>
  <c r="H51" i="56"/>
  <c r="D55" i="8"/>
  <c r="D65" i="8" s="1"/>
  <c r="D70" i="8" s="1"/>
  <c r="Q2" i="47"/>
  <c r="S2" i="47"/>
  <c r="U2" i="47"/>
  <c r="W2" i="47"/>
  <c r="D58" i="21"/>
  <c r="D63" i="21" s="1"/>
  <c r="I43" i="18"/>
  <c r="F51" i="56"/>
  <c r="H20" i="53"/>
  <c r="J20" i="53" s="1"/>
  <c r="H120" i="53"/>
  <c r="J120" i="53" s="1"/>
  <c r="H99" i="53"/>
  <c r="A125" i="53"/>
  <c r="H41" i="23"/>
  <c r="D32" i="27" s="1"/>
  <c r="C32" i="27"/>
  <c r="D108" i="52"/>
  <c r="E48" i="25"/>
  <c r="F49" i="25" s="1"/>
  <c r="G52" i="25" s="1"/>
  <c r="G54" i="25" s="1"/>
  <c r="G43" i="25"/>
  <c r="I52" i="9"/>
  <c r="G54" i="9"/>
  <c r="H53" i="10"/>
  <c r="H27" i="23"/>
  <c r="D22" i="27" s="1"/>
  <c r="D22" i="30"/>
  <c r="D24" i="30" s="1"/>
  <c r="H141" i="53"/>
  <c r="J141" i="53" s="1"/>
  <c r="E117" i="52"/>
  <c r="J18" i="30"/>
  <c r="B33" i="27"/>
  <c r="H37" i="22"/>
  <c r="H38" i="22" s="1"/>
  <c r="C29" i="24" s="1"/>
  <c r="BA191" i="40"/>
  <c r="AY191" i="40"/>
  <c r="E186" i="7"/>
  <c r="E186" i="53"/>
  <c r="X102" i="52"/>
  <c r="C15" i="26"/>
  <c r="D15" i="26" s="1"/>
  <c r="C14" i="26"/>
  <c r="D14" i="26" s="1"/>
  <c r="F14" i="26" s="1"/>
  <c r="I46" i="10"/>
  <c r="E22" i="32"/>
  <c r="E24" i="32" s="1"/>
  <c r="F15" i="26"/>
  <c r="J147" i="7" l="1"/>
  <c r="J141" i="7"/>
  <c r="A134" i="7"/>
  <c r="BI181" i="40"/>
  <c r="J18" i="40"/>
  <c r="BI27" i="40"/>
  <c r="BI56" i="40"/>
  <c r="BI133" i="40"/>
  <c r="BI149" i="40"/>
  <c r="BI113" i="40"/>
  <c r="BI126" i="40"/>
  <c r="BI127" i="40"/>
  <c r="BI108" i="40"/>
  <c r="BI109" i="40"/>
  <c r="BI107" i="40"/>
  <c r="BI81" i="40"/>
  <c r="BI141" i="40"/>
  <c r="BI78" i="40"/>
  <c r="BI135" i="40"/>
  <c r="BI115" i="40"/>
  <c r="BI89" i="40"/>
  <c r="BI47" i="40"/>
  <c r="BI86" i="40"/>
  <c r="BI71" i="40"/>
  <c r="BI73" i="40"/>
  <c r="BI142" i="40"/>
  <c r="BI152" i="40"/>
  <c r="BI114" i="40"/>
  <c r="BI104" i="40"/>
  <c r="BI99" i="40"/>
  <c r="BI83" i="40"/>
  <c r="BI150" i="40"/>
  <c r="BI65" i="40"/>
  <c r="BI125" i="40"/>
  <c r="BI88" i="40"/>
  <c r="F84" i="40"/>
  <c r="BI63" i="40"/>
  <c r="BI51" i="40"/>
  <c r="BI62" i="40"/>
  <c r="BI100" i="40"/>
  <c r="BI82" i="40"/>
  <c r="BI87" i="40"/>
  <c r="F136" i="40"/>
  <c r="BI106" i="40"/>
  <c r="BI153" i="40"/>
  <c r="BI80" i="40"/>
  <c r="BI97" i="40"/>
  <c r="BI164" i="40"/>
  <c r="BI124" i="40"/>
  <c r="BI98" i="40"/>
  <c r="BI117" i="40"/>
  <c r="BI163" i="40"/>
  <c r="BI118" i="40"/>
  <c r="BI74" i="40"/>
  <c r="BI160" i="40"/>
  <c r="BI139" i="40"/>
  <c r="D174" i="40"/>
  <c r="D185" i="40"/>
  <c r="BI185" i="40" s="1"/>
  <c r="BI183" i="40"/>
  <c r="BI42" i="40"/>
  <c r="V156" i="40"/>
  <c r="F66" i="40"/>
  <c r="J48" i="40"/>
  <c r="J156" i="40" s="1"/>
  <c r="F75" i="40"/>
  <c r="J21" i="40"/>
  <c r="J29" i="40" s="1"/>
  <c r="R48" i="40"/>
  <c r="R156" i="40" s="1"/>
  <c r="R176" i="40" s="1"/>
  <c r="R187" i="40" s="1"/>
  <c r="R39" i="40"/>
  <c r="J39" i="40"/>
  <c r="D101" i="40"/>
  <c r="D57" i="40"/>
  <c r="R18" i="40"/>
  <c r="R21" i="40" s="1"/>
  <c r="R29" i="40" s="1"/>
  <c r="R191" i="40" s="1"/>
  <c r="F48" i="40"/>
  <c r="BI48" i="40" s="1"/>
  <c r="X187" i="40"/>
  <c r="X191" i="40" s="1"/>
  <c r="D75" i="40"/>
  <c r="BI75" i="40" s="1"/>
  <c r="H29" i="40"/>
  <c r="D110" i="40"/>
  <c r="F57" i="40"/>
  <c r="T39" i="40"/>
  <c r="T176" i="40" s="1"/>
  <c r="T187" i="40" s="1"/>
  <c r="T191" i="40" s="1"/>
  <c r="N187" i="40"/>
  <c r="D128" i="40"/>
  <c r="AC18" i="40"/>
  <c r="AC21" i="40" s="1"/>
  <c r="AC29" i="40" s="1"/>
  <c r="D145" i="40"/>
  <c r="D136" i="40"/>
  <c r="BI136" i="40" s="1"/>
  <c r="F119" i="40"/>
  <c r="F128" i="40"/>
  <c r="F101" i="40"/>
  <c r="N18" i="40"/>
  <c r="N21" i="40" s="1"/>
  <c r="N29" i="40" s="1"/>
  <c r="H187" i="40"/>
  <c r="D92" i="40"/>
  <c r="BI92" i="40" s="1"/>
  <c r="D154" i="40"/>
  <c r="D84" i="40"/>
  <c r="F145" i="40"/>
  <c r="D165" i="40"/>
  <c r="F92" i="40"/>
  <c r="D66" i="40"/>
  <c r="BI66" i="40" s="1"/>
  <c r="D119" i="40"/>
  <c r="F165" i="40"/>
  <c r="F110" i="40"/>
  <c r="AC187" i="40"/>
  <c r="F154" i="40"/>
  <c r="D14" i="31"/>
  <c r="D18" i="31" s="1"/>
  <c r="D20" i="31" s="1"/>
  <c r="D12" i="32"/>
  <c r="D18" i="32" s="1"/>
  <c r="H15" i="31"/>
  <c r="C10" i="28" s="1"/>
  <c r="H16" i="31"/>
  <c r="I46" i="12"/>
  <c r="B18" i="31"/>
  <c r="B20" i="31" s="1"/>
  <c r="J26" i="30"/>
  <c r="J17" i="29"/>
  <c r="J21" i="29" s="1"/>
  <c r="J23" i="29" s="1"/>
  <c r="H22" i="23"/>
  <c r="D18" i="27" s="1"/>
  <c r="C18" i="27"/>
  <c r="G21" i="29"/>
  <c r="G23" i="29" s="1"/>
  <c r="N7" i="29"/>
  <c r="B7" i="28" s="1"/>
  <c r="D7" i="28" s="1"/>
  <c r="E17" i="29"/>
  <c r="E21" i="29" s="1"/>
  <c r="E23" i="29" s="1"/>
  <c r="I54" i="9"/>
  <c r="C8" i="24" s="1"/>
  <c r="N20" i="30"/>
  <c r="C9" i="30"/>
  <c r="C19" i="30"/>
  <c r="N19" i="30" s="1"/>
  <c r="N14" i="30"/>
  <c r="N25" i="30"/>
  <c r="B13" i="28" s="1"/>
  <c r="D13" i="28" s="1"/>
  <c r="C18" i="30"/>
  <c r="E650" i="41"/>
  <c r="E661" i="41" s="1"/>
  <c r="E671" i="41" s="1"/>
  <c r="E677" i="41" s="1"/>
  <c r="E681" i="41" s="1"/>
  <c r="F650" i="41"/>
  <c r="F661" i="41" s="1"/>
  <c r="F671" i="41" s="1"/>
  <c r="F677" i="41" s="1"/>
  <c r="F681" i="41" s="1"/>
  <c r="I679" i="41"/>
  <c r="N20" i="29"/>
  <c r="B9" i="28" s="1"/>
  <c r="D9" i="28" s="1"/>
  <c r="F16" i="40"/>
  <c r="N27" i="30"/>
  <c r="B16" i="28" s="1"/>
  <c r="D16" i="28" s="1"/>
  <c r="N10" i="30"/>
  <c r="B18" i="30"/>
  <c r="H650" i="5"/>
  <c r="H661" i="5" s="1"/>
  <c r="H672" i="5" s="1"/>
  <c r="H678" i="5" s="1"/>
  <c r="H682" i="5" s="1"/>
  <c r="F650" i="5"/>
  <c r="F661" i="5" s="1"/>
  <c r="F672" i="5" s="1"/>
  <c r="F678" i="5" s="1"/>
  <c r="F682" i="5" s="1"/>
  <c r="E650" i="5"/>
  <c r="E661" i="5" s="1"/>
  <c r="E672" i="5" s="1"/>
  <c r="E678" i="5" s="1"/>
  <c r="E682" i="5" s="1"/>
  <c r="B9" i="30"/>
  <c r="D39" i="40"/>
  <c r="I1074" i="4"/>
  <c r="B8" i="30" s="1"/>
  <c r="D14" i="40"/>
  <c r="B10" i="27"/>
  <c r="B21" i="30"/>
  <c r="N21" i="30" s="1"/>
  <c r="I680" i="5"/>
  <c r="I54" i="22"/>
  <c r="N19" i="29"/>
  <c r="B13" i="27"/>
  <c r="I132" i="34"/>
  <c r="H45" i="53"/>
  <c r="J45" i="53" s="1"/>
  <c r="A39" i="53"/>
  <c r="C105" i="53"/>
  <c r="A127" i="53"/>
  <c r="H134" i="53"/>
  <c r="J134" i="53" s="1"/>
  <c r="H118" i="53"/>
  <c r="J118" i="53" s="1"/>
  <c r="H31" i="53"/>
  <c r="J31" i="53" s="1"/>
  <c r="H103" i="53"/>
  <c r="J103" i="53" s="1"/>
  <c r="H97" i="53"/>
  <c r="J97" i="53" s="1"/>
  <c r="A105" i="53"/>
  <c r="A46" i="53"/>
  <c r="A30" i="53"/>
  <c r="I62" i="20"/>
  <c r="B30" i="27"/>
  <c r="B15" i="27"/>
  <c r="I85" i="6"/>
  <c r="H26" i="32"/>
  <c r="C14" i="28" s="1"/>
  <c r="M21" i="29"/>
  <c r="M23" i="29" s="1"/>
  <c r="C24" i="27"/>
  <c r="I45" i="14"/>
  <c r="C20" i="24" s="1"/>
  <c r="H30" i="23"/>
  <c r="D24" i="27" s="1"/>
  <c r="C15" i="29"/>
  <c r="F14" i="40"/>
  <c r="C132" i="53"/>
  <c r="H121" i="53"/>
  <c r="J121" i="53" s="1"/>
  <c r="D16" i="40"/>
  <c r="B16" i="29"/>
  <c r="A98" i="53"/>
  <c r="C10" i="53"/>
  <c r="C145" i="53"/>
  <c r="H30" i="53"/>
  <c r="J30" i="53" s="1"/>
  <c r="C120" i="53"/>
  <c r="C106" i="53"/>
  <c r="H102" i="53"/>
  <c r="J102" i="53" s="1"/>
  <c r="C100" i="53"/>
  <c r="A122" i="53"/>
  <c r="C149" i="53"/>
  <c r="G650" i="41"/>
  <c r="I1074" i="42"/>
  <c r="C8" i="30" s="1"/>
  <c r="F117" i="52"/>
  <c r="A129" i="53"/>
  <c r="H132" i="53"/>
  <c r="J132" i="53" s="1"/>
  <c r="H116" i="53"/>
  <c r="J116" i="53" s="1"/>
  <c r="J136" i="53" s="1"/>
  <c r="H35" i="53"/>
  <c r="J35" i="53" s="1"/>
  <c r="H105" i="53"/>
  <c r="J105" i="53" s="1"/>
  <c r="A146" i="53"/>
  <c r="A103" i="53"/>
  <c r="A44" i="53"/>
  <c r="A21" i="53"/>
  <c r="D650" i="5"/>
  <c r="D661" i="5" s="1"/>
  <c r="D672" i="5" s="1"/>
  <c r="D678" i="5" s="1"/>
  <c r="D682" i="5" s="1"/>
  <c r="B28" i="27"/>
  <c r="I48" i="18"/>
  <c r="F18" i="31"/>
  <c r="F20" i="31" s="1"/>
  <c r="I55" i="8"/>
  <c r="I65" i="8" s="1"/>
  <c r="I8" i="30"/>
  <c r="I11" i="30" s="1"/>
  <c r="I22" i="30" s="1"/>
  <c r="I24" i="30" s="1"/>
  <c r="C107" i="53"/>
  <c r="D650" i="41"/>
  <c r="D661" i="41" s="1"/>
  <c r="D671" i="41" s="1"/>
  <c r="D677" i="41" s="1"/>
  <c r="D681" i="41" s="1"/>
  <c r="A61" i="53"/>
  <c r="C60" i="53"/>
  <c r="A130" i="53"/>
  <c r="C19" i="53"/>
  <c r="A20" i="53"/>
  <c r="H48" i="53"/>
  <c r="J48" i="53" s="1"/>
  <c r="C129" i="53"/>
  <c r="H32" i="53"/>
  <c r="J32" i="53" s="1"/>
  <c r="C121" i="53"/>
  <c r="H13" i="53"/>
  <c r="J13" i="53" s="1"/>
  <c r="C108" i="53"/>
  <c r="H129" i="53"/>
  <c r="J129" i="53" s="1"/>
  <c r="A55" i="53"/>
  <c r="C123" i="53"/>
  <c r="H133" i="53"/>
  <c r="J133" i="53" s="1"/>
  <c r="A33" i="53"/>
  <c r="H19" i="53"/>
  <c r="J19" i="53" s="1"/>
  <c r="C97" i="53"/>
  <c r="A131" i="53"/>
  <c r="H10" i="53"/>
  <c r="A132" i="53"/>
  <c r="A19" i="53"/>
  <c r="H117" i="53"/>
  <c r="J117" i="53" s="1"/>
  <c r="C131" i="53"/>
  <c r="C122" i="53"/>
  <c r="C98" i="53"/>
  <c r="A117" i="53"/>
  <c r="H128" i="53"/>
  <c r="J128" i="53" s="1"/>
  <c r="H43" i="53"/>
  <c r="J43" i="53" s="1"/>
  <c r="A99" i="53"/>
  <c r="A40" i="53"/>
  <c r="B18" i="27"/>
  <c r="I50" i="54"/>
  <c r="I52" i="54" s="1"/>
  <c r="C14" i="24" s="1"/>
  <c r="I58" i="21"/>
  <c r="C147" i="7"/>
  <c r="C143" i="7"/>
  <c r="A147" i="7"/>
  <c r="A143" i="7"/>
  <c r="C146" i="7"/>
  <c r="C142" i="7"/>
  <c r="C145" i="7"/>
  <c r="A140" i="7"/>
  <c r="C56" i="7"/>
  <c r="A58" i="7"/>
  <c r="A145" i="7"/>
  <c r="C63" i="7"/>
  <c r="C55" i="7"/>
  <c r="A57" i="7"/>
  <c r="C144" i="7"/>
  <c r="C62" i="7"/>
  <c r="C54" i="7"/>
  <c r="A56" i="7"/>
  <c r="C148" i="7"/>
  <c r="C141" i="7"/>
  <c r="C59" i="7"/>
  <c r="A61" i="7"/>
  <c r="A144" i="7"/>
  <c r="A63" i="7"/>
  <c r="H61" i="7"/>
  <c r="J61" i="7" s="1"/>
  <c r="A142" i="7"/>
  <c r="A62" i="7"/>
  <c r="H62" i="7"/>
  <c r="J62" i="7" s="1"/>
  <c r="A141" i="7"/>
  <c r="A60" i="7"/>
  <c r="H55" i="7"/>
  <c r="J55" i="7" s="1"/>
  <c r="H63" i="7"/>
  <c r="J63" i="7" s="1"/>
  <c r="A149" i="7"/>
  <c r="C60" i="7"/>
  <c r="A54" i="7"/>
  <c r="H58" i="7"/>
  <c r="J58" i="7" s="1"/>
  <c r="J149" i="7"/>
  <c r="A146" i="7"/>
  <c r="C140" i="7"/>
  <c r="C61" i="7"/>
  <c r="C57" i="7"/>
  <c r="H57" i="7"/>
  <c r="J57" i="7" s="1"/>
  <c r="C58" i="7"/>
  <c r="A59" i="7"/>
  <c r="H56" i="7"/>
  <c r="J56" i="7" s="1"/>
  <c r="A55" i="7"/>
  <c r="H59" i="7"/>
  <c r="J59" i="7" s="1"/>
  <c r="H60" i="7"/>
  <c r="J60" i="7" s="1"/>
  <c r="J145" i="7"/>
  <c r="H54" i="7"/>
  <c r="C149" i="7"/>
  <c r="J146" i="7"/>
  <c r="A148" i="7"/>
  <c r="J142" i="7"/>
  <c r="N14" i="29"/>
  <c r="C125" i="53"/>
  <c r="A102" i="53"/>
  <c r="C40" i="53"/>
  <c r="D21" i="29"/>
  <c r="D23" i="29" s="1"/>
  <c r="C22" i="32"/>
  <c r="C24" i="32" s="1"/>
  <c r="C13" i="29"/>
  <c r="C17" i="29" s="1"/>
  <c r="C21" i="29" s="1"/>
  <c r="C23" i="29" s="1"/>
  <c r="A119" i="53"/>
  <c r="A145" i="53"/>
  <c r="H126" i="53"/>
  <c r="J126" i="53" s="1"/>
  <c r="H14" i="53"/>
  <c r="J14" i="53" s="1"/>
  <c r="H47" i="53"/>
  <c r="J47" i="53" s="1"/>
  <c r="M26" i="30"/>
  <c r="H37" i="53"/>
  <c r="J37" i="53" s="1"/>
  <c r="H119" i="53"/>
  <c r="J119" i="53" s="1"/>
  <c r="A124" i="53"/>
  <c r="A97" i="53"/>
  <c r="A38" i="53"/>
  <c r="A15" i="53"/>
  <c r="J143" i="7"/>
  <c r="B25" i="27"/>
  <c r="I91" i="37"/>
  <c r="H650" i="41"/>
  <c r="H661" i="41" s="1"/>
  <c r="H671" i="41" s="1"/>
  <c r="H677" i="41" s="1"/>
  <c r="H681" i="41" s="1"/>
  <c r="B23" i="27"/>
  <c r="I55" i="13"/>
  <c r="I57" i="13" s="1"/>
  <c r="C19" i="24" s="1"/>
  <c r="H143" i="53"/>
  <c r="J143" i="53" s="1"/>
  <c r="C101" i="53"/>
  <c r="C126" i="53"/>
  <c r="H56" i="53"/>
  <c r="J56" i="53" s="1"/>
  <c r="C62" i="53"/>
  <c r="A143" i="53"/>
  <c r="C37" i="53"/>
  <c r="A47" i="53"/>
  <c r="C29" i="53"/>
  <c r="A31" i="53"/>
  <c r="C20" i="53"/>
  <c r="C146" i="53"/>
  <c r="C56" i="53"/>
  <c r="C17" i="53"/>
  <c r="H46" i="53"/>
  <c r="J46" i="53" s="1"/>
  <c r="H104" i="53"/>
  <c r="J104" i="53" s="1"/>
  <c r="A63" i="53"/>
  <c r="A115" i="53"/>
  <c r="H39" i="53"/>
  <c r="J39" i="53" s="1"/>
  <c r="A101" i="53"/>
  <c r="E8" i="30"/>
  <c r="E11" i="30" s="1"/>
  <c r="E22" i="30" s="1"/>
  <c r="E24" i="30" s="1"/>
  <c r="I118" i="34"/>
  <c r="I129" i="34" s="1"/>
  <c r="C48" i="53"/>
  <c r="C102" i="53"/>
  <c r="A45" i="53"/>
  <c r="C11" i="53"/>
  <c r="A133" i="53"/>
  <c r="H115" i="53"/>
  <c r="J115" i="53" s="1"/>
  <c r="A17" i="53"/>
  <c r="B31" i="27"/>
  <c r="I61" i="21"/>
  <c r="H41" i="53"/>
  <c r="J41" i="53" s="1"/>
  <c r="C21" i="53"/>
  <c r="C13" i="53"/>
  <c r="C148" i="53"/>
  <c r="C130" i="53"/>
  <c r="J11" i="30"/>
  <c r="J22" i="30" s="1"/>
  <c r="J24" i="30" s="1"/>
  <c r="I57" i="11"/>
  <c r="I67" i="11" s="1"/>
  <c r="H20" i="32"/>
  <c r="F10" i="40"/>
  <c r="F18" i="40" s="1"/>
  <c r="F21" i="40" s="1"/>
  <c r="F29" i="40" s="1"/>
  <c r="A121" i="53"/>
  <c r="A147" i="53"/>
  <c r="H124" i="53"/>
  <c r="J124" i="53" s="1"/>
  <c r="H16" i="53"/>
  <c r="J16" i="53" s="1"/>
  <c r="H59" i="53"/>
  <c r="J59" i="53" s="1"/>
  <c r="H29" i="53"/>
  <c r="H123" i="53"/>
  <c r="J123" i="53" s="1"/>
  <c r="A120" i="53"/>
  <c r="A62" i="53"/>
  <c r="A36" i="53"/>
  <c r="A13" i="53"/>
  <c r="B13" i="29"/>
  <c r="B17" i="29" s="1"/>
  <c r="D10" i="40"/>
  <c r="F26" i="32"/>
  <c r="D8" i="32"/>
  <c r="I78" i="37"/>
  <c r="I88" i="37" s="1"/>
  <c r="L21" i="30"/>
  <c r="L22" i="30" s="1"/>
  <c r="L24" i="30" s="1"/>
  <c r="I47" i="17"/>
  <c r="C70" i="24"/>
  <c r="C71" i="24" s="1"/>
  <c r="H29" i="23"/>
  <c r="D23" i="27" s="1"/>
  <c r="C23" i="27"/>
  <c r="H62" i="53"/>
  <c r="J62" i="53" s="1"/>
  <c r="H38" i="53"/>
  <c r="J38" i="53" s="1"/>
  <c r="F173" i="40"/>
  <c r="F174" i="40" s="1"/>
  <c r="C42" i="53"/>
  <c r="C143" i="53"/>
  <c r="H58" i="53"/>
  <c r="J58" i="53" s="1"/>
  <c r="C104" i="53"/>
  <c r="H106" i="53"/>
  <c r="J106" i="53" s="1"/>
  <c r="C46" i="53"/>
  <c r="A104" i="53"/>
  <c r="C38" i="53"/>
  <c r="A57" i="53"/>
  <c r="C35" i="53"/>
  <c r="A18" i="53"/>
  <c r="B17" i="27"/>
  <c r="I68" i="8"/>
  <c r="I57" i="16"/>
  <c r="C128" i="53"/>
  <c r="A148" i="53"/>
  <c r="H130" i="53"/>
  <c r="J130" i="53" s="1"/>
  <c r="H107" i="53"/>
  <c r="J107" i="53" s="1"/>
  <c r="A42" i="53"/>
  <c r="A12" i="53"/>
  <c r="C36" i="53"/>
  <c r="H36" i="53"/>
  <c r="J36" i="53" s="1"/>
  <c r="H100" i="53"/>
  <c r="J100" i="53" s="1"/>
  <c r="H12" i="53"/>
  <c r="J12" i="53" s="1"/>
  <c r="I49" i="19"/>
  <c r="G11" i="30"/>
  <c r="G22" i="30" s="1"/>
  <c r="G24" i="30" s="1"/>
  <c r="C32" i="53"/>
  <c r="C117" i="53"/>
  <c r="C45" i="53"/>
  <c r="A29" i="53"/>
  <c r="C12" i="53"/>
  <c r="I50" i="20"/>
  <c r="I59" i="20" s="1"/>
  <c r="H39" i="23" s="1"/>
  <c r="D30" i="27" s="1"/>
  <c r="X109" i="47"/>
  <c r="A123" i="53"/>
  <c r="A149" i="53"/>
  <c r="H122" i="53"/>
  <c r="J122" i="53" s="1"/>
  <c r="H18" i="53"/>
  <c r="J18" i="53" s="1"/>
  <c r="X112" i="47"/>
  <c r="H98" i="53"/>
  <c r="J98" i="53" s="1"/>
  <c r="H127" i="53"/>
  <c r="J127" i="53" s="1"/>
  <c r="A116" i="53"/>
  <c r="A60" i="53"/>
  <c r="A34" i="53"/>
  <c r="H108" i="53"/>
  <c r="J108" i="53" s="1"/>
  <c r="A16" i="53"/>
  <c r="C103" i="53"/>
  <c r="C31" i="53"/>
  <c r="A59" i="53"/>
  <c r="C99" i="53"/>
  <c r="H17" i="53"/>
  <c r="J17" i="53" s="1"/>
  <c r="C116" i="53"/>
  <c r="H61" i="53"/>
  <c r="J61" i="53" s="1"/>
  <c r="C115" i="53"/>
  <c r="C33" i="53"/>
  <c r="C14" i="53"/>
  <c r="H57" i="53"/>
  <c r="J57" i="53" s="1"/>
  <c r="A100" i="53"/>
  <c r="C127" i="53"/>
  <c r="C44" i="53"/>
  <c r="H34" i="53"/>
  <c r="J34" i="53" s="1"/>
  <c r="H125" i="53"/>
  <c r="J125" i="53" s="1"/>
  <c r="C124" i="53"/>
  <c r="C18" i="53"/>
  <c r="A126" i="53"/>
  <c r="H42" i="53"/>
  <c r="J42" i="53" s="1"/>
  <c r="A118" i="53"/>
  <c r="A10" i="53"/>
  <c r="C41" i="53"/>
  <c r="A37" i="53"/>
  <c r="H63" i="53"/>
  <c r="J63" i="53" s="1"/>
  <c r="C133" i="53"/>
  <c r="C57" i="53"/>
  <c r="H40" i="53"/>
  <c r="J40" i="53" s="1"/>
  <c r="A134" i="53"/>
  <c r="A43" i="53"/>
  <c r="C144" i="53"/>
  <c r="C118" i="53"/>
  <c r="C61" i="53"/>
  <c r="C39" i="53"/>
  <c r="C16" i="53"/>
  <c r="H44" i="53"/>
  <c r="J44" i="53" s="1"/>
  <c r="H11" i="53"/>
  <c r="J11" i="53" s="1"/>
  <c r="H33" i="53"/>
  <c r="J33" i="53" s="1"/>
  <c r="C134" i="53"/>
  <c r="C58" i="53"/>
  <c r="C34" i="53"/>
  <c r="C15" i="53"/>
  <c r="A35" i="53"/>
  <c r="G18" i="31"/>
  <c r="G20" i="31" s="1"/>
  <c r="N18" i="29"/>
  <c r="B10" i="28" s="1"/>
  <c r="D10" i="28" s="1"/>
  <c r="B27" i="27"/>
  <c r="I50" i="17"/>
  <c r="I648" i="41"/>
  <c r="A108" i="53"/>
  <c r="C30" i="53"/>
  <c r="A14" i="53"/>
  <c r="H21" i="53"/>
  <c r="J21" i="53" s="1"/>
  <c r="C119" i="53"/>
  <c r="H55" i="53"/>
  <c r="C63" i="53"/>
  <c r="A144" i="53"/>
  <c r="C47" i="53"/>
  <c r="A106" i="53"/>
  <c r="C43" i="53"/>
  <c r="A41" i="53"/>
  <c r="A141" i="53"/>
  <c r="I60" i="16"/>
  <c r="H10" i="31"/>
  <c r="H14" i="31" s="1"/>
  <c r="M12" i="30"/>
  <c r="I45" i="18"/>
  <c r="J144" i="7"/>
  <c r="H121" i="47"/>
  <c r="H117" i="52"/>
  <c r="H144" i="53"/>
  <c r="J144" i="53" s="1"/>
  <c r="J117" i="52"/>
  <c r="H146" i="53"/>
  <c r="J146" i="53" s="1"/>
  <c r="L117" i="52"/>
  <c r="H148" i="53"/>
  <c r="J148" i="53" s="1"/>
  <c r="N15" i="30"/>
  <c r="C48" i="7"/>
  <c r="A16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08" i="7"/>
  <c r="C107" i="7"/>
  <c r="C106" i="7"/>
  <c r="C105" i="7"/>
  <c r="C104" i="7"/>
  <c r="C103" i="7"/>
  <c r="C102" i="7"/>
  <c r="C101" i="7"/>
  <c r="C100" i="7"/>
  <c r="C99" i="7"/>
  <c r="C98" i="7"/>
  <c r="C97" i="7"/>
  <c r="A21" i="7"/>
  <c r="C20" i="7"/>
  <c r="C18" i="7"/>
  <c r="C16" i="7"/>
  <c r="C14" i="7"/>
  <c r="C12" i="7"/>
  <c r="A20" i="7"/>
  <c r="A18" i="7"/>
  <c r="A14" i="7"/>
  <c r="A12" i="7"/>
  <c r="C10" i="7"/>
  <c r="C47" i="7"/>
  <c r="C45" i="7"/>
  <c r="C43" i="7"/>
  <c r="C41" i="7"/>
  <c r="C39" i="7"/>
  <c r="C37" i="7"/>
  <c r="C35" i="7"/>
  <c r="C33" i="7"/>
  <c r="C31" i="7"/>
  <c r="A46" i="7"/>
  <c r="A44" i="7"/>
  <c r="A42" i="7"/>
  <c r="A40" i="7"/>
  <c r="A38" i="7"/>
  <c r="A36" i="7"/>
  <c r="A34" i="7"/>
  <c r="A32" i="7"/>
  <c r="C30" i="7"/>
  <c r="A30" i="7"/>
  <c r="A48" i="7"/>
  <c r="A15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08" i="7"/>
  <c r="A107" i="7"/>
  <c r="A106" i="7"/>
  <c r="A105" i="7"/>
  <c r="A104" i="7"/>
  <c r="A103" i="7"/>
  <c r="A102" i="7"/>
  <c r="A101" i="7"/>
  <c r="A100" i="7"/>
  <c r="A99" i="7"/>
  <c r="A98" i="7"/>
  <c r="A97" i="7"/>
  <c r="C21" i="7"/>
  <c r="C19" i="7"/>
  <c r="C17" i="7"/>
  <c r="C15" i="7"/>
  <c r="C13" i="7"/>
  <c r="C11" i="7"/>
  <c r="A19" i="7"/>
  <c r="A17" i="7"/>
  <c r="A13" i="7"/>
  <c r="A11" i="7"/>
  <c r="A10" i="7"/>
  <c r="C46" i="7"/>
  <c r="C44" i="7"/>
  <c r="C42" i="7"/>
  <c r="C40" i="7"/>
  <c r="C38" i="7"/>
  <c r="C36" i="7"/>
  <c r="C34" i="7"/>
  <c r="C32" i="7"/>
  <c r="A47" i="7"/>
  <c r="A45" i="7"/>
  <c r="A43" i="7"/>
  <c r="A41" i="7"/>
  <c r="A39" i="7"/>
  <c r="A37" i="7"/>
  <c r="A35" i="7"/>
  <c r="A33" i="7"/>
  <c r="A31" i="7"/>
  <c r="C29" i="7"/>
  <c r="A29" i="7"/>
  <c r="H10" i="7"/>
  <c r="H30" i="7"/>
  <c r="J30" i="7" s="1"/>
  <c r="H32" i="7"/>
  <c r="J32" i="7" s="1"/>
  <c r="H34" i="7"/>
  <c r="J34" i="7" s="1"/>
  <c r="H36" i="7"/>
  <c r="J36" i="7" s="1"/>
  <c r="H38" i="7"/>
  <c r="J38" i="7" s="1"/>
  <c r="H40" i="7"/>
  <c r="J40" i="7" s="1"/>
  <c r="H42" i="7"/>
  <c r="J42" i="7" s="1"/>
  <c r="H44" i="7"/>
  <c r="J44" i="7" s="1"/>
  <c r="H46" i="7"/>
  <c r="J46" i="7" s="1"/>
  <c r="H48" i="7"/>
  <c r="J48" i="7" s="1"/>
  <c r="J98" i="7"/>
  <c r="J100" i="7"/>
  <c r="J102" i="7"/>
  <c r="J104" i="7"/>
  <c r="J106" i="7"/>
  <c r="J108" i="7"/>
  <c r="J116" i="7"/>
  <c r="J118" i="7"/>
  <c r="J120" i="7"/>
  <c r="J122" i="7"/>
  <c r="J124" i="7"/>
  <c r="J126" i="7"/>
  <c r="J128" i="7"/>
  <c r="J130" i="7"/>
  <c r="J132" i="7"/>
  <c r="J133" i="7"/>
  <c r="H11" i="7"/>
  <c r="J11" i="7" s="1"/>
  <c r="H12" i="7"/>
  <c r="J12" i="7" s="1"/>
  <c r="H13" i="7"/>
  <c r="J13" i="7" s="1"/>
  <c r="H14" i="7"/>
  <c r="J14" i="7" s="1"/>
  <c r="H15" i="7"/>
  <c r="J15" i="7" s="1"/>
  <c r="H16" i="7"/>
  <c r="J16" i="7" s="1"/>
  <c r="H17" i="7"/>
  <c r="J17" i="7" s="1"/>
  <c r="H18" i="7"/>
  <c r="J18" i="7" s="1"/>
  <c r="H19" i="7"/>
  <c r="J19" i="7" s="1"/>
  <c r="H20" i="7"/>
  <c r="J20" i="7" s="1"/>
  <c r="H21" i="7"/>
  <c r="J21" i="7" s="1"/>
  <c r="H29" i="7"/>
  <c r="H31" i="7"/>
  <c r="J31" i="7" s="1"/>
  <c r="H33" i="7"/>
  <c r="J33" i="7" s="1"/>
  <c r="H35" i="7"/>
  <c r="J35" i="7" s="1"/>
  <c r="H37" i="7"/>
  <c r="J37" i="7" s="1"/>
  <c r="H39" i="7"/>
  <c r="J39" i="7" s="1"/>
  <c r="H41" i="7"/>
  <c r="J41" i="7" s="1"/>
  <c r="H43" i="7"/>
  <c r="J43" i="7" s="1"/>
  <c r="H45" i="7"/>
  <c r="J45" i="7" s="1"/>
  <c r="H47" i="7"/>
  <c r="J47" i="7" s="1"/>
  <c r="J99" i="7"/>
  <c r="J101" i="7"/>
  <c r="J103" i="7"/>
  <c r="J105" i="7"/>
  <c r="J107" i="7"/>
  <c r="J117" i="7"/>
  <c r="J119" i="7"/>
  <c r="J121" i="7"/>
  <c r="J123" i="7"/>
  <c r="J125" i="7"/>
  <c r="J127" i="7"/>
  <c r="J129" i="7"/>
  <c r="J131" i="7"/>
  <c r="J134" i="7"/>
  <c r="J148" i="7"/>
  <c r="L121" i="47"/>
  <c r="I117" i="52"/>
  <c r="H145" i="53"/>
  <c r="J145" i="53" s="1"/>
  <c r="K117" i="52"/>
  <c r="H147" i="53"/>
  <c r="J147" i="53" s="1"/>
  <c r="M117" i="52"/>
  <c r="H149" i="53"/>
  <c r="J149" i="53" s="1"/>
  <c r="G18" i="32"/>
  <c r="G22" i="32" s="1"/>
  <c r="G24" i="32" s="1"/>
  <c r="B21" i="29"/>
  <c r="B23" i="29" s="1"/>
  <c r="B19" i="27"/>
  <c r="I51" i="10"/>
  <c r="X108" i="52"/>
  <c r="D113" i="52"/>
  <c r="J99" i="53"/>
  <c r="J110" i="53" s="1"/>
  <c r="X117" i="47"/>
  <c r="X121" i="47"/>
  <c r="I648" i="5"/>
  <c r="G650" i="5"/>
  <c r="C30" i="27"/>
  <c r="J10" i="53"/>
  <c r="I48" i="10"/>
  <c r="F24" i="32"/>
  <c r="BI84" i="40" l="1"/>
  <c r="J176" i="40"/>
  <c r="J187" i="40" s="1"/>
  <c r="J191" i="40" s="1"/>
  <c r="BI165" i="40"/>
  <c r="BI101" i="40"/>
  <c r="BI110" i="40"/>
  <c r="BI154" i="40"/>
  <c r="BI119" i="40"/>
  <c r="BI128" i="40"/>
  <c r="BI173" i="40"/>
  <c r="BI145" i="40"/>
  <c r="BI57" i="40"/>
  <c r="BI174" i="40"/>
  <c r="V176" i="40"/>
  <c r="V187" i="40" s="1"/>
  <c r="V191" i="40" s="1"/>
  <c r="F39" i="40"/>
  <c r="N191" i="40"/>
  <c r="D18" i="40"/>
  <c r="D21" i="40" s="1"/>
  <c r="D29" i="40" s="1"/>
  <c r="D156" i="40"/>
  <c r="D176" i="40" s="1"/>
  <c r="D187" i="40" s="1"/>
  <c r="D191" i="40" s="1"/>
  <c r="H191" i="40"/>
  <c r="F156" i="40"/>
  <c r="AC191" i="40"/>
  <c r="N26" i="30"/>
  <c r="B14" i="28" s="1"/>
  <c r="D14" i="28" s="1"/>
  <c r="H12" i="32"/>
  <c r="H18" i="32" s="1"/>
  <c r="I93" i="37"/>
  <c r="C21" i="24" s="1"/>
  <c r="I51" i="12"/>
  <c r="C17" i="24" s="1"/>
  <c r="C21" i="27"/>
  <c r="N9" i="30"/>
  <c r="C11" i="30"/>
  <c r="C22" i="30" s="1"/>
  <c r="C24" i="30" s="1"/>
  <c r="N17" i="30"/>
  <c r="B11" i="30"/>
  <c r="B22" i="30" s="1"/>
  <c r="B24" i="30" s="1"/>
  <c r="C20" i="27"/>
  <c r="H24" i="23"/>
  <c r="D20" i="27" s="1"/>
  <c r="I72" i="11"/>
  <c r="C16" i="24" s="1"/>
  <c r="H110" i="53"/>
  <c r="C27" i="27"/>
  <c r="H34" i="23"/>
  <c r="D27" i="27" s="1"/>
  <c r="H16" i="23"/>
  <c r="D13" i="27" s="1"/>
  <c r="C13" i="27"/>
  <c r="I134" i="34"/>
  <c r="C9" i="24" s="1"/>
  <c r="H40" i="23"/>
  <c r="D31" i="27" s="1"/>
  <c r="I63" i="21"/>
  <c r="C27" i="24" s="1"/>
  <c r="C31" i="27"/>
  <c r="N8" i="30"/>
  <c r="I52" i="17"/>
  <c r="C23" i="24" s="1"/>
  <c r="H19" i="23"/>
  <c r="D15" i="27" s="1"/>
  <c r="I87" i="6"/>
  <c r="C11" i="24" s="1"/>
  <c r="C15" i="27"/>
  <c r="K18" i="30"/>
  <c r="K22" i="30" s="1"/>
  <c r="N16" i="30"/>
  <c r="I64" i="20"/>
  <c r="C26" i="24" s="1"/>
  <c r="C29" i="27"/>
  <c r="I54" i="19"/>
  <c r="C25" i="24" s="1"/>
  <c r="H37" i="23"/>
  <c r="D29" i="27" s="1"/>
  <c r="D11" i="32"/>
  <c r="H8" i="32"/>
  <c r="C8" i="28"/>
  <c r="C11" i="28" s="1"/>
  <c r="H18" i="31"/>
  <c r="H20" i="31" s="1"/>
  <c r="I70" i="8"/>
  <c r="C13" i="24" s="1"/>
  <c r="C17" i="27"/>
  <c r="H21" i="23"/>
  <c r="D17" i="27" s="1"/>
  <c r="H136" i="53"/>
  <c r="J29" i="53"/>
  <c r="H50" i="53"/>
  <c r="I62" i="16"/>
  <c r="C22" i="24" s="1"/>
  <c r="H33" i="23"/>
  <c r="D26" i="27" s="1"/>
  <c r="H31" i="23"/>
  <c r="D25" i="27" s="1"/>
  <c r="C25" i="27"/>
  <c r="G661" i="41"/>
  <c r="G671" i="41" s="1"/>
  <c r="I671" i="41" s="1"/>
  <c r="I650" i="41"/>
  <c r="H23" i="53"/>
  <c r="H67" i="53" s="1"/>
  <c r="H88" i="53" s="1"/>
  <c r="H184" i="53" s="1"/>
  <c r="J55" i="53"/>
  <c r="H65" i="53"/>
  <c r="J54" i="7"/>
  <c r="J65" i="7" s="1"/>
  <c r="H65" i="7"/>
  <c r="I50" i="18"/>
  <c r="C24" i="24" s="1"/>
  <c r="H36" i="23"/>
  <c r="D28" i="27" s="1"/>
  <c r="C28" i="27"/>
  <c r="J115" i="7"/>
  <c r="J136" i="7" s="1"/>
  <c r="H136" i="7"/>
  <c r="J97" i="7"/>
  <c r="J110" i="7" s="1"/>
  <c r="H110" i="7"/>
  <c r="H50" i="7"/>
  <c r="J29" i="7"/>
  <c r="J10" i="7"/>
  <c r="H23" i="7"/>
  <c r="N12" i="30"/>
  <c r="M18" i="30"/>
  <c r="M22" i="30" s="1"/>
  <c r="M24" i="30" s="1"/>
  <c r="J23" i="53"/>
  <c r="L14" i="40"/>
  <c r="I650" i="5"/>
  <c r="G661" i="5"/>
  <c r="X113" i="52"/>
  <c r="D117" i="52"/>
  <c r="X117" i="52" s="1"/>
  <c r="H140" i="53"/>
  <c r="H23" i="23"/>
  <c r="D19" i="27" s="1"/>
  <c r="C19" i="27"/>
  <c r="I53" i="10"/>
  <c r="C15" i="24" s="1"/>
  <c r="H151" i="7"/>
  <c r="J140" i="7"/>
  <c r="J151" i="7" s="1"/>
  <c r="BI156" i="40" l="1"/>
  <c r="F176" i="40"/>
  <c r="F187" i="40" s="1"/>
  <c r="F191" i="40" s="1"/>
  <c r="H153" i="7"/>
  <c r="H170" i="7" s="1"/>
  <c r="H181" i="7" s="1"/>
  <c r="N11" i="30"/>
  <c r="N18" i="30"/>
  <c r="H13" i="29"/>
  <c r="P10" i="40"/>
  <c r="BI10" i="40" s="1"/>
  <c r="H67" i="7"/>
  <c r="H88" i="7" s="1"/>
  <c r="H184" i="7" s="1"/>
  <c r="J153" i="7"/>
  <c r="L10" i="40"/>
  <c r="J65" i="53"/>
  <c r="F13" i="29" s="1"/>
  <c r="J50" i="53"/>
  <c r="F16" i="29" s="1"/>
  <c r="L16" i="40"/>
  <c r="I661" i="41"/>
  <c r="D22" i="32"/>
  <c r="H11" i="32"/>
  <c r="J23" i="7"/>
  <c r="P14" i="40"/>
  <c r="BI14" i="40" s="1"/>
  <c r="P16" i="40"/>
  <c r="BI16" i="40" s="1"/>
  <c r="J50" i="7"/>
  <c r="H16" i="29" s="1"/>
  <c r="H151" i="53"/>
  <c r="H153" i="53" s="1"/>
  <c r="H170" i="53" s="1"/>
  <c r="H181" i="53" s="1"/>
  <c r="H186" i="53" s="1"/>
  <c r="J140" i="53"/>
  <c r="J151" i="53" s="1"/>
  <c r="J153" i="53" s="1"/>
  <c r="J170" i="53" s="1"/>
  <c r="F15" i="29"/>
  <c r="J67" i="53"/>
  <c r="J88" i="53" s="1"/>
  <c r="G672" i="5"/>
  <c r="I661" i="5"/>
  <c r="C77" i="24" s="1"/>
  <c r="J170" i="7" l="1"/>
  <c r="P33" i="40" s="1"/>
  <c r="P18" i="40"/>
  <c r="L18" i="40"/>
  <c r="H186" i="7"/>
  <c r="N13" i="29"/>
  <c r="D24" i="32"/>
  <c r="H22" i="32"/>
  <c r="G677" i="41"/>
  <c r="N16" i="29"/>
  <c r="H15" i="29"/>
  <c r="H17" i="29" s="1"/>
  <c r="H21" i="29" s="1"/>
  <c r="H23" i="29" s="1"/>
  <c r="J67" i="7"/>
  <c r="J88" i="7" s="1"/>
  <c r="L21" i="40"/>
  <c r="J184" i="53"/>
  <c r="B14" i="27"/>
  <c r="J181" i="53"/>
  <c r="L33" i="40"/>
  <c r="L39" i="40" s="1"/>
  <c r="L176" i="40" s="1"/>
  <c r="L187" i="40" s="1"/>
  <c r="F22" i="30"/>
  <c r="G678" i="5"/>
  <c r="I672" i="5"/>
  <c r="F17" i="29"/>
  <c r="P39" i="40" l="1"/>
  <c r="BI33" i="40"/>
  <c r="H22" i="30"/>
  <c r="H24" i="30" s="1"/>
  <c r="J181" i="7"/>
  <c r="P21" i="40"/>
  <c r="BI18" i="40"/>
  <c r="N15" i="29"/>
  <c r="G681" i="41"/>
  <c r="I681" i="41" s="1"/>
  <c r="C7" i="24" s="1"/>
  <c r="I677" i="41"/>
  <c r="C11" i="27"/>
  <c r="H14" i="23"/>
  <c r="D11" i="27" s="1"/>
  <c r="C12" i="28"/>
  <c r="C15" i="28" s="1"/>
  <c r="C17" i="28" s="1"/>
  <c r="H24" i="32"/>
  <c r="B16" i="27"/>
  <c r="B35" i="27" s="1"/>
  <c r="J184" i="7"/>
  <c r="F21" i="29"/>
  <c r="F23" i="29" s="1"/>
  <c r="N17" i="29"/>
  <c r="C10" i="27"/>
  <c r="H13" i="23"/>
  <c r="F24" i="30"/>
  <c r="H18" i="23"/>
  <c r="D14" i="27" s="1"/>
  <c r="J186" i="53"/>
  <c r="C10" i="24" s="1"/>
  <c r="C14" i="27"/>
  <c r="L29" i="40"/>
  <c r="I678" i="5"/>
  <c r="C75" i="24" s="1"/>
  <c r="G682" i="5"/>
  <c r="I682" i="5" s="1"/>
  <c r="C6" i="24" s="1"/>
  <c r="J186" i="7" l="1"/>
  <c r="C12" i="24" s="1"/>
  <c r="P29" i="40"/>
  <c r="BI21" i="40"/>
  <c r="N22" i="30"/>
  <c r="B12" i="28" s="1"/>
  <c r="H20" i="23"/>
  <c r="D16" i="27" s="1"/>
  <c r="C16" i="27"/>
  <c r="C35" i="27" s="1"/>
  <c r="P176" i="40"/>
  <c r="BI39" i="40"/>
  <c r="L191" i="40"/>
  <c r="D10" i="27"/>
  <c r="B8" i="28"/>
  <c r="N21" i="29"/>
  <c r="N23" i="29" s="1"/>
  <c r="H44" i="23" l="1"/>
  <c r="D35" i="27"/>
  <c r="P187" i="40"/>
  <c r="BI187" i="40" s="1"/>
  <c r="BI176" i="40"/>
  <c r="N24" i="30"/>
  <c r="BI29" i="40"/>
  <c r="D8" i="28"/>
  <c r="B11" i="28"/>
  <c r="D11" i="28" s="1"/>
  <c r="B15" i="28"/>
  <c r="D12" i="28"/>
  <c r="P191" i="40" l="1"/>
  <c r="BI191" i="40" s="1"/>
  <c r="D15" i="28"/>
  <c r="B17" i="28"/>
  <c r="D17" i="28" s="1"/>
</calcChain>
</file>

<file path=xl/sharedStrings.xml><?xml version="1.0" encoding="utf-8"?>
<sst xmlns="http://schemas.openxmlformats.org/spreadsheetml/2006/main" count="11439" uniqueCount="1609">
  <si>
    <t>1910</t>
  </si>
  <si>
    <t>1920</t>
  </si>
  <si>
    <t>1930</t>
  </si>
  <si>
    <t>Rentals/Leases</t>
  </si>
  <si>
    <t>Contributions and Donations for Private Sources</t>
  </si>
  <si>
    <t>Sale of Fixed Assets</t>
  </si>
  <si>
    <t>Services Provided Charter Schools: local</t>
  </si>
  <si>
    <t>3954</t>
  </si>
  <si>
    <t>TOTAL REVENUE FROM LOCAL SOURCES (Sum of lines 1-38)</t>
  </si>
  <si>
    <t>Services Provided Charter Schools: State Level</t>
  </si>
  <si>
    <t>Services Provided Charter Schools: Federal Level</t>
  </si>
  <si>
    <t>Transportation Fees from Other Colorado Districts or BOCES (or AU)</t>
  </si>
  <si>
    <t>1430</t>
  </si>
  <si>
    <t>Transportation Fees from School Districts Outside the State</t>
  </si>
  <si>
    <t>1440</t>
  </si>
  <si>
    <t>Transportation Fees from Other Sources</t>
  </si>
  <si>
    <t>1490</t>
  </si>
  <si>
    <t>Other Transportation Fees</t>
  </si>
  <si>
    <t>Transportation Fees from WITHIN the BOCES (or AU)</t>
  </si>
  <si>
    <t>1600</t>
  </si>
  <si>
    <t>Food Services</t>
  </si>
  <si>
    <t>Pupil Activities</t>
  </si>
  <si>
    <t>1740</t>
  </si>
  <si>
    <t>Fees</t>
  </si>
  <si>
    <t>3116</t>
  </si>
  <si>
    <t>School Construction and Renovation Project</t>
  </si>
  <si>
    <t>5500</t>
  </si>
  <si>
    <t>5400</t>
  </si>
  <si>
    <t>Capital Leases</t>
  </si>
  <si>
    <t>0632</t>
  </si>
  <si>
    <t>note: fund 63 may be used as an other risk-related activity fund. It will roll into fund 64 if used.</t>
  </si>
  <si>
    <t>Funds 61-62 and 65-69:  OTHER INTERNAL SERVICE FUNDS</t>
  </si>
  <si>
    <t>Fund 42:  SPECIAL BUILDING AND TECHNOLOGY FUND</t>
  </si>
  <si>
    <t>Fund 43:  CAPITAL RESERVE CAPITAL PROJECTS FUND</t>
  </si>
  <si>
    <t xml:space="preserve">     Total Education for Adults Services</t>
  </si>
  <si>
    <t>Fund 11: CHARTER FUND REVENUE</t>
  </si>
  <si>
    <t>Fund 11:  CHARTER FUND EXPENDITURES</t>
  </si>
  <si>
    <t>Fund 11: CHARTER FUND EXPENDITURES</t>
  </si>
  <si>
    <t>0750-0799</t>
  </si>
  <si>
    <t>TOTAL EXPENDITURES AND OTHER USES(Sum of lines 11 - 24)</t>
  </si>
  <si>
    <t>TOTAL APPROPRIATED RESERVES (Sum of 26 - 30)</t>
  </si>
  <si>
    <t>TOTAL BUILDING FUND EXPENDITURES AND APPROPRIATED RESERVES (Sum of lines 25 &amp; 31)</t>
  </si>
  <si>
    <t>Total Instructional Program Expenditures (Sum of lines 18-32)</t>
  </si>
  <si>
    <t>Total Support Program Expenditures (Sum of lines 34-48)</t>
  </si>
  <si>
    <t>FEDERAL FUNDS NOT IN OTHER FUNDS</t>
  </si>
  <si>
    <t>Total Other Uses Expenditures (Sum of lines 50-51)</t>
  </si>
  <si>
    <t>TOTAL EXPENDITURES AND OTHER USES (Sum of lines 33,49,52)</t>
  </si>
  <si>
    <t>TOTAL CAPITAL RESERVE CAPITAL PROJECTS FUND EXPENDITURES AND APPROPRIATED RESERVES (Sum of lines 53 &amp; 59)</t>
  </si>
  <si>
    <t>Delinquent Taxes and Penalties and Interest on Taxes</t>
  </si>
  <si>
    <t>Other Taxes from Local Sources</t>
  </si>
  <si>
    <t>Tuition from Individuals</t>
  </si>
  <si>
    <t>Summer School/Interterm/Intercession Fees</t>
  </si>
  <si>
    <t xml:space="preserve">Allocation from General Fund.  </t>
  </si>
  <si>
    <t>GENERAL INSTRUCTIONS</t>
  </si>
  <si>
    <r>
      <t>COUNTY: ALAMOSA</t>
    </r>
    <r>
      <rPr>
        <b/>
        <sz val="10"/>
        <rFont val="Arial"/>
      </rPr>
      <t/>
    </r>
  </si>
  <si>
    <r>
      <t>DISTRICT NAME: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ALAMOSA RE-11J</t>
    </r>
  </si>
  <si>
    <r>
      <t>ESTIMATED FUNDED PUPIL COUNT: 3000</t>
    </r>
    <r>
      <rPr>
        <b/>
        <sz val="10"/>
        <rFont val="Arial"/>
      </rPr>
      <t/>
    </r>
  </si>
  <si>
    <r>
      <t xml:space="preserve">In cell </t>
    </r>
    <r>
      <rPr>
        <b/>
        <sz val="12"/>
        <rFont val="Arial"/>
        <family val="2"/>
      </rPr>
      <t>B5, F5, C7</t>
    </r>
    <r>
      <rPr>
        <sz val="12"/>
        <rFont val="Arial"/>
        <family val="2"/>
      </rPr>
      <t>and</t>
    </r>
    <r>
      <rPr>
        <b/>
        <sz val="12"/>
        <rFont val="Arial"/>
        <family val="2"/>
      </rPr>
      <t xml:space="preserve"> F7</t>
    </r>
    <r>
      <rPr>
        <sz val="12"/>
        <rFont val="Arial"/>
        <family val="2"/>
      </rPr>
      <t xml:space="preserve"> on page 1, enter the header information exactly as it is to appears below.</t>
    </r>
  </si>
  <si>
    <t>FOUR DIGIT DISTRICT/BOCES CODE: 0100</t>
  </si>
  <si>
    <t>Financial Policies and Procedures Handbook</t>
  </si>
  <si>
    <t>After completing the CDE-18 -review the error report.  Make appropriate corrections to fund pages to correct errors.</t>
  </si>
  <si>
    <t>Services Provided Other Units: State Level</t>
  </si>
  <si>
    <t>Impact Aid</t>
  </si>
  <si>
    <t>Handicapped Education</t>
  </si>
  <si>
    <t>All Other Federal Revenue Codes</t>
  </si>
  <si>
    <t>Other Sources</t>
  </si>
  <si>
    <t>1900</t>
  </si>
  <si>
    <t>Other Revenue from Local Sources</t>
  </si>
  <si>
    <t>3114</t>
  </si>
  <si>
    <t>3115</t>
  </si>
  <si>
    <t>Increasing Enrollment Aid</t>
  </si>
  <si>
    <t>Tracking On-Line Programs</t>
  </si>
  <si>
    <t xml:space="preserve">Employee Benefits - staff details tab  </t>
  </si>
  <si>
    <t>4951</t>
  </si>
  <si>
    <t>Services Provided within BOCES: Federal Level</t>
  </si>
  <si>
    <t>4952</t>
  </si>
  <si>
    <t>Services Provided other Colorado Districts  or BOCES: Federal Level</t>
  </si>
  <si>
    <t>4959</t>
  </si>
  <si>
    <t>Services Provided Other Units: Federal Level</t>
  </si>
  <si>
    <t>5900</t>
  </si>
  <si>
    <t>3170</t>
  </si>
  <si>
    <t>Small Attendance Center Aid</t>
  </si>
  <si>
    <t>1321</t>
  </si>
  <si>
    <t>1322</t>
  </si>
  <si>
    <t>1323</t>
  </si>
  <si>
    <t>1324</t>
  </si>
  <si>
    <t>1330</t>
  </si>
  <si>
    <t>Tuition from WITHIN the BOCES (or Administrative Unit(AU))</t>
  </si>
  <si>
    <t>Tuition from Excess Costs</t>
  </si>
  <si>
    <t>Tuition from CDE for Out-of District Placed Pupils</t>
  </si>
  <si>
    <t>Tuition from School Districts Outside the State</t>
  </si>
  <si>
    <t>Tuition from Other Sources</t>
  </si>
  <si>
    <t>1410</t>
  </si>
  <si>
    <t>1411</t>
  </si>
  <si>
    <t>Transportation Fees From Individuals for Activities</t>
  </si>
  <si>
    <t>1421</t>
  </si>
  <si>
    <t>Tuition from Other Colorado Districts or BOCES (or AU)</t>
  </si>
  <si>
    <t>1422</t>
  </si>
  <si>
    <t xml:space="preserve">     TABOR Worksheets (2 pages)</t>
  </si>
  <si>
    <t>Total Instructional Program Expenditures (Sum of lines 9-38)</t>
  </si>
  <si>
    <t xml:space="preserve">     Consolidated Budget Summary (6 pages)</t>
  </si>
  <si>
    <t>E-MAIL</t>
  </si>
  <si>
    <t xml:space="preserve">     </t>
  </si>
  <si>
    <r>
      <t xml:space="preserve">Please enter information in the cells with </t>
    </r>
    <r>
      <rPr>
        <sz val="12"/>
        <color indexed="12"/>
        <rFont val="Arial"/>
        <family val="2"/>
      </rPr>
      <t xml:space="preserve">Blue Text.  </t>
    </r>
    <r>
      <rPr>
        <sz val="12"/>
        <rFont val="Arial"/>
        <family val="2"/>
      </rPr>
      <t>Do not use decimals when entering data in the CDE-18 report.</t>
    </r>
  </si>
  <si>
    <t>2400 - School Administration</t>
  </si>
  <si>
    <t>TOTAL SCHOOL ADMINISTRATION SUPPORT</t>
  </si>
  <si>
    <t>2500 - Business Services</t>
  </si>
  <si>
    <t>TOTAL BUSINESS SERVICES SUPPORT</t>
  </si>
  <si>
    <t>BEGINNING RETAINED EARNINGS</t>
  </si>
  <si>
    <t>EXPENSES AND OTHER USES</t>
  </si>
  <si>
    <t>0633</t>
  </si>
  <si>
    <t>0600-0699 not 0630-0639</t>
  </si>
  <si>
    <t>0735</t>
  </si>
  <si>
    <t>0740</t>
  </si>
  <si>
    <t>0869</t>
  </si>
  <si>
    <t>9200</t>
  </si>
  <si>
    <t>0730</t>
  </si>
  <si>
    <t>Funds 52-59: OTHER ENTERPRISE FUNDS</t>
  </si>
  <si>
    <t>*Round to Nearest Dollar*</t>
  </si>
  <si>
    <t>Fund 64:  RISK-RELATED ACTIVITY FUND</t>
  </si>
  <si>
    <t>TRANSFERS</t>
  </si>
  <si>
    <t>FUND</t>
  </si>
  <si>
    <t>SUPPORT SERVICES PROGRAM CODES</t>
  </si>
  <si>
    <t>2100 - Students</t>
  </si>
  <si>
    <t>2200 - Instructional Staff</t>
  </si>
  <si>
    <t>TOTAL STUDENT SUPPORT</t>
  </si>
  <si>
    <t>TOTAL INSTRUCTIONAL STAFF SUPPORT</t>
  </si>
  <si>
    <t>2300 - General Administration</t>
  </si>
  <si>
    <t>TOTAL GENERAL ADMINISTRATION SUPPORT</t>
  </si>
  <si>
    <r>
      <t xml:space="preserve">0070 - Gifted and Talented Education </t>
    </r>
    <r>
      <rPr>
        <b/>
        <sz val="8"/>
        <color indexed="10"/>
        <rFont val="Helv"/>
      </rPr>
      <t>(All Gifted and Talented Education accounts should be coded with Grant Code 3150)</t>
    </r>
  </si>
  <si>
    <t>Unemployment Compensation Insurance - Program Code 2850 (or 2800)</t>
  </si>
  <si>
    <t>Workers' Compensation Insurance - Program Code 2850 (or 2800)</t>
  </si>
  <si>
    <t>District Student Insurance - Program Code 2850 (or 2800)</t>
  </si>
  <si>
    <t>Federal Sources - School Breakfast Program (CFDA # 10.553)</t>
  </si>
  <si>
    <t>For your Accountability Report: Report Card Data.</t>
  </si>
  <si>
    <t>Please Refer to the Chart of Accounts for further information regarding how you must use this fund.</t>
  </si>
  <si>
    <t>2600 - Operations and Maintenance</t>
  </si>
  <si>
    <t>TOTAL OPERATIONS AND MAINTENANCE</t>
  </si>
  <si>
    <t>2700 - Student Transportation</t>
  </si>
  <si>
    <t>TOTAL STUDENT TRANSPORTATION</t>
  </si>
  <si>
    <t>2800 - Central Support</t>
  </si>
  <si>
    <t>TOTAL CENTRAL SUPPORT</t>
  </si>
  <si>
    <t>2900 - Other Support</t>
  </si>
  <si>
    <t>TOTAL OTHER SUPPORT</t>
  </si>
  <si>
    <t>3100 - Food Service Operations</t>
  </si>
  <si>
    <t>0630</t>
  </si>
  <si>
    <t>TOTAL FOOD SERVICE OPERATIONS</t>
  </si>
  <si>
    <t>3300 - Community Services</t>
  </si>
  <si>
    <t>TOTAL COMMUNITY SERVICES</t>
  </si>
  <si>
    <t>3400 - Education for Adults</t>
  </si>
  <si>
    <t>TOTAL EDUCATION FOR ADULTS</t>
  </si>
  <si>
    <t>4000 - FACILITIES ACQUISITION AND CONSTRUCTION SERVICES</t>
  </si>
  <si>
    <t>TOTAL FACILITIES ACQUISITION AND CONSTRUCTION SERVICES</t>
  </si>
  <si>
    <t>1610-1614</t>
  </si>
  <si>
    <t>Reimbursable food Service Revenue</t>
  </si>
  <si>
    <t>0520</t>
  </si>
  <si>
    <t>0521</t>
  </si>
  <si>
    <t>0523</t>
  </si>
  <si>
    <t>0524</t>
  </si>
  <si>
    <t>Federal Revenue from CDE</t>
  </si>
  <si>
    <t>Federal Revenue from other State Source</t>
  </si>
  <si>
    <t>Federal Revenue directly from Federal Government</t>
  </si>
  <si>
    <t>4010</t>
  </si>
  <si>
    <t>4020</t>
  </si>
  <si>
    <t>5819</t>
  </si>
  <si>
    <t>PRIOR YEAR</t>
  </si>
  <si>
    <t>CURRENT YEAR</t>
  </si>
  <si>
    <r>
      <t xml:space="preserve">CURRENT FISCAL YEAR </t>
    </r>
    <r>
      <rPr>
        <b/>
        <sz val="8"/>
        <rFont val="Helv"/>
      </rPr>
      <t>PROJECTED TABOR PROPERTY TAX LIMITATION</t>
    </r>
  </si>
  <si>
    <r>
      <t xml:space="preserve">CURRENT FISCAL YEAR </t>
    </r>
    <r>
      <rPr>
        <b/>
        <sz val="8"/>
        <rFont val="Helv"/>
      </rPr>
      <t>PROJECTED TABOR SPENDING LIMITATION</t>
    </r>
  </si>
  <si>
    <t>1. Enter Current FY Fund Data as Listed below.</t>
  </si>
  <si>
    <t>TOTAL CURRENT FY TABOR EXPENDITURES</t>
  </si>
  <si>
    <t>TOTAL CURRENT FY TABOR DEDUCTIONS</t>
  </si>
  <si>
    <t>7. MAXIMUM ALLOWED TABOR SPENDING FOR CURRENT FY (line 3 plus line 6)</t>
  </si>
  <si>
    <t>0525</t>
  </si>
  <si>
    <t>0526</t>
  </si>
  <si>
    <t>0527</t>
  </si>
  <si>
    <t>0528</t>
  </si>
  <si>
    <t>0522</t>
  </si>
  <si>
    <t>Insurance Premiums</t>
  </si>
  <si>
    <t>Property Insurance - Program Code 2620 (or 2600)</t>
  </si>
  <si>
    <t>Fidelity Insurance - Program Code 2850 (or 2800)</t>
  </si>
  <si>
    <t>1340</t>
  </si>
  <si>
    <t>All Other Local Revenue Codes</t>
  </si>
  <si>
    <t>1.  General Fund</t>
  </si>
  <si>
    <t xml:space="preserve">25        Transportation </t>
  </si>
  <si>
    <t>31                        Bond Redemption</t>
  </si>
  <si>
    <t>41                    Building Fund</t>
  </si>
  <si>
    <t>42                    Special Building &amp; Technology</t>
  </si>
  <si>
    <t>43                       Capital Reserve Capital Projects</t>
  </si>
  <si>
    <t>50                   Enterprise Funds</t>
  </si>
  <si>
    <t xml:space="preserve">60                   Internal Service </t>
  </si>
  <si>
    <t>Federal Sources - School Lunch Program (CFDA # 10.555, 10.556, 10.559, 10.564)</t>
  </si>
  <si>
    <t>Commodity Fees</t>
  </si>
  <si>
    <t>0630-0639 not 0632-0633</t>
  </si>
  <si>
    <t>Commodities</t>
  </si>
  <si>
    <t>Other Supplies</t>
  </si>
  <si>
    <t>0800-0899 not 0869</t>
  </si>
  <si>
    <t>Tuition Charges</t>
  </si>
  <si>
    <t>Food Service</t>
  </si>
  <si>
    <t>Pupil Activity</t>
  </si>
  <si>
    <t>1800</t>
  </si>
  <si>
    <t>TOTAL GENERAL FUND EXPENDITURES AND APPROPRIATED RESERVES</t>
  </si>
  <si>
    <t>TOTAL APPROPRIATED RESERVES</t>
  </si>
  <si>
    <t xml:space="preserve">      ---MUST EQUAL AMOUNT ON APPROPRIATION RESOLUTION PAGE---</t>
  </si>
  <si>
    <t>TOTAL NET REVENUE</t>
  </si>
  <si>
    <t>DIFFERENCE MUST EQUAL 0</t>
  </si>
  <si>
    <t>5100 - Debt Service</t>
  </si>
  <si>
    <t>TOTAL EXPENDITURES AND OTHER USES</t>
  </si>
  <si>
    <t>TOTAL GENERAL FUND EXPENDITURES AND RESERVES</t>
  </si>
  <si>
    <t>Vehicles (for use with Program Code 0850 - Drivers Education only)</t>
  </si>
  <si>
    <t>5000 - Other Uses</t>
  </si>
  <si>
    <t>APPROPRIATED RESERVES</t>
  </si>
  <si>
    <t>NON-APPROPRIATED RESERVES</t>
  </si>
  <si>
    <t>Object Codes</t>
  </si>
  <si>
    <t>TOTALS</t>
  </si>
  <si>
    <t>Funds 74:  PUPIL ACTIVITY AGENCY FUND</t>
  </si>
  <si>
    <t>BEGINNING ASSETS</t>
  </si>
  <si>
    <t>ARBITRAGE REBATE AMOUNT</t>
  </si>
  <si>
    <t>1. General Fund</t>
  </si>
  <si>
    <t>2. Building Fund</t>
  </si>
  <si>
    <t>3. Bond Fund</t>
  </si>
  <si>
    <t>5. TOTAL FOR ALL FUNDS (Sum of lines 1-4)</t>
  </si>
  <si>
    <t>COMPONENT UNIT REVENUE AND EXPENDITURES/EXPENSES</t>
  </si>
  <si>
    <t>1. Charges for Services</t>
  </si>
  <si>
    <t>2. Property Taxes</t>
  </si>
  <si>
    <t>Not Required</t>
  </si>
  <si>
    <t>3. Earning on Investments</t>
  </si>
  <si>
    <t>4. Other Revenue</t>
  </si>
  <si>
    <t>EXPENDITURES/EXPENSES AND OTHER USES</t>
  </si>
  <si>
    <t>10. TOTAL EXPENDITURES/EXPENSES (Sum of lines 8-9)</t>
  </si>
  <si>
    <t>1951</t>
  </si>
  <si>
    <t>1952</t>
  </si>
  <si>
    <t>1959</t>
  </si>
  <si>
    <t>3112</t>
  </si>
  <si>
    <t>3113</t>
  </si>
  <si>
    <t>3180</t>
  </si>
  <si>
    <t>3951</t>
  </si>
  <si>
    <t>3952</t>
  </si>
  <si>
    <t>3959</t>
  </si>
  <si>
    <t>56XX</t>
  </si>
  <si>
    <t>5810</t>
  </si>
  <si>
    <t xml:space="preserve">This is not a TRUE fund that requires budgetary control.  </t>
  </si>
  <si>
    <t xml:space="preserve">It is a "fund" that CDE has established for you to tell us what your district debt information is. </t>
  </si>
  <si>
    <t xml:space="preserve">     Total Operations and Maintenance</t>
  </si>
  <si>
    <t>Student Transportation - Program 2700</t>
  </si>
  <si>
    <t xml:space="preserve">     Total Student Transportation</t>
  </si>
  <si>
    <t>0300,0400 ,0500</t>
  </si>
  <si>
    <t xml:space="preserve">     Total Central Support</t>
  </si>
  <si>
    <t>Other Support - Program 2900</t>
  </si>
  <si>
    <t xml:space="preserve">     Total Other Support</t>
  </si>
  <si>
    <t>Food Service Operations - Program 3100</t>
  </si>
  <si>
    <t>Enterprise Operatings - Program 3200</t>
  </si>
  <si>
    <t xml:space="preserve">     Total Enterprise Operations</t>
  </si>
  <si>
    <t>Pre-School Fund</t>
  </si>
  <si>
    <t>p</t>
  </si>
  <si>
    <t>1a.</t>
  </si>
  <si>
    <t>Pre</t>
  </si>
  <si>
    <t>School</t>
  </si>
  <si>
    <t>11. Appropriated Reserves</t>
  </si>
  <si>
    <t>12. TOTAL EXPENDITURES/EXPENSES AND APPROPRIATED RESERVES (Sum of lines 10-11)</t>
  </si>
  <si>
    <t xml:space="preserve">      ---LINE 12 MUST EQUAL AMOUNT ON APPROPRIATION RESOLUTION PAGE---</t>
  </si>
  <si>
    <t>13. Total Non-Appropriated Reserves</t>
  </si>
  <si>
    <t>14. TOTAL EXPENDITURES/EXPENSES AND RESERVES (Sum of lines 12-13)</t>
  </si>
  <si>
    <t>TABOR  EMERGENCY RESERVES</t>
  </si>
  <si>
    <t>1. General Fund (includes Charter School Fund)</t>
  </si>
  <si>
    <r>
      <t xml:space="preserve">OTHER SOURCES - </t>
    </r>
    <r>
      <rPr>
        <i/>
        <sz val="8"/>
        <color indexed="10"/>
        <rFont val="Helv"/>
      </rPr>
      <t>LIST ALL GRANTS BY GRANT/PROJECT CODE, TITLE AND FUND</t>
    </r>
  </si>
  <si>
    <t>OTHER SOURCES</t>
  </si>
  <si>
    <t>TOTAL GOVERNMENTAL DESIGNATED PURPOSE GRANTS FUND EXPENDITURES AND APPROPRIATED RESERVES</t>
  </si>
  <si>
    <t>80.</t>
  </si>
  <si>
    <t>PROGRAMS 0010-2099</t>
  </si>
  <si>
    <t>PROGRAMS 0010-9900</t>
  </si>
  <si>
    <t>3000</t>
  </si>
  <si>
    <t>State Matching Child Nutrition: Grant 3161</t>
  </si>
  <si>
    <t>School Breakfast Program: Grant 3162</t>
  </si>
  <si>
    <t>Start Smart Nutrition: Grant 3164</t>
  </si>
  <si>
    <t>10</t>
  </si>
  <si>
    <t>11</t>
  </si>
  <si>
    <t>81.</t>
  </si>
  <si>
    <t>SCHOOL DISTRICT</t>
  </si>
  <si>
    <t>DISTRICT CODE</t>
  </si>
  <si>
    <t>10                   General Fund</t>
  </si>
  <si>
    <t>11                      Charter School Fund</t>
  </si>
  <si>
    <t>18               Insurance Reserve / Risk-Management</t>
  </si>
  <si>
    <t>22                 Governmental Designated Grants Fund</t>
  </si>
  <si>
    <t xml:space="preserve">23                       Pupil Activity </t>
  </si>
  <si>
    <t>time it adopts the budget.  The appropriation resolution shall specify the amount of money</t>
  </si>
  <si>
    <t>If you treat Transfers Out as an expenditure - report such amounts here:</t>
  </si>
  <si>
    <t>If you treat Allocations Out as an expenditure - report such amounts here:</t>
  </si>
  <si>
    <t>Transfers and Allocations Out (as reported at the bottom of the GenFundREV page)</t>
  </si>
  <si>
    <t>Link of amounts from the GenFundREV page</t>
  </si>
  <si>
    <t>NOTE-1:</t>
  </si>
  <si>
    <t>NOTE-2:</t>
  </si>
  <si>
    <t>The above four lines will be linked for inclusion in the "TOTAL OTHER USES" line on the GenFund Exp2 page.</t>
  </si>
  <si>
    <t>Transfer To________________Fund(s) (input as a positive number on this line)</t>
  </si>
  <si>
    <t>*</t>
  </si>
  <si>
    <t>Unless Transfers Out are recognized as an expenditure per above treatment.</t>
  </si>
  <si>
    <r>
      <t xml:space="preserve">Input the next three lines as a positive number </t>
    </r>
    <r>
      <rPr>
        <b/>
        <sz val="8"/>
        <rFont val="Helv"/>
      </rPr>
      <t>(See NOTE-2 below)</t>
    </r>
  </si>
  <si>
    <r>
      <t xml:space="preserve">REVENUE FROM OTHER SOURCES </t>
    </r>
    <r>
      <rPr>
        <b/>
        <i/>
        <sz val="8"/>
        <rFont val="Helv"/>
      </rPr>
      <t>(See NOTE-1 below)</t>
    </r>
  </si>
  <si>
    <t>Also input these amounts as a positive number here</t>
  </si>
  <si>
    <t>The above four lines will be linked for inclusion in the "TOTAL OTHER USES" line on the CharterFund Exp2 page.</t>
  </si>
  <si>
    <t>Transfers and Allocations Out (as reported at the bottom of the CharterFundREV page)</t>
  </si>
  <si>
    <t>Link of amounts from the CharterFundREV page</t>
  </si>
  <si>
    <t xml:space="preserve">     Total Other Uses</t>
  </si>
  <si>
    <t>Transfer From(+)/To(-)________________Fund(s) (Net to zero across all funds)* NOTE-1</t>
  </si>
  <si>
    <t>Transfers Out if reported as an expenditure - Linked from line 5a above</t>
  </si>
  <si>
    <t>Other Uses - Program 5000s - including Transfers Out and/or Allocations Out as an expenditure</t>
  </si>
  <si>
    <t>appropriated to each fund; except that the operating reserve authorized by section</t>
  </si>
  <si>
    <t>63                           Risk-Related Activity</t>
  </si>
  <si>
    <t>64                            Risk Related Activity</t>
  </si>
  <si>
    <t>72                      Private-Purpose Trust</t>
  </si>
  <si>
    <t xml:space="preserve">73                           Agency </t>
  </si>
  <si>
    <t>74                         Pupil Activity Agency</t>
  </si>
  <si>
    <t xml:space="preserve">85           Foundations </t>
  </si>
  <si>
    <t>Budgeted Pupil Count</t>
  </si>
  <si>
    <t>BEGINNING FUND BALANCE                               (Includes ALL Reserves)</t>
  </si>
  <si>
    <t>Object/ Source</t>
  </si>
  <si>
    <t>REVENUES</t>
  </si>
  <si>
    <t>1000 - 1999</t>
  </si>
  <si>
    <t>2000 - 2999</t>
  </si>
  <si>
    <t>3000 - 3999</t>
  </si>
  <si>
    <t>4000 - 4999</t>
  </si>
  <si>
    <t>TOTAL REVENUES</t>
  </si>
  <si>
    <t>TOTAL BEGINNING FUND BALANCE &amp; REVENUES</t>
  </si>
  <si>
    <t xml:space="preserve">      </t>
  </si>
  <si>
    <t>TOTAL ALLOCATIONS TO/FROM OTHER FUNDS</t>
  </si>
  <si>
    <t>5600,5700, 5800</t>
  </si>
  <si>
    <t>TRANSFERS TO/FROM OTHER FUNDS</t>
  </si>
  <si>
    <t>5200 - 5300</t>
  </si>
  <si>
    <t xml:space="preserve">Other Sources </t>
  </si>
  <si>
    <t>5100,5400, 5500,5900, 5990, 5991</t>
  </si>
  <si>
    <t>EXPENDITURES</t>
  </si>
  <si>
    <t>Instruction - Program 0010 to 2099</t>
  </si>
  <si>
    <t xml:space="preserve">  Salaries</t>
  </si>
  <si>
    <t xml:space="preserve">  Employee Benefits</t>
  </si>
  <si>
    <t xml:space="preserve">  Purchased Services</t>
  </si>
  <si>
    <t>4a</t>
  </si>
  <si>
    <t>Transfers Out if reported as an expenditure - Linked from line 4a above</t>
  </si>
  <si>
    <t>Salaries</t>
  </si>
  <si>
    <t>Employee Benefits</t>
  </si>
  <si>
    <t>1700 - Special Education</t>
  </si>
  <si>
    <t xml:space="preserve">Salaries </t>
  </si>
  <si>
    <t xml:space="preserve">Employee Benefits </t>
  </si>
  <si>
    <t>Employees Benefits</t>
  </si>
  <si>
    <t>Salaries and Benefits for Services Provided By District Personnel</t>
  </si>
  <si>
    <t>Transfers Out if reported as an expenditure - Linked from line 2a above</t>
  </si>
  <si>
    <t>6. Transfer From(+)/To(-)________________Fund(s) (Net to zero across all funds) NOTE-1</t>
  </si>
  <si>
    <t>0300,0400, 0500</t>
  </si>
  <si>
    <t xml:space="preserve">  Supplies and Materials</t>
  </si>
  <si>
    <t xml:space="preserve">  Property</t>
  </si>
  <si>
    <t xml:space="preserve">  Other</t>
  </si>
  <si>
    <t>0800, 0900</t>
  </si>
  <si>
    <t xml:space="preserve">     Total Instruction</t>
  </si>
  <si>
    <t>Supporting Services</t>
  </si>
  <si>
    <t>Students - Program 2100</t>
  </si>
  <si>
    <t xml:space="preserve">     Total Students</t>
  </si>
  <si>
    <t>Instructional Staff - Program 2200</t>
  </si>
  <si>
    <t xml:space="preserve">     Total Instructional Staff</t>
  </si>
  <si>
    <t xml:space="preserve">     Total School Administration</t>
  </si>
  <si>
    <t>School Administration - Program 2400</t>
  </si>
  <si>
    <t xml:space="preserve">  Property </t>
  </si>
  <si>
    <t xml:space="preserve">      Total Business Services</t>
  </si>
  <si>
    <t>Operations and Maintenance - Program 2600</t>
  </si>
  <si>
    <t>OTHER ENTERPRISE FUND</t>
  </si>
  <si>
    <t>RISK-RELATED ACTIVITY FUND</t>
  </si>
  <si>
    <t>OTHER INTERNAL SERVICE FUNDS</t>
  </si>
  <si>
    <t>PUPIL ACTIVITY AGENCY FUNDS</t>
  </si>
  <si>
    <t>TRUST AND OTHER AGENCY FUNDS</t>
  </si>
  <si>
    <t>COMPONENT UNIT FUNDS</t>
  </si>
  <si>
    <t>If there is a balance other than zero in this section then the fund is out of balance.</t>
  </si>
  <si>
    <t>Community Services - Program 3300</t>
  </si>
  <si>
    <t xml:space="preserve">     Total Community Services</t>
  </si>
  <si>
    <t xml:space="preserve">     Total Supporting Services</t>
  </si>
  <si>
    <t>Property - Program 4000</t>
  </si>
  <si>
    <t xml:space="preserve">     Total Property</t>
  </si>
  <si>
    <t xml:space="preserve">     TOTAL EXPENDITURES</t>
  </si>
  <si>
    <t xml:space="preserve">   Other Reserved Fund Balance  - Program 9900</t>
  </si>
  <si>
    <t>0840</t>
  </si>
  <si>
    <t xml:space="preserve">   Reserved Fund Balance - Program 9100</t>
  </si>
  <si>
    <t xml:space="preserve">      TOTAL RESERVES</t>
  </si>
  <si>
    <t xml:space="preserve">     TOTAL EXPENDITURES &amp; RESERVES</t>
  </si>
  <si>
    <t>NON-APPROPRIATED RESERVE - Program 9200</t>
  </si>
  <si>
    <t>TOTAL AVAILABLE BEGINNING FUND BALANCE &amp; REVENUES LESS TOTAL EXPENDITURES &amp; RESERVES LESS NON-APPROPRIATED RESERVES                                       (Should Equal Zero (0)</t>
  </si>
  <si>
    <t>Employee Benefits - staff details tab</t>
  </si>
  <si>
    <t>Note:  Amounts listed for each fund must not exceed reserves on corresponding fund page.</t>
  </si>
  <si>
    <t>The board of education of each school district shall adopt an appropriation resolution at the</t>
  </si>
  <si>
    <t>FOUR DIGIT DISTRICT/BOCES CODE</t>
  </si>
  <si>
    <t>Miscellaneous Worksheets: (USE WHEN RELEVANT)</t>
  </si>
  <si>
    <t>Appropriation Resolution. . . . . . . . . . . . . . . . . . . . . . . . . . . . . . . . . . . . . . . . . . . . . . . . . . . . . . . . . . . . . . . . . . . .</t>
  </si>
  <si>
    <t>22-44-106(2) shall not be subject to appropriation for the fiscal year covered by the budget,</t>
  </si>
  <si>
    <t>and except that the appropriation resolution may, by reference, incorporate the budget as</t>
  </si>
  <si>
    <t>adopted by a board of education for the current fiscal year.</t>
  </si>
  <si>
    <t>APPROPRIATION</t>
  </si>
  <si>
    <t>AMOUNT</t>
  </si>
  <si>
    <t>The amounts appropriated to a fund shall not exceed the amount thereof as specified in the</t>
  </si>
  <si>
    <t>The next column shows a sample appropriation resolution which may be adopted at the time</t>
  </si>
  <si>
    <t>the board of education adopts the budget.  See other appropriation resolutions in the</t>
  </si>
  <si>
    <t>(Signature, President of the Board) in accordance with 22-44-110(4).</t>
  </si>
  <si>
    <t>(Date of the adoption of the budget)</t>
  </si>
  <si>
    <t>Trust/Agency Funds:</t>
  </si>
  <si>
    <t>Fund 85:  FOUNDATION FUND</t>
  </si>
  <si>
    <t>Other Revenue and Other Sources</t>
  </si>
  <si>
    <t xml:space="preserve">85              Foundation Fund . . . . . . . . . . . . . . . . . . . . . . . . . . . . . . . . . . . . . . . . . . . . . . . . . . . . . . . . . . . . . . . . . . </t>
  </si>
  <si>
    <t>FOUNDATION FUNDS</t>
  </si>
  <si>
    <t>TOTAL APPROPRIATION</t>
  </si>
  <si>
    <t>ERROR REPORT</t>
  </si>
  <si>
    <t xml:space="preserve">PUPIL ACTIVITY FUND </t>
  </si>
  <si>
    <t>TRANSPORTATION FUND</t>
  </si>
  <si>
    <t xml:space="preserve">OTHER SPECIAL REVENUE FUNDS </t>
  </si>
  <si>
    <t>BOND REDEMPTION FUND</t>
  </si>
  <si>
    <t>BUILDING FUND</t>
  </si>
  <si>
    <t xml:space="preserve">SPECIAL BUILDING AND TECHNOLOGY FUND </t>
  </si>
  <si>
    <t>Fund 20: ARRA (Federal Stimulus Funding) Grants Fund     FY 2009-2010</t>
  </si>
  <si>
    <t>Fund 20:  GOVERNMENTAL DESIGNATED-PURPOSE GRANTS FUND</t>
  </si>
  <si>
    <t xml:space="preserve">20               ARRA (Federal Stimulus Funding) Grants Fund   . . . . . . . . . . . . . . . . . . . . . . . . . . . . . . . . . . . . . . . . . . . .  </t>
  </si>
  <si>
    <t>CAPITAL RESERVE CAPITAL PROJECTS FUND</t>
  </si>
  <si>
    <t xml:space="preserve">4. Other Fund(s) ___________________________ </t>
  </si>
  <si>
    <t>Internal Service Funds</t>
  </si>
  <si>
    <t>o</t>
  </si>
  <si>
    <t>Component Unit Funds</t>
  </si>
  <si>
    <t>2. Deduct the Following Expenditures Included in Totals above :</t>
  </si>
  <si>
    <t>Refunds to Taxpayers</t>
  </si>
  <si>
    <t xml:space="preserve">a </t>
  </si>
  <si>
    <t>Expenditures from Gifts/Foundations (Excluding Agency Funds)</t>
  </si>
  <si>
    <t xml:space="preserve">b </t>
  </si>
  <si>
    <t>Expenditures from Federal Funds</t>
  </si>
  <si>
    <t xml:space="preserve">c </t>
  </si>
  <si>
    <t>Collections for Another Government</t>
  </si>
  <si>
    <t xml:space="preserve">d </t>
  </si>
  <si>
    <t>Pension Contributions by Employees</t>
  </si>
  <si>
    <t xml:space="preserve">e </t>
  </si>
  <si>
    <t>Pension Fund Earnings</t>
  </si>
  <si>
    <t xml:space="preserve">f </t>
  </si>
  <si>
    <t>GOVERNMENTAL DESIGNATED-PURPOSE GRANTS FUND</t>
  </si>
  <si>
    <t>Bond Redemption Fund</t>
  </si>
  <si>
    <t>CHANGES IN BALANCE</t>
  </si>
  <si>
    <t>TABOR EXPENDITURES</t>
  </si>
  <si>
    <t>a</t>
  </si>
  <si>
    <t>General Fund</t>
  </si>
  <si>
    <t>b</t>
  </si>
  <si>
    <t>c</t>
  </si>
  <si>
    <t>Governmental Designated-Purpose Grants Fund</t>
  </si>
  <si>
    <t>d</t>
  </si>
  <si>
    <t>Pupil Activity Special Revenue Fund</t>
  </si>
  <si>
    <t>e</t>
  </si>
  <si>
    <t>Insurance Reserve Special Revenue Fund</t>
  </si>
  <si>
    <t>f</t>
  </si>
  <si>
    <t>Transportation Fund</t>
  </si>
  <si>
    <t>g</t>
  </si>
  <si>
    <t>Other Special Revenue Funds</t>
  </si>
  <si>
    <t>h</t>
  </si>
  <si>
    <t>i</t>
  </si>
  <si>
    <t>Building Fund (include Capital Reserve Capital Projects Fund)</t>
  </si>
  <si>
    <t>j</t>
  </si>
  <si>
    <t>Special Building &amp; Technology Fund</t>
  </si>
  <si>
    <t>k</t>
  </si>
  <si>
    <t>l</t>
  </si>
  <si>
    <t>Other Enterprise Funds</t>
  </si>
  <si>
    <t>m</t>
  </si>
  <si>
    <t>Risk-Related Activity Fund</t>
  </si>
  <si>
    <t>n</t>
  </si>
  <si>
    <r>
      <t>I.</t>
    </r>
    <r>
      <rPr>
        <sz val="10"/>
        <rFont val="Helv"/>
      </rPr>
      <t xml:space="preserve"> Revenues plus Beginning Fund Balance </t>
    </r>
    <r>
      <rPr>
        <b/>
        <sz val="10"/>
        <rFont val="Helv"/>
      </rPr>
      <t>MINUS</t>
    </r>
    <r>
      <rPr>
        <sz val="10"/>
        <rFont val="Helv"/>
      </rPr>
      <t xml:space="preserve"> Expenditures plus Reserves must = zero.</t>
    </r>
  </si>
  <si>
    <t>Transfer From(+)/To(-)________________Fund(s) (Net to zero across all funds)*</t>
  </si>
  <si>
    <t>GRANT/PROJECT TITLE</t>
  </si>
  <si>
    <t>TOTAL INSURANCE RESERVE SPECIAL REVENUE FUND EXPENDITURES AND APPROPRIATED RESERVES Sum of lines 21 &amp; 27)</t>
  </si>
  <si>
    <t>TOTAL EXPENDITURES AND OTHER USES (Sum of lines 13-22)</t>
  </si>
  <si>
    <t>TOTAL EXPENDITURES &amp; OTHER USES (Sum of lines 9-20)</t>
  </si>
  <si>
    <t>TOTAL TRANSPORTATION FUND EXPENDITURES AND APPROPRIATED RESERVES (Sum of lines 23 &amp; 29)</t>
  </si>
  <si>
    <t>Error Report . . . . . . . . . . . . . . . . . . . . . . . . . . . . . . . . . . . . . . . . . . . . . . . . . . . . .</t>
  </si>
  <si>
    <t xml:space="preserve">52-59         Other Enterprise Funds . . . . . . . . . . . . . . . . . . . . . . . . . . . . . . . . . . . . . . . . . . . . . . . . . . . . . . . . . . . . . . . . . . . . . . . </t>
  </si>
  <si>
    <t>61-62 &amp; 65-69         Other Internal Service Funds . . . . . . . . . . . . . . . . . . . . . . . . . . . . . . . . . . . . . . . . . . . . . . . . . . . . . . . . . . . . . . . . . . . . . .</t>
  </si>
  <si>
    <t>64               Risk-Related Activity Fund . . . . . . . . . . . . . . . . . . . . . . . . . . . . . . . . . . . . . . . . . . . . . . . . . . . . . . . . . . . . . . . . . . . . . . . .</t>
  </si>
  <si>
    <t xml:space="preserve">GASB 34 . . . . . . . . . . . . . . . . . . . . . . . . . . . . . . . . . . . . . . . . . . . . . . . . . . . . . . . . . . . . . . . . . . . . . . . . . . . </t>
  </si>
  <si>
    <t xml:space="preserve">District Debt . . . . . . . . . . . . . . . . . . . . . . . . . . . . . . . . . . . . . . . . . . . . . . . . . . . . . . . . . . . . . . . . . . . . . . </t>
  </si>
  <si>
    <t xml:space="preserve">Tabor Compliance Worksheet. . . . . . . . . . . . . . . . . . . . . . . . . . . . . . . . . . . . . . . . . . . . . . . . . . . . . . . . . . . . . . . </t>
  </si>
  <si>
    <t>Fund 22:  GOVERNMENTAL DESIGNATED-PURPOSE GRANTS FUND</t>
  </si>
  <si>
    <t>*  Additional funds may be transferred from General fund to cover program expenditures in excess of Pre-School Allocation.</t>
  </si>
  <si>
    <t>Total Support Program Expenditures (Sum of lines 40-72)</t>
  </si>
  <si>
    <t>TOTAL APPROPRIATED RESERVES (Sum of lines 76-80)</t>
  </si>
  <si>
    <t>TOTAL CPP FUND EXPENDITURES AND APPROPRIATED RESERVES(Sum of lines 75 &amp; 81)</t>
  </si>
  <si>
    <t xml:space="preserve">Other Revenue  </t>
  </si>
  <si>
    <t>TOTAL REVENUE (Sum of lines 1-8)</t>
  </si>
  <si>
    <t>Expenditures from the Proceeds of Damage Awards</t>
  </si>
  <si>
    <t>Expenditures from the Proceeds of the Sale of School Property</t>
  </si>
  <si>
    <t>4. ADJUSTMENTS TO SPENDING FOR DETERMINING ALLOWABLE GROWTH</t>
  </si>
  <si>
    <t>Debt Service Increase/(Decrease) since FY 1992-93</t>
  </si>
  <si>
    <t>Need beginning fund balance amount on line 5 of "GenFundRev"</t>
  </si>
  <si>
    <t>TOTAL ADJUSTMENTS TO SPENDING</t>
  </si>
  <si>
    <t>5. NET SPENDING ON WHICH GROWTH IS ALLOWED (line 3 minus line 4)</t>
  </si>
  <si>
    <t>6. ALLOWABLE GROWTH</t>
  </si>
  <si>
    <t>Percent Change in Student Enrollment</t>
  </si>
  <si>
    <t>Total Percent Change (line a plus line b)</t>
  </si>
  <si>
    <t>Net Spending on which Growth is Allowed (line 5)</t>
  </si>
  <si>
    <t>Total Inflation and Enrollment Growth (line 6c times line 6d)</t>
  </si>
  <si>
    <t>Debt Service Increase/(Decrease) since FY 1992-93 (line 4a)</t>
  </si>
  <si>
    <t>Voter-Approved Revenue Changes (line 4b)</t>
  </si>
  <si>
    <t>TOTAL ALLOWABLE GROWTH (line 6e plus line 6f plus line 6g)</t>
  </si>
  <si>
    <t>1</t>
  </si>
  <si>
    <t>2</t>
  </si>
  <si>
    <t>3</t>
  </si>
  <si>
    <t>0060 - General Integrated Education  Program</t>
  </si>
  <si>
    <t>1700 - Special Education  Program</t>
  </si>
  <si>
    <t>4</t>
  </si>
  <si>
    <t>5</t>
  </si>
  <si>
    <t>PERCENT</t>
  </si>
  <si>
    <t>ALLOWABLE</t>
  </si>
  <si>
    <t>VOTER</t>
  </si>
  <si>
    <t>MAXIMUM</t>
  </si>
  <si>
    <t>PROPERTY TAX</t>
  </si>
  <si>
    <t>INCREASE</t>
  </si>
  <si>
    <t>APPROVED</t>
  </si>
  <si>
    <t>GROWTH</t>
  </si>
  <si>
    <t>ALLOWED</t>
  </si>
  <si>
    <t>N/A</t>
  </si>
  <si>
    <t>Special Building Fund</t>
  </si>
  <si>
    <t>Other _____________*</t>
  </si>
  <si>
    <t>BUDGET SUMMARY WORKSHEET</t>
  </si>
  <si>
    <t xml:space="preserve">  FUND</t>
  </si>
  <si>
    <t xml:space="preserve">  BUDGETED REVENUE</t>
  </si>
  <si>
    <t xml:space="preserve">  BUDGETED EXPENDITURES</t>
  </si>
  <si>
    <t xml:space="preserve">  APPROPRIATED AMOUNT</t>
  </si>
  <si>
    <t xml:space="preserve">  (Includes Beginning Fund Revenue)</t>
  </si>
  <si>
    <t xml:space="preserve"> (Incl. Enterprise Funds Capital Outlay)</t>
  </si>
  <si>
    <t>PUPIL ACTIVITY SPECIAL REVENUE FUND</t>
  </si>
  <si>
    <t>OTHER SPECIAL REVENUE FUNDS (COMBINED)</t>
  </si>
  <si>
    <t>SPECIAL BUILDING AND TECHNOLOGY FUND</t>
  </si>
  <si>
    <t>FOOD SERVICE FUND</t>
  </si>
  <si>
    <t>OTHER ENTERPRISE FUNDS (COMBINED)</t>
  </si>
  <si>
    <t xml:space="preserve">INSURANCE RESERVE FUND </t>
  </si>
  <si>
    <t>INSURANCE RESERVE FUND</t>
  </si>
  <si>
    <t>1b.</t>
  </si>
  <si>
    <t>TOTAL APPROPRIATED RESERVES (Sum of lines 24-28)</t>
  </si>
  <si>
    <t>Total Instructional Program Expenditures (Sum of lines 8-16)</t>
  </si>
  <si>
    <t>Total Support Program Expenditures (Sum of lines 18-26)</t>
  </si>
  <si>
    <t>TOTAL EXPENDITURES AND OTHER USES(Sum of lines 17, 27 &amp; 30)</t>
  </si>
  <si>
    <t>TOTAL OTHER SPECIAL REVENUE FUND EXPENDITURES AND APPROPRIATED RESERVES (Sum of lines 31 &amp; 37)</t>
  </si>
  <si>
    <t>TOTAL SPECIAL BUILDING AND TECHNOLOGY FUND EXPENDITURES AND APPROPRIATED RESERVES (Sum of lines 16 &amp; 22)</t>
  </si>
  <si>
    <t>TOTAL REVENUE (Sum of lines 1-16)</t>
  </si>
  <si>
    <t>Transfer From________________Fund(s) (Net to zero across all funds)*</t>
  </si>
  <si>
    <t>*State Statute prohibits the transfer of funds out of the Transportation Fund.</t>
  </si>
  <si>
    <t>*State Statute prohibits the transfer of funds out of the Special Building and Technology Fund.</t>
  </si>
  <si>
    <t>Non-Appropriated Operating Reserves must not exceed 15% of Total General Fund Expenditures and Reserves</t>
  </si>
  <si>
    <t>15% of Total General Fund Expenditures and Reserves</t>
  </si>
  <si>
    <t>General Fund Non-Appropriated Operating Reserves</t>
  </si>
  <si>
    <t>Capital Outlay</t>
  </si>
  <si>
    <t xml:space="preserve">     County/Intermediate Sources</t>
  </si>
  <si>
    <t>Other Appropriated Reserves</t>
  </si>
  <si>
    <t>1900-2099 - Cocurricular Activities - Non-Athletic</t>
  </si>
  <si>
    <t>Local Sources</t>
  </si>
  <si>
    <t>2000-2999</t>
  </si>
  <si>
    <t>1000-1999</t>
  </si>
  <si>
    <t>Intermediate Sources</t>
  </si>
  <si>
    <t>State Sources</t>
  </si>
  <si>
    <t>Federal Sources</t>
  </si>
  <si>
    <t>Allocation from the General Fund**</t>
  </si>
  <si>
    <r>
      <t xml:space="preserve">INSTRUCTIONAL PROGRAM - </t>
    </r>
    <r>
      <rPr>
        <sz val="8"/>
        <color indexed="10"/>
        <rFont val="Helv"/>
      </rPr>
      <t>(PROGRAM CODE 0040 IS RECOMMENDED FOR USE IN FUND 19)</t>
    </r>
  </si>
  <si>
    <t>SUPPORT PROGRAMS - 2100 THROUGH 3300</t>
  </si>
  <si>
    <t>OTHER USES - PROGRAM 5000</t>
  </si>
  <si>
    <t>Allocation From General Fund**</t>
  </si>
  <si>
    <t>19XX</t>
  </si>
  <si>
    <t>TOTAL REVENUE (Sum of lines 1-7)</t>
  </si>
  <si>
    <t>1.</t>
  </si>
  <si>
    <t>2.</t>
  </si>
  <si>
    <t>3.</t>
  </si>
  <si>
    <t>Total Instructional Program Expenditures (Sum of lines 10-18)</t>
  </si>
  <si>
    <t>Total Support Program Expenditures (Sum of lines 20-28)</t>
  </si>
  <si>
    <t>TOTAL EXPENDITURES AND OTHER USES(Sum of lines 19 &amp; 29)</t>
  </si>
  <si>
    <t>TOTAL APPROPRIATED RESERVES (Sum of lines 31-35)</t>
  </si>
  <si>
    <t>TOTAL PUPIL ACTIVITY AGENCY FUND EXPENDITURES AND APPROPRIATED RESERVES (Sum of lines 30 &amp; 36)</t>
  </si>
  <si>
    <t>TOTAL REVENUE INCLUDING BEGINNING FUND BALANCE (sum of line 8 &amp; BFB)</t>
  </si>
  <si>
    <t>TOTAL REVENUE INCLUDING BEGINNING FUND BALANCE (Sum of line 9 and BFB)</t>
  </si>
  <si>
    <t>TOTAL EXPENSES AND OTHER USES (Sum of lines 13-25)</t>
  </si>
  <si>
    <t>TOTAL REVENUE (Sum of lines 1-10)</t>
  </si>
  <si>
    <t>Other Revenue and Other Sources (includes increases in assets for agency funds)</t>
  </si>
  <si>
    <t>TOTAL REVENUE INCLUDING BEGINNING FUND BALANCE Sum of line 8 and BRE)</t>
  </si>
  <si>
    <t>TOTAL EXPENSES AND OTHER USES(Sum of lines 9-17)</t>
  </si>
  <si>
    <t>TOTAL OTHER ENTERPRISE FUND EXPENSES AND APPROPRIATED RESERVES (Sum of lines 18 &amp; 24)</t>
  </si>
  <si>
    <t>TOTAL EXPENSES AND OTHER USES (Sum of lines 8-16)</t>
  </si>
  <si>
    <t>TOTAL RISK RELATED ACTIVITY FUND EXPENDITURES AND APPROPRIATED RESERVES (Sum of lines 17 &amp; 23)</t>
  </si>
  <si>
    <t>TOTAL REVENUE INCLUDING BEGINNING FUND BALANCE Sum of line 11 and BFB)</t>
  </si>
  <si>
    <t>TOTAL REVENUE INCLUDING BEGINNING FUND BALANCE Sum of line 7 and BFB)</t>
  </si>
  <si>
    <t>TOTAL OTHER INTERNAL SERVICE FUND EXPENDITURES AND APPROPRIATED RESERVES (Sum of line 21 &amp; 27)</t>
  </si>
  <si>
    <t>Premium/Discount</t>
  </si>
  <si>
    <t>Accrued Interest</t>
  </si>
  <si>
    <t>TOTAL REVENUE (Sum of lines 1 - 13)</t>
  </si>
  <si>
    <t>TOTAL REVENUE INCLUDING BEGINNING FUND BALANCE (Sum of line 14 and BFB)</t>
  </si>
  <si>
    <t>Principal</t>
  </si>
  <si>
    <r>
      <t xml:space="preserve">FEDERAL FUNDS NOT IN OTHER FUNDS - </t>
    </r>
    <r>
      <rPr>
        <i/>
        <sz val="8"/>
        <color indexed="10"/>
        <rFont val="Helv"/>
      </rPr>
      <t>LIST ALL FEDERAL GRANTS BY GRANT/PROJECT CODE AND TITLE</t>
    </r>
  </si>
  <si>
    <t>TOTAL STATE GRANT REVENUE NOT INCLUDED IN OTHER FUNDS (Sum of lines 1-6)</t>
  </si>
  <si>
    <t>TOTAL FEDERAL GRANT REVENUE NOT INCLUDED IN OTHER FUNDS (Sum of lines 8-17)</t>
  </si>
  <si>
    <t>FEDERAL GRANT/PROJECT TITLE</t>
  </si>
  <si>
    <t>STATE GRANT/PROJECT TITLE</t>
  </si>
  <si>
    <t>INSTRUCTIONAL PROGRAMS - 0010 THROUGH 2099</t>
  </si>
  <si>
    <t>TOTAL REVENUE (Sum of lines 1-5)</t>
  </si>
  <si>
    <t>TOTAL REVENUE INCLUDING BEGINNING ASSETS (Sum of line 6 and BFB)</t>
  </si>
  <si>
    <t>Total Instructional Program Expenditures (Sum of lines 7-15)</t>
  </si>
  <si>
    <t>Total Support Program Expenditures (Sum of lines 17-25)</t>
  </si>
  <si>
    <t>TOTAL EXPENDITURES AND OTHER USES(Sum of lines 16 &amp; 26)</t>
  </si>
  <si>
    <t>TOTAL REVENUE INCLUDING BEGINNING FUND BALANCE (Sum of line 4 and BFB)</t>
  </si>
  <si>
    <t>Total Instructional Program Expenditures (Sum of lines 5-13)</t>
  </si>
  <si>
    <t>Total Support Program Expenditures (Sum of lines 15-23)</t>
  </si>
  <si>
    <t>TOTAL EXPENDITURES AND OTHER USES(Sum of lines 14 &amp; 24)</t>
  </si>
  <si>
    <t>RISK-RELATED ACTIVITY  FUND</t>
  </si>
  <si>
    <t>OTHER INTERNAL SERVICE FUNDS (COMBINED)</t>
  </si>
  <si>
    <t>PUPIL ACTIVITY AGENCY FUND</t>
  </si>
  <si>
    <t>TRUST AND OTHER AGENCY FUNDS (COMBINED)</t>
  </si>
  <si>
    <t>COMPONENT UNITS (COMBINED)</t>
  </si>
  <si>
    <t>Net</t>
  </si>
  <si>
    <t>District</t>
  </si>
  <si>
    <t>Description</t>
  </si>
  <si>
    <t>Operating</t>
  </si>
  <si>
    <t>Allocation to Charter School (fund 11)</t>
  </si>
  <si>
    <t>Total</t>
  </si>
  <si>
    <t>(Other Funds)</t>
  </si>
  <si>
    <t>INCOME AND OTHER SOURCES</t>
  </si>
  <si>
    <t>TOTAL INCOME (Sum of lines 1-11)</t>
  </si>
  <si>
    <t>TOTAL INCOME INCLUDING BEGINNING RETAINED EARNINGS (Sum of line 12 and BRE)</t>
  </si>
  <si>
    <t>Allocations</t>
  </si>
  <si>
    <t>Beginning Fund Balance</t>
  </si>
  <si>
    <t>Revenues</t>
  </si>
  <si>
    <t>Transfers Between Funds</t>
  </si>
  <si>
    <t xml:space="preserve">     Total Funds Available</t>
  </si>
  <si>
    <t>Expenditures</t>
  </si>
  <si>
    <t>TABOR Amendment Reserves</t>
  </si>
  <si>
    <r>
      <t xml:space="preserve">TRANSFERS FROM(POSITIVE)/TO(NEGATIVE) OTHER FUNDS - </t>
    </r>
    <r>
      <rPr>
        <i/>
        <sz val="8"/>
        <color indexed="10"/>
        <rFont val="Helv"/>
      </rPr>
      <t>LIST ALL GRANTS BY GRANT/PROJECT CODE, TITLE AND FUND</t>
    </r>
  </si>
  <si>
    <t>TOTAL LOCAL AND INTERMEDIATE GRANT EXPENDITURES NOT INCLUDED IN OTHER FUNDS</t>
  </si>
  <si>
    <t>4.</t>
  </si>
  <si>
    <t>5.</t>
  </si>
  <si>
    <t>6.</t>
  </si>
  <si>
    <t>7.</t>
  </si>
  <si>
    <t>8.</t>
  </si>
  <si>
    <t>TOTAL REVENUE INCLUDING BEGINNING FUND BALANCE (Sum of line 8 and BFB)</t>
  </si>
  <si>
    <t>1420-1430</t>
  </si>
  <si>
    <t>Delinquent Taxes and Penalties</t>
  </si>
  <si>
    <t>Transportation Fees From Other School Districts or BOCES</t>
  </si>
  <si>
    <t>Transportation Fees form Other Sources</t>
  </si>
  <si>
    <t>State Transportation Revenues</t>
  </si>
  <si>
    <t>Other Revenues</t>
  </si>
  <si>
    <t>9.</t>
  </si>
  <si>
    <t>12.</t>
  </si>
  <si>
    <t>13.</t>
  </si>
  <si>
    <t>TOTAL REVENUE (Sum of lines 1-11)</t>
  </si>
  <si>
    <t>10.</t>
  </si>
  <si>
    <t>11.</t>
  </si>
  <si>
    <t>Purchased Professional and Technical Services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</si>
  <si>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</si>
  <si>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</si>
  <si>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</si>
  <si>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</si>
  <si>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</si>
  <si>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</si>
  <si>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</si>
  <si>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</si>
  <si>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</si>
  <si>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Revenue From Local and Intermediate Sources</t>
  </si>
  <si>
    <t>Revenue From State Sources</t>
  </si>
  <si>
    <t>Revenue From Federal Sources</t>
  </si>
  <si>
    <t>0800-0999</t>
  </si>
  <si>
    <t>23.</t>
  </si>
  <si>
    <t>24.</t>
  </si>
  <si>
    <t>25.</t>
  </si>
  <si>
    <t>26.</t>
  </si>
  <si>
    <t>Total Other Uses Expenditures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</si>
  <si>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</si>
  <si>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</si>
  <si>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</si>
  <si>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</si>
  <si>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</si>
  <si>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</si>
  <si>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</si>
  <si>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</si>
  <si>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</si>
  <si>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</si>
  <si>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TOTAL OTHER USES</t>
  </si>
  <si>
    <t>39.</t>
  </si>
  <si>
    <t>40.</t>
  </si>
  <si>
    <t>41.</t>
  </si>
  <si>
    <t>42.</t>
  </si>
  <si>
    <t>43.</t>
  </si>
  <si>
    <t>44.</t>
  </si>
  <si>
    <t>45.</t>
  </si>
  <si>
    <t>Foundation/</t>
  </si>
  <si>
    <t>Component</t>
  </si>
  <si>
    <t>Units</t>
  </si>
  <si>
    <t>(26-29)                              Other Special Revenue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</si>
  <si>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</si>
  <si>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</si>
  <si>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</si>
  <si>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</si>
  <si>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</si>
  <si>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</si>
  <si>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</si>
  <si>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</si>
  <si>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</si>
  <si>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</si>
  <si>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</si>
  <si>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</si>
  <si>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</si>
  <si>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</si>
  <si>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</si>
  <si>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</si>
  <si>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</si>
  <si>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</si>
  <si>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</si>
  <si>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</si>
  <si>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</si>
  <si>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</si>
  <si>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</si>
  <si>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</si>
  <si>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</si>
  <si>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</si>
  <si>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</si>
  <si>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</si>
  <si>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</si>
  <si>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</si>
  <si>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</si>
  <si>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</si>
  <si>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</si>
  <si>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</si>
  <si>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Earnings of Investments</t>
  </si>
  <si>
    <t>5110</t>
  </si>
  <si>
    <t>5120</t>
  </si>
  <si>
    <t>5130</t>
  </si>
  <si>
    <t>Revenue from Intermediate Sources</t>
  </si>
  <si>
    <t>Bond Principal</t>
  </si>
  <si>
    <t>*Transfers should not be made to/from funds 21 - Capital Reserve Fund, 18 - Insurance Reserve Fund, or 43 - Capital Reserve Capital Projects Fund.</t>
  </si>
  <si>
    <t>LOCAL AND INTERMEDIATE GRANT/PROJECT TITLE</t>
  </si>
  <si>
    <t>Insurance Premiums (typically Program 2600)</t>
  </si>
  <si>
    <t>Liability Insurance (typically Program 2600)</t>
  </si>
  <si>
    <t>Vehicle Insurance - Program Code 2720 (or 2700)</t>
  </si>
  <si>
    <t>Vehicle Insurance - Program Code 3130 (or 3100)</t>
  </si>
  <si>
    <t>Vehicle Insurance - Program Code 2650 (or 2600)</t>
  </si>
  <si>
    <t>12b</t>
  </si>
  <si>
    <t>12c</t>
  </si>
  <si>
    <t>12a</t>
  </si>
  <si>
    <t>Other Expenditures (Program 2600)</t>
  </si>
  <si>
    <t>PROGRAM 2100-3300</t>
  </si>
  <si>
    <t>PROGRAMS 2100-4000</t>
  </si>
  <si>
    <t>TOTAL Local, State, Federal Expenditures</t>
  </si>
  <si>
    <t>Programs 2100-3400</t>
  </si>
  <si>
    <t>Programs 2100-4000</t>
  </si>
  <si>
    <t>Adjustments to Categorical Revenue due to CDE audit findings - positive or negative</t>
  </si>
  <si>
    <r>
      <t xml:space="preserve">LOCAL AND INTERMEDIATE GRANTS NOT IN OTHER FUNDS - </t>
    </r>
    <r>
      <rPr>
        <i/>
        <sz val="8"/>
        <color indexed="10"/>
        <rFont val="Helv"/>
      </rPr>
      <t>LIST ALL LOCAL AND INTERMEDIATE GRANTS BY GRANT/PROJECT CODE AND TITLE</t>
    </r>
  </si>
  <si>
    <t>19               Colorado Preschool Fund. . . . . . . . . . . . . . . . . . . . . . . . . . . . . . . . . . . . . . . . . . . . . . . . . . . . . . . . . . . . . . . . .</t>
  </si>
  <si>
    <t>Note:         Fund 63 may be used as another risk-related activity fund.  It will roll to Fund 64</t>
  </si>
  <si>
    <t>TOTAL LOCAL AND INTERMEDIATE GRANT REVENUE NOT INCLUDED IN OTHER FUNDS</t>
  </si>
  <si>
    <t>GRANT/PROJECT TITLE AND FUND TRANSFERRED FROM/TO</t>
  </si>
  <si>
    <t>TOTAL STATE, FEDERAL AND LOCAL DESIGNATED PURPOSE GRANT REVENUE AND OTHER SOURCES INCLUDING BFB</t>
  </si>
  <si>
    <t>Non-appropriated Reserves</t>
  </si>
  <si>
    <t xml:space="preserve">     Total Appropriations and Non-appropriated Reserves</t>
  </si>
  <si>
    <t>Summary Page 2</t>
  </si>
  <si>
    <t>School District Operating Funds - Budgeted Revenues</t>
  </si>
  <si>
    <t>Capital</t>
  </si>
  <si>
    <t>Designated</t>
  </si>
  <si>
    <t>Pupil</t>
  </si>
  <si>
    <t>Insurance</t>
  </si>
  <si>
    <t>Special</t>
  </si>
  <si>
    <t>Food</t>
  </si>
  <si>
    <t>Other</t>
  </si>
  <si>
    <t>Internal</t>
  </si>
  <si>
    <t>General</t>
  </si>
  <si>
    <t>Reserve</t>
  </si>
  <si>
    <t>0010 - Elementary Instructional Program</t>
  </si>
  <si>
    <t>0020 - Middle School  Instructional Program</t>
  </si>
  <si>
    <t>1600 - Technical Education/Computer Technology  Program</t>
  </si>
  <si>
    <t>2210 - Improvement of Instructional Services</t>
  </si>
  <si>
    <t xml:space="preserve">2400 - School Administration </t>
  </si>
  <si>
    <t>5a</t>
  </si>
  <si>
    <t>6a</t>
  </si>
  <si>
    <t>13a</t>
  </si>
  <si>
    <t>20a</t>
  </si>
  <si>
    <t>21a</t>
  </si>
  <si>
    <t>27a</t>
  </si>
  <si>
    <t>28a</t>
  </si>
  <si>
    <t xml:space="preserve">2300 - General Administration </t>
  </si>
  <si>
    <t>Prior Year Actual - Audited FY07-08</t>
  </si>
  <si>
    <t>Current Fiscal Year - Budgeted FY08-09</t>
  </si>
  <si>
    <t>Current Fiscal Year - Projected FY08-09</t>
  </si>
  <si>
    <t>Original Ensuing Fiscal Year - Budget FY09-10</t>
  </si>
  <si>
    <t>Adjustments Ensuing Fiscal Year - Budget FY09-10</t>
  </si>
  <si>
    <t>Revised Ensuing Fiscal Year - Budget FY09-10</t>
  </si>
  <si>
    <t>PROGRAMS 0010-4000</t>
  </si>
  <si>
    <t>Grants</t>
  </si>
  <si>
    <t>Activity</t>
  </si>
  <si>
    <t>Revenue</t>
  </si>
  <si>
    <t>Service</t>
  </si>
  <si>
    <t>Enterprise</t>
  </si>
  <si>
    <t>Fund</t>
  </si>
  <si>
    <t>Funds</t>
  </si>
  <si>
    <t>Revenue:</t>
  </si>
  <si>
    <t xml:space="preserve">     State Formula</t>
  </si>
  <si>
    <t xml:space="preserve">          Local Property Tax</t>
  </si>
  <si>
    <t>Fund 79, the GASB 34 Permanent Fund is NOT a fund that requires/follows CDE-18 budgetary guidelines.</t>
  </si>
  <si>
    <t>Fund 90, the District Debt Fund, is NOT a fund that requires/follows CDE-18 budgetary guidelines.</t>
  </si>
  <si>
    <t>PRE-SCHOOL FUND</t>
  </si>
  <si>
    <t>Additional worksheets to assist you in the budget process</t>
  </si>
  <si>
    <t>COLORADO SCHOOL DISTRICT/BOCES</t>
  </si>
  <si>
    <t xml:space="preserve">FOR  SCHOOL DISTRICT (NAME)    </t>
  </si>
  <si>
    <t xml:space="preserve">HEADQUARTERED IN (COUNTY)  </t>
  </si>
  <si>
    <t xml:space="preserve">OR BOCES  </t>
  </si>
  <si>
    <t>CONTENTS</t>
  </si>
  <si>
    <t>Fund Type &amp;</t>
  </si>
  <si>
    <t>Fund Number</t>
  </si>
  <si>
    <t>TOTAL FEDERAL GRANT EXPENDITURES NOT INCLUDED IN OTHER FUNDS (Sum of lines 8-17)</t>
  </si>
  <si>
    <t>TOTAL STATE GRANT EXPENDITURES NOT INCLUDED IN OTHER FUNDS (Sum of lines 1-6)</t>
  </si>
  <si>
    <t>TOTAL STATE, FEDERAL AND LOCAL DESIGNATED PURPOSE GRANT EXPENDITURES AND OTHER USES</t>
  </si>
  <si>
    <t>TOTAL INSTRUCTIONAL EXPENDITURES</t>
  </si>
  <si>
    <t>TOTAL SUPPORT SERVICES EXPENDITURES</t>
  </si>
  <si>
    <r>
      <t xml:space="preserve">OTHER USES - </t>
    </r>
    <r>
      <rPr>
        <i/>
        <sz val="8"/>
        <color indexed="10"/>
        <rFont val="Helv"/>
      </rPr>
      <t>LIST ALL GRANTS BY GRANT/PROJECT CODE, TITLE AND FUND</t>
    </r>
  </si>
  <si>
    <t>(Must not exceed 15% of Total Expenditures and Reserves)</t>
  </si>
  <si>
    <t>Non-appropriated Operating Reserves</t>
  </si>
  <si>
    <t>TOTAL EXPENDITURES AND OTHER USES (Sum of lines 16 - 18)</t>
  </si>
  <si>
    <t>TOTAL REVENUE INCLUDING BEGINNING FUND BALANCE (Sum of line 10 and BFB)</t>
  </si>
  <si>
    <t>TOTAL REVENUE (Sum of lines 1 - 9)</t>
  </si>
  <si>
    <t>Purchased Services (Work Done By Outside Contractors)</t>
  </si>
  <si>
    <t>Other Property</t>
  </si>
  <si>
    <t>Other Objects and Uses</t>
  </si>
  <si>
    <t>Debt Issuance Costs</t>
  </si>
  <si>
    <t>TOTAL REVENUE INCLUDING BEGINNING FUND BALANCE (Sum of line 12 and BFB)</t>
  </si>
  <si>
    <r>
      <t xml:space="preserve">1700 - Special Education </t>
    </r>
    <r>
      <rPr>
        <b/>
        <sz val="8"/>
        <color indexed="10"/>
        <rFont val="Helv"/>
      </rPr>
      <t>(All Special Education related accounts should be coded with Grant Code 3130)</t>
    </r>
  </si>
  <si>
    <t>5711</t>
  </si>
  <si>
    <t>TOTAL EXPENDITURES AND OTHER SOURCES (Sum of lines 8 - 15)</t>
  </si>
  <si>
    <t>Operating Reserve</t>
  </si>
  <si>
    <t>TABOR Emergency Reserve</t>
  </si>
  <si>
    <t>Reserve for Multi-Year Obligations</t>
  </si>
  <si>
    <t>Reserve for Encumbrances</t>
  </si>
  <si>
    <t>Other Reserves</t>
  </si>
  <si>
    <t>0100-0899</t>
  </si>
  <si>
    <t>9100</t>
  </si>
  <si>
    <t>9310</t>
  </si>
  <si>
    <t>9320</t>
  </si>
  <si>
    <t>9400</t>
  </si>
  <si>
    <t>9900</t>
  </si>
  <si>
    <t>1000-2999</t>
  </si>
  <si>
    <t xml:space="preserve">     Total Appropriations</t>
  </si>
  <si>
    <t>Debt Service Fund:</t>
  </si>
  <si>
    <t>Arbitrage Rebate Amount . . . . . . . . . . . . . . . . . . . . . . . . . . . . . . . . . . . . . . . . . . . . . . . . . . . . . . . . . . . . . . . . . . . . . .</t>
  </si>
  <si>
    <t>31               Bond Redemption Fund . . . . . . . . . . . . . . . . . . . . . . . . . . . . . . . . . . . . . . . . . . . . . . . . . . . . . . . . . . . . . . . . . . . . .</t>
  </si>
  <si>
    <t xml:space="preserve">          State Equalization</t>
  </si>
  <si>
    <t xml:space="preserve">          Specific Ownership Tax</t>
  </si>
  <si>
    <t xml:space="preserve">     Local Sources</t>
  </si>
  <si>
    <t xml:space="preserve">     State Sources</t>
  </si>
  <si>
    <t xml:space="preserve">     Federal Sources</t>
  </si>
  <si>
    <t>Total Revenue</t>
  </si>
  <si>
    <t>Revenue from Other Sources</t>
  </si>
  <si>
    <t>Allocation From General Fund</t>
  </si>
  <si>
    <t>Total Net Revenue</t>
  </si>
  <si>
    <t>Estimated Funded Pupil Count</t>
  </si>
  <si>
    <t>Budgeted Net Revenue Per Funded Pupil</t>
  </si>
  <si>
    <t>School District Operating Funds - Budgeted Expenditures</t>
  </si>
  <si>
    <t xml:space="preserve">Insurance </t>
  </si>
  <si>
    <t>Direct Instruction</t>
  </si>
  <si>
    <t>Instructional Support Services</t>
  </si>
  <si>
    <t>School Management</t>
  </si>
  <si>
    <t xml:space="preserve">     Subtotal</t>
  </si>
  <si>
    <t>District Wide Support Services</t>
  </si>
  <si>
    <t xml:space="preserve">     District Management</t>
  </si>
  <si>
    <t xml:space="preserve">     Plant Operations &amp; Maintenance</t>
  </si>
  <si>
    <t xml:space="preserve">     Pupil Transportation</t>
  </si>
  <si>
    <t xml:space="preserve">     Food Services</t>
  </si>
  <si>
    <t xml:space="preserve">     Other Support Services</t>
  </si>
  <si>
    <t>District Wide Support Services Subtotal</t>
  </si>
  <si>
    <t>Community Services</t>
  </si>
  <si>
    <t>Debt Services</t>
  </si>
  <si>
    <t>Other Operating Expenditures</t>
  </si>
  <si>
    <t>Total Budgeted Expenditures</t>
  </si>
  <si>
    <t>Budgeted Expenditures Per Funded Pupil</t>
  </si>
  <si>
    <t>Construction, Debt Payment &amp; Trust Funds - Budgeted Revenues</t>
  </si>
  <si>
    <t>Bond</t>
  </si>
  <si>
    <t>Trust/</t>
  </si>
  <si>
    <t>Redemption</t>
  </si>
  <si>
    <t>Projects</t>
  </si>
  <si>
    <t>Building &amp;</t>
  </si>
  <si>
    <t>Agency</t>
  </si>
  <si>
    <t>Building</t>
  </si>
  <si>
    <t>Technology</t>
  </si>
  <si>
    <t>(OTHER FUNDS)</t>
  </si>
  <si>
    <t>Construction, Debt Payment &amp; Trust Funds - Budgeted Expenditures</t>
  </si>
  <si>
    <t>Other Expenditures</t>
  </si>
  <si>
    <t>Applicable Indirect Cost Rate (%)</t>
  </si>
  <si>
    <t>APPROPRIATION RESOLUTION</t>
  </si>
  <si>
    <t>0100</t>
  </si>
  <si>
    <t>0200</t>
  </si>
  <si>
    <t>0300</t>
  </si>
  <si>
    <t>0400</t>
  </si>
  <si>
    <t>0500</t>
  </si>
  <si>
    <t>0600</t>
  </si>
  <si>
    <t>0700</t>
  </si>
  <si>
    <t>0800</t>
  </si>
  <si>
    <t>FAX</t>
  </si>
  <si>
    <t>District Code</t>
  </si>
  <si>
    <t>Fund 10:  GENERAL FUND REVENUE</t>
  </si>
  <si>
    <t>* Round to Nearest Dollar *</t>
  </si>
  <si>
    <t>BEGINNING FUND BALANCE</t>
  </si>
  <si>
    <t xml:space="preserve">Budget Adoption and Appropriations Resolution </t>
  </si>
  <si>
    <t xml:space="preserve">BFB  </t>
  </si>
  <si>
    <t>Source</t>
  </si>
  <si>
    <t>Codes</t>
  </si>
  <si>
    <t>REVENUE FROM LOCAL SOURCES</t>
  </si>
  <si>
    <t>1110</t>
  </si>
  <si>
    <t>1120</t>
  </si>
  <si>
    <t>1130</t>
  </si>
  <si>
    <t>1140</t>
  </si>
  <si>
    <t>1310</t>
  </si>
  <si>
    <t>1311</t>
  </si>
  <si>
    <t>1410-1411</t>
  </si>
  <si>
    <t>1500</t>
  </si>
  <si>
    <t>1940</t>
  </si>
  <si>
    <t>1960</t>
  </si>
  <si>
    <t>Transfers In/Out</t>
  </si>
  <si>
    <t>Other Sources (please specify) _________________________________________</t>
  </si>
  <si>
    <t xml:space="preserve">If these sums do not net to zero then the transfers do not balance.  </t>
  </si>
  <si>
    <t>10               General Fund Revenue . . . . . . . . . . . . . . . . . . . . . . . . . . . . . . . . . . . . . . . . . . . . . . . . . . . . . . . . . . . . . . . . . . . . . . . .</t>
  </si>
  <si>
    <t>Internal Service Funds:</t>
  </si>
  <si>
    <t>10               General Fund Expenditures . . . . . . . . . . . . . . . . . . . . . . . . . . . . . . . . . . . . . . . . . . . . . . . . . . . . . . . . . . . . . . . . . .</t>
  </si>
  <si>
    <t>Special Revenue Funds:</t>
  </si>
  <si>
    <t>adopted budget.  22-44-107(2).</t>
  </si>
  <si>
    <t xml:space="preserve">23               Pupil Activity Special Revenue Fund  . . . . . . . . . . . . . . . . . . . . . . . . . . . . . . . . . . . . . . . . . . . . . . . . . . . . . . . . . . . . </t>
  </si>
  <si>
    <t xml:space="preserve">74              Pupil Activity Agency Fund . . . . . . . . . . . . . . . . . . . . . . . . . . . . . . . . . . . . . . . . . . . . . . . . . . . . . </t>
  </si>
  <si>
    <t>71-73 &amp; 75-79         Trust and Other Agency Funds . . . . . . . . . . . . . . . . . . . . . . . . . . . . . . . . . . . . . . . . . . . . . . . . . . . . . . . . . . . . .</t>
  </si>
  <si>
    <t>TOTAL REVENUE INCLUDING BEGINNING FUND BALANCE (Sum of line 17 and BFB)</t>
  </si>
  <si>
    <t>Other Purchased Student Transportation</t>
  </si>
  <si>
    <t>0561</t>
  </si>
  <si>
    <t>0562</t>
  </si>
  <si>
    <t>0563</t>
  </si>
  <si>
    <t>0564</t>
  </si>
  <si>
    <t>0565</t>
  </si>
  <si>
    <t>0566</t>
  </si>
  <si>
    <t>0569</t>
  </si>
  <si>
    <t>0580</t>
  </si>
  <si>
    <t>Subtotal 0010 - Elementary Instructional</t>
  </si>
  <si>
    <t>Subtotal 0020 - Middle School Instructional</t>
  </si>
  <si>
    <t>Subtotal 0060 - General Integrated Education</t>
  </si>
  <si>
    <t>Subtotal 1600 - Technical Education</t>
  </si>
  <si>
    <t>Subtotal 1700 - Special Education</t>
  </si>
  <si>
    <t>Indirect Cost Rate Calculation (0869)</t>
  </si>
  <si>
    <t>ARRA</t>
  </si>
  <si>
    <t>Charter</t>
  </si>
  <si>
    <t>CHARTER SCHOOL FUND</t>
  </si>
  <si>
    <t>a1</t>
  </si>
  <si>
    <t>Charter School Fund</t>
  </si>
  <si>
    <t>ARRA (Federal Stimulus Funding)  GRANTS FUND</t>
  </si>
  <si>
    <t>ARRA (Federal Stimulus Funding) Grants Fund</t>
  </si>
  <si>
    <t>ARRA (FEDERAL STIMULUS FUNDING) GRANTS FUND</t>
  </si>
  <si>
    <t>ARRA (Federal Stimulus Funding) GRANTS FUND</t>
  </si>
  <si>
    <t>1a. Charter School Fund</t>
  </si>
  <si>
    <t>1b. Insurance Reserve Fund</t>
  </si>
  <si>
    <t>1c. Pre-School Fund</t>
  </si>
  <si>
    <t>1c.</t>
  </si>
  <si>
    <t>FOUNDATION FUND</t>
  </si>
  <si>
    <t>11               Charter Fund Revenue . . . . . . . . . . . . . . . . . . . . . . . . . . . . . . . . . . . . . . . . . . . . . . . . . . . . . . . . . . . . . .</t>
  </si>
  <si>
    <t xml:space="preserve">11               Charter Fund Expenditures . . . . . . . . . . . . . . . . . . . . . . . . . . . . . . . . . . . . . . . . . . . . . . . . . . . . . . . . </t>
  </si>
  <si>
    <t>22               Governmental Designated-Purpose Grants Fund. . . . . . . . . . . . . . . . . . . . . . . . . . . . . . . . . . . . . . . . .</t>
  </si>
  <si>
    <t>25               Transportation Fund . . . . . . . . . . . . . . . . . . . . . . . . . . . . . . . . . . . . . . . . . . . . . . . . . . . . . . . . . . . . . . . . .</t>
  </si>
  <si>
    <t xml:space="preserve">26-29          Other Special Revenue Funds . . . . . . . . . . . . . . . . . . . . . . . . . . . . . . . . . . . . . . . . . . . . . . . . . . . . . . . . . </t>
  </si>
  <si>
    <t>Cells that are gray are protected cells and can not be modified.</t>
  </si>
  <si>
    <t>Tuition Paid Within the BOCES or AU</t>
  </si>
  <si>
    <t>Tuition Paid to Other Colorado Districts or BOCES or AU</t>
  </si>
  <si>
    <t>Tuition to School Districts Outside The State</t>
  </si>
  <si>
    <t>Tuition To Private Sources</t>
  </si>
  <si>
    <t>Tuition - Other</t>
  </si>
  <si>
    <t>TOTAL GRANT EXPENDITURES NOT IN OTHER FUNDS</t>
  </si>
  <si>
    <t>Travel, Registration, and Entrance</t>
  </si>
  <si>
    <t>0591</t>
  </si>
  <si>
    <t>0592</t>
  </si>
  <si>
    <t>0593</t>
  </si>
  <si>
    <t>0594</t>
  </si>
  <si>
    <t>0640</t>
  </si>
  <si>
    <t>Services Purchased Within the BOCES or AU</t>
  </si>
  <si>
    <t>Component Unit Revenues and Expenditures/Expenses . . . . . . . . . . . . . . . . . . . . . . . . . . . . . . . . . . .</t>
  </si>
  <si>
    <t>Capital Projects Funds:</t>
  </si>
  <si>
    <t>Link of amounts from line 12a above</t>
  </si>
  <si>
    <t>Transfers Out (as reported on line 12a above)</t>
  </si>
  <si>
    <t>Transfer From(+)/To(-)________________Fund(s) (Net to zero across all funds) NOTE-1</t>
  </si>
  <si>
    <t>7a</t>
  </si>
  <si>
    <t>Transfers Out if reported as an expenditure - Linked from line 7a above</t>
  </si>
  <si>
    <t>Link of amounts from line 5a above</t>
  </si>
  <si>
    <t>Transfers Out if reported as an expenditure - Linked from line 12a above</t>
  </si>
  <si>
    <t>8a</t>
  </si>
  <si>
    <t>Transfers Out if reported as an expenditure - Linked from line 8a above</t>
  </si>
  <si>
    <t>Transfers Out (as reported on line 5a above)</t>
  </si>
  <si>
    <t>11a</t>
  </si>
  <si>
    <t>Transfers Out if reported as an expenditure - Linked from line 11a above</t>
  </si>
  <si>
    <t>Transfers Out if reported as an expenditure - Linked from line 6a above</t>
  </si>
  <si>
    <t>*  Transfers Out are limited to the closing of this fund only.</t>
  </si>
  <si>
    <t>Transfer To________________Fund(s) (input as a positive number on this line) *</t>
  </si>
  <si>
    <t>74a</t>
  </si>
  <si>
    <t>TOTAL EXPENDITURES AND OTHER USES (Sum of lines 39, 73, 74 &amp; 74a)</t>
  </si>
  <si>
    <t>Grant Transfer Activity IN (source code 53xx) - subject to limitations</t>
  </si>
  <si>
    <t>Programs 0010-4000</t>
  </si>
  <si>
    <t>Allocation to Charter School (fund 11) from General Fund (fund 10) (as a negative amount)</t>
  </si>
  <si>
    <t>Enter tllocation amount on Arbitrage page and Charter School Revenue, Line 84</t>
  </si>
  <si>
    <t>**Note:  The ALLOCATION FROM GENERAL FUND ON LINE 5 MUST BE INCLUDED IN THE AMOUNT ON LINE 83 or LINE 83a OF GENERAL FUND REVENUE</t>
  </si>
  <si>
    <t>9a</t>
  </si>
  <si>
    <t>Transfers Out if reported as an expenditure - Linked from line 9a above</t>
  </si>
  <si>
    <t>Grant Transfer Activity OUT (source code 53xx) - subject to limitations</t>
  </si>
  <si>
    <t>AVAILABLE  BEGINNING FUND BALANCE &amp; REVENUES (Plus or Minus (if Revenue) Allocations and Transfers)</t>
  </si>
  <si>
    <t xml:space="preserve">TABOR Emergency Reserves . . . . . . . . . . . . . . . . . . . . . . . . . . . . . . . . . . . . . . . . . . . . . . . . . . . . . . . . . . . . . . . </t>
  </si>
  <si>
    <t>41               Building Fund . . . . . . . . . . . . . . . . . . . . . . . . . . . . . . . . . . . . . . . . . . . . . . . . . . . . . . . . . . . . . . . . . . . . . . . . . . . .</t>
  </si>
  <si>
    <t>42               Special Building and Technology Fund . . . . . . . . . . . . . . . .. . . . . . . . . . . . . . . . . . . . . . . . . . . . . . . . . . . . . . . . .</t>
  </si>
  <si>
    <t xml:space="preserve">43               Capital Reserve Capital Projects Fund . . . . . . . . . . . . . . . . . . . . . . . . . . . . . . . . . . . . . . . . . . . . . . . . . . . . . . . . . . . . . . . . . . . </t>
  </si>
  <si>
    <t>Summary Information:</t>
  </si>
  <si>
    <t>Enterprise Funds:</t>
  </si>
  <si>
    <t>NAME AND TITLE OF PERSON(S) TO CONTACT IN THE EVENT THERE ARE QUESTIONS REGARDING THIS REPORT:</t>
  </si>
  <si>
    <t>NAME</t>
  </si>
  <si>
    <t>TITLE</t>
  </si>
  <si>
    <t>PHONE</t>
  </si>
  <si>
    <t>TOTAL GENERAL HIGH SCHOOL EDUCATION</t>
  </si>
  <si>
    <t>0040 - General Pre-School Education</t>
  </si>
  <si>
    <t>0010 - General Elementary Education</t>
  </si>
  <si>
    <t>0030 - General High School Education</t>
  </si>
  <si>
    <t>0020 - General Middle/Jr. High School Education</t>
  </si>
  <si>
    <t>TOTAL GENERAL MIDDLE/JR.HIGH SCHOOL EDUCATION</t>
  </si>
  <si>
    <t>Community Service</t>
  </si>
  <si>
    <t>1300</t>
  </si>
  <si>
    <t>1973</t>
  </si>
  <si>
    <t>Employee Benefits - staff benefits tab</t>
  </si>
  <si>
    <t>Employee Benefit Premium</t>
  </si>
  <si>
    <t>1974</t>
  </si>
  <si>
    <t>Risk Management</t>
  </si>
  <si>
    <t>TOTAL EXPENSES AND OTHER USES</t>
  </si>
  <si>
    <t>0700-0739</t>
  </si>
  <si>
    <t>Property/Equipment</t>
  </si>
  <si>
    <t>1400</t>
  </si>
  <si>
    <t>Transportation Fees</t>
  </si>
  <si>
    <t>1975</t>
  </si>
  <si>
    <t>Print Shop Services</t>
  </si>
  <si>
    <t>1976</t>
  </si>
  <si>
    <t>1977</t>
  </si>
  <si>
    <t>1978</t>
  </si>
  <si>
    <t>1979</t>
  </si>
  <si>
    <t>Technology Services</t>
  </si>
  <si>
    <t>Warehouse Services</t>
  </si>
  <si>
    <t>REVENUE FROM INTERMEDIATE (COUNTY) SOURCES</t>
  </si>
  <si>
    <t>2000</t>
  </si>
  <si>
    <t>REVENUE FROM STATE SOURCES</t>
  </si>
  <si>
    <t>3110</t>
  </si>
  <si>
    <t>3120</t>
  </si>
  <si>
    <t>3130</t>
  </si>
  <si>
    <t>3140</t>
  </si>
  <si>
    <t>3150</t>
  </si>
  <si>
    <t>3160</t>
  </si>
  <si>
    <t>3300</t>
  </si>
  <si>
    <t>REVENUE FROM FEDERAL SOURCES</t>
  </si>
  <si>
    <t>52XX</t>
  </si>
  <si>
    <t>School District</t>
  </si>
  <si>
    <t>Fund 18:  INSURANCE RESERVE FUND</t>
  </si>
  <si>
    <t>18               Insurance Reserve Special Revenue Fund. . . . . . . . . . . . . . . . . . . . . . . . . . . . . . . . . . . . . . . . . . . . . . . . . . . . . . .</t>
  </si>
  <si>
    <t>Fund 10:  GENERAL FUND EXPENDITURES</t>
  </si>
  <si>
    <t>Program</t>
  </si>
  <si>
    <t>OTHER</t>
  </si>
  <si>
    <t>TOTAL</t>
  </si>
  <si>
    <t>1700</t>
  </si>
  <si>
    <t>District Emergency Reserve</t>
  </si>
  <si>
    <t xml:space="preserve">  District Emergency Reserve - Program 9315</t>
  </si>
  <si>
    <t>Allocation From General Fund**   Optional starting in FY09-10</t>
  </si>
  <si>
    <t>Certificates of Participation</t>
  </si>
  <si>
    <t>Return of State Categoricals ("categorical buyout") - (enter amount as negative)</t>
  </si>
  <si>
    <t>INSTRUCTION PROGRAM CODES</t>
  </si>
  <si>
    <t>Purchased Professional &amp; Technical Services</t>
  </si>
  <si>
    <t>Purchased Property Services</t>
  </si>
  <si>
    <t>0430</t>
  </si>
  <si>
    <t>Repairs &amp; Maintenance Services</t>
  </si>
  <si>
    <t>0442</t>
  </si>
  <si>
    <t>Rental of Equipment</t>
  </si>
  <si>
    <t>Other Purchased Services</t>
  </si>
  <si>
    <t>0511</t>
  </si>
  <si>
    <t>0512</t>
  </si>
  <si>
    <t>0513</t>
  </si>
  <si>
    <t>0514</t>
  </si>
  <si>
    <t>0515</t>
  </si>
  <si>
    <t>0516</t>
  </si>
  <si>
    <t>0517</t>
  </si>
  <si>
    <t>0519</t>
  </si>
  <si>
    <t>Student Transportation Purchased Within the BOCES or AU</t>
  </si>
  <si>
    <t>Contracted Field Trips</t>
  </si>
  <si>
    <t>Student Transportation Purchased from Parents</t>
  </si>
  <si>
    <t>Student Transportation Purchased from Contractors</t>
  </si>
  <si>
    <t>Student Transportation Purchased from School District Outside the State</t>
  </si>
  <si>
    <t>TOTAL ENGLISH LANGUAGE ARTS</t>
  </si>
  <si>
    <t>0600 - Foreign Languages</t>
  </si>
  <si>
    <t>TOTAL FOREIGN LANGUAGES</t>
  </si>
  <si>
    <t>0700 - Health Occupations Education</t>
  </si>
  <si>
    <t>TOTAL HEALTH OCCUPATIONS EDUCATION</t>
  </si>
  <si>
    <t>0800 - Physical Curriculum</t>
  </si>
  <si>
    <t>TOTAL PHYSICAL CURRICULUM</t>
  </si>
  <si>
    <t>0900 - Family &amp; Consumer Education</t>
  </si>
  <si>
    <t>TOTAL FAMILY &amp; CONSUMER EDUCATION</t>
  </si>
  <si>
    <t>5. Allocation from General Fund</t>
  </si>
  <si>
    <t>7. TOTAL REVENUE (Sum of lines 1-5)</t>
  </si>
  <si>
    <t>8. TOTAL REVENUE INCLUDING BEGINNING FUND BALANCE (Sum of Line 6 and BFB)</t>
  </si>
  <si>
    <t>9. Expenditures/Expenses</t>
  </si>
  <si>
    <t xml:space="preserve">      ---LINE 14 MUST EQUAL LINE 8---</t>
  </si>
  <si>
    <t>LINE 8</t>
  </si>
  <si>
    <t>Services Purchased from Other Colorado Districts or BOCES or AU</t>
  </si>
  <si>
    <t>Services Purchased from School Districts Outside the State</t>
  </si>
  <si>
    <t>Purchased Services from Districts by Charter Schools</t>
  </si>
  <si>
    <t>Supplies</t>
  </si>
  <si>
    <t>Books and Periodicals</t>
  </si>
  <si>
    <t>0721</t>
  </si>
  <si>
    <t>0722</t>
  </si>
  <si>
    <t>Property</t>
  </si>
  <si>
    <t>Land and Improvements</t>
  </si>
  <si>
    <t>Buildings</t>
  </si>
  <si>
    <t>See Note Below Regarding Source Codes for Federal Funds</t>
  </si>
  <si>
    <t>FEDERAL FUND REVENUE SOURCE CODES</t>
  </si>
  <si>
    <t>Equipment</t>
  </si>
  <si>
    <t>See Fund 70</t>
  </si>
  <si>
    <t>PROGRAMS 2100-3400</t>
  </si>
  <si>
    <t>See Fund 64</t>
  </si>
  <si>
    <t>Vehicles</t>
  </si>
  <si>
    <t>Non-Capital Equipment</t>
  </si>
  <si>
    <t>Depreciation</t>
  </si>
  <si>
    <t>0810</t>
  </si>
  <si>
    <t>0850</t>
  </si>
  <si>
    <t>0851</t>
  </si>
  <si>
    <t>0868</t>
  </si>
  <si>
    <t>Other Objects</t>
  </si>
  <si>
    <t>Dues and Fees</t>
  </si>
  <si>
    <t>Internal Charge/Reimbursement Accounts</t>
  </si>
  <si>
    <t>Transportation/Field Trips</t>
  </si>
  <si>
    <t>Overhead Costs</t>
  </si>
  <si>
    <t>Indirect Costs</t>
  </si>
  <si>
    <t>TOTAL GENERAL ELEMENTARY EDUCATION</t>
  </si>
  <si>
    <t>Tuition Paid to Other Colorado Districts, BOCES or AU</t>
  </si>
  <si>
    <t>Services Purchased from Other Colorado Districts, BOCES or AU</t>
  </si>
  <si>
    <t>Student Transportation Purchased from Other Colorado Districts, BOCES or AU</t>
  </si>
  <si>
    <t>Student Transportation In-service</t>
  </si>
  <si>
    <t>Allocation to CPP Fund (fund 19)</t>
  </si>
  <si>
    <t>Tuition to Agencies with Colorado Dept. of Ed. - Approved Rates</t>
  </si>
  <si>
    <t>State Share (Equalization) Withholding for Out-of-District Placed Pupils</t>
  </si>
  <si>
    <t>Figures (Totals) which will appear on Budget Form to Submit to CDE</t>
  </si>
  <si>
    <t>Record Inceases to revenue are positive amounts and Decreases as negatives</t>
  </si>
  <si>
    <t>Codes:</t>
  </si>
  <si>
    <t>REVENUE AND OTHER SOURCES</t>
  </si>
  <si>
    <t>5600</t>
  </si>
  <si>
    <t>Object</t>
  </si>
  <si>
    <t>EXPENDITURES AND OTHER USES</t>
  </si>
  <si>
    <t>0710</t>
  </si>
  <si>
    <t>0720</t>
  </si>
  <si>
    <t>0732</t>
  </si>
  <si>
    <t>Grant/Project Code</t>
  </si>
  <si>
    <t>STATE FUNDS NOT IN OTHER FUNDS</t>
  </si>
  <si>
    <t>1140-1190</t>
  </si>
  <si>
    <t>Property Taxes</t>
  </si>
  <si>
    <t>Other Taxes</t>
  </si>
  <si>
    <t>Other Local Sources</t>
  </si>
  <si>
    <t>Charter School Capital Construction</t>
  </si>
  <si>
    <t>3XXX</t>
  </si>
  <si>
    <t>Other State Sources</t>
  </si>
  <si>
    <t>Other Revenue</t>
  </si>
  <si>
    <t>TOTAL REVENUE (Sum of lines 1-6)</t>
  </si>
  <si>
    <t>TOTAL REVENUE INCLUDING BEGINNING FUND BALANCE (Sum of line 7 and BFB)</t>
  </si>
  <si>
    <t>Other Revenue (includes increases in assets)</t>
  </si>
  <si>
    <t>SUPPORT PROGRAMS - 2100 THROUGH 3400</t>
  </si>
  <si>
    <t>Other Revenue From Local and Intermediate Sources</t>
  </si>
  <si>
    <t>TOTAL REVENUE (Sum of lines 1-3)</t>
  </si>
  <si>
    <t>TOTAL GENERAL PRE-SCHOOL EDUCATION</t>
  </si>
  <si>
    <t>0050 - General Post-Secondary Education</t>
  </si>
  <si>
    <t>TOTAL GENERAL POST-SECONDARY EDUCATION</t>
  </si>
  <si>
    <t>0060 - Integrated Education</t>
  </si>
  <si>
    <t>TOTAL INTEGRATED EDUCATION</t>
  </si>
  <si>
    <t>0080 - General Instructional Media</t>
  </si>
  <si>
    <t>TOTAL GIFTED &amp; TALENTED EDUCATION</t>
  </si>
  <si>
    <t>TOTAL GENERAL INSTRUCTIONAL MEDIA</t>
  </si>
  <si>
    <t>Salaries - from staff details tab</t>
  </si>
  <si>
    <t>Employee Benefits - staff tab</t>
  </si>
  <si>
    <t>3111</t>
  </si>
  <si>
    <t>Full Day Kindergarten, Hold Harmless (Grant Code:  0000)</t>
  </si>
  <si>
    <t>1900 - Cocurricular Activities - Nonathletic</t>
  </si>
  <si>
    <t>Employee Benefits - from staff details tab</t>
  </si>
  <si>
    <t>0090 - Other General Education</t>
  </si>
  <si>
    <t>TOTAL OTHER GENERAL EDUCATION</t>
  </si>
  <si>
    <t>TOTAL AGRICULTURE EDUCATION</t>
  </si>
  <si>
    <t>0100 - Agriculture</t>
  </si>
  <si>
    <t>HIGH SCHOOL SUBJECT LEVEL</t>
  </si>
  <si>
    <t>0200 - Art</t>
  </si>
  <si>
    <t>TOTAL ART EDUCATION</t>
  </si>
  <si>
    <t>0300 - Business</t>
  </si>
  <si>
    <t>TOTAL BUSINESS EDUCATION</t>
  </si>
  <si>
    <t>0400 - Distributive/Marketing Education</t>
  </si>
  <si>
    <t>TOTAL DISTRIBUTIVE/MARKETING EDUCATION</t>
  </si>
  <si>
    <t>0500 - English Language Arts</t>
  </si>
  <si>
    <t>0300-0599</t>
  </si>
  <si>
    <t>0710-0719</t>
  </si>
  <si>
    <t>0720-0729</t>
  </si>
  <si>
    <t>0730-0739</t>
  </si>
  <si>
    <t>0740-0799</t>
  </si>
  <si>
    <t>37.</t>
  </si>
  <si>
    <t>38.</t>
  </si>
  <si>
    <t>TOTAL INSTRUCTIONAL AND SUPPORT SERVICES EXPENDITURES</t>
  </si>
  <si>
    <t>1190</t>
  </si>
  <si>
    <t>Current Property Taxes</t>
  </si>
  <si>
    <t>Specific Ownership Taxes</t>
  </si>
  <si>
    <t>Sales and Use Taxes</t>
  </si>
  <si>
    <t>District Multiple-Coverage &amp;/or Other Insurance - Program Code 2850 (or 2800)</t>
  </si>
  <si>
    <t>0051 - Programs for Adult/Continuing</t>
  </si>
  <si>
    <t>TOTAL PROGRAMS FOR ADULT/CONTINUING</t>
  </si>
  <si>
    <t>2220 - Educational Library Services</t>
  </si>
  <si>
    <t>TOTAL EDUCATIONAL LIBRARY SERVICES</t>
  </si>
  <si>
    <t>Allocation to CPKP Fund (fund 19)</t>
  </si>
  <si>
    <t>3220 - Enterprise Non-Instructional Programs</t>
  </si>
  <si>
    <t>3210 - Enterprise Instructional Programs</t>
  </si>
  <si>
    <t>Line</t>
  </si>
  <si>
    <t>Current Year Allocation</t>
  </si>
  <si>
    <t>2a</t>
  </si>
  <si>
    <t>2b</t>
  </si>
  <si>
    <t>Prior Year Carryover</t>
  </si>
  <si>
    <t>3a</t>
  </si>
  <si>
    <t>Purchased Professional &amp; Technical Services (0300)</t>
  </si>
  <si>
    <t>Other Purchased Services (0500)</t>
  </si>
  <si>
    <t>Supplies (0600)</t>
  </si>
  <si>
    <t>Other (0800)</t>
  </si>
  <si>
    <t>Purchased Property Services (0400)</t>
  </si>
  <si>
    <t>32a</t>
  </si>
  <si>
    <t>Property (0730) (Capitalized)</t>
  </si>
  <si>
    <t>32b</t>
  </si>
  <si>
    <t>Property (0735) (Non-capitalized)</t>
  </si>
  <si>
    <t>Schoolwide Programs</t>
  </si>
  <si>
    <t>35a</t>
  </si>
  <si>
    <t>35b</t>
  </si>
  <si>
    <t>Property (0735) (non-capitalized) (not including line 32b)</t>
  </si>
  <si>
    <t>35c</t>
  </si>
  <si>
    <t>Input the Grant Code on row 3 and the description on row 4</t>
  </si>
  <si>
    <t>Less line 32a Property (0730) (Capitalized)</t>
  </si>
  <si>
    <t>35d</t>
  </si>
  <si>
    <t>Subtotal Direct Costs (lines 35a + line 35b + line 35c)</t>
  </si>
  <si>
    <t>37a</t>
  </si>
  <si>
    <t>38a</t>
  </si>
  <si>
    <t>Property-(0730) (Capitalized) (not including line 32a)</t>
  </si>
  <si>
    <r>
      <t xml:space="preserve">Total Funds Available </t>
    </r>
    <r>
      <rPr>
        <b/>
        <sz val="6"/>
        <rFont val="Arial"/>
        <family val="2"/>
      </rPr>
      <t>(lines 1, 2 ,3)</t>
    </r>
  </si>
  <si>
    <r>
      <t xml:space="preserve">Subtotal Support Program </t>
    </r>
    <r>
      <rPr>
        <b/>
        <sz val="6"/>
        <rFont val="Arial"/>
        <family val="2"/>
      </rPr>
      <t>(lines 12 through 18)</t>
    </r>
  </si>
  <si>
    <r>
      <t xml:space="preserve">Subtotal Improvement of Instructional Services </t>
    </r>
    <r>
      <rPr>
        <b/>
        <sz val="6"/>
        <rFont val="Arial"/>
        <family val="2"/>
      </rPr>
      <t>(lines 20 through 25)</t>
    </r>
  </si>
  <si>
    <r>
      <t xml:space="preserve">Subtotal Administration </t>
    </r>
    <r>
      <rPr>
        <b/>
        <sz val="6"/>
        <rFont val="Arial"/>
        <family val="2"/>
      </rPr>
      <t>(lines 27 through 32)</t>
    </r>
  </si>
  <si>
    <r>
      <t xml:space="preserve">Subtotal Program Costs </t>
    </r>
    <r>
      <rPr>
        <b/>
        <sz val="6"/>
        <rFont val="Arial"/>
        <family val="2"/>
      </rPr>
      <t>(lines 11, 19, 26, 33, 34)</t>
    </r>
  </si>
  <si>
    <r>
      <t xml:space="preserve">Total Budget </t>
    </r>
    <r>
      <rPr>
        <b/>
        <sz val="6"/>
        <rFont val="Arial"/>
        <family val="2"/>
      </rPr>
      <t>(lines 32, 35, 37 or 37a, 38)</t>
    </r>
  </si>
  <si>
    <r>
      <t xml:space="preserve">Total Funds Available </t>
    </r>
    <r>
      <rPr>
        <sz val="8"/>
        <rFont val="Arial"/>
        <family val="2"/>
      </rPr>
      <t>(repeated from above)</t>
    </r>
  </si>
  <si>
    <r>
      <t>Difference</t>
    </r>
    <r>
      <rPr>
        <sz val="8"/>
        <rFont val="Arial"/>
        <family val="2"/>
      </rPr>
      <t xml:space="preserve"> - Line 4 less line 39</t>
    </r>
  </si>
  <si>
    <t>TOTAL ENTERPRISE INSTRUCTIONAL PROGRAMS</t>
  </si>
  <si>
    <t>TOTAL ENTERPRISE NON-INSTRUCTIONAL PROGRAMS</t>
  </si>
  <si>
    <t>0595</t>
  </si>
  <si>
    <t>* Transfers out of Bond Redemption Fund are not allowed unless all obligations of bonded indebtedness have been satisfied.  State Statute 22-54-108(3)(d)(II)(B) allows for Bond Redemption S.O. Tax to be budgeted for spending in another fund. S.O. Tax receipts must be recorded as a deposit to the receiving fund.</t>
  </si>
  <si>
    <t>1000 - Industrial Arts/Technology Education</t>
  </si>
  <si>
    <t>1a</t>
  </si>
  <si>
    <t>1a. Insurance Reserve Special Revenue Fund</t>
  </si>
  <si>
    <t>1b. Pre-School Fund</t>
  </si>
  <si>
    <t>1b</t>
  </si>
  <si>
    <t>2. ARRA (Federal Stimulus Funding) Grants Fund</t>
  </si>
  <si>
    <t>4. Governmental Designated-Purpose Grants Fund</t>
  </si>
  <si>
    <t>5. Pupil Activity Special Revenue Fund</t>
  </si>
  <si>
    <t>7. Transportation Fund</t>
  </si>
  <si>
    <t>20
 ARRA (Federal Stimulus Funding) Grants Fund</t>
  </si>
  <si>
    <t>24
Full-Day Kindergarten Mill Levy Override</t>
  </si>
  <si>
    <t>Fund 24 : Full-Day Kindergarten Mill Levy Override Fund</t>
  </si>
  <si>
    <t>24               Full-Day Kindergarten Mill Levy Override Fund.           . . . . . . . . . . . . . . . . . . . . . . . . . . . . . . . . . . . . . .</t>
  </si>
  <si>
    <t>6.  Full-Day Kindergarten Mill Levy Override Fund</t>
  </si>
  <si>
    <t>8. Other Special Revenue Funds</t>
  </si>
  <si>
    <t>10. Building Fund</t>
  </si>
  <si>
    <t>11. Special Building and Technology Fund</t>
  </si>
  <si>
    <t>12. Capital Reserve Capital Projects Fund</t>
  </si>
  <si>
    <t>14. Other Enterprise Funds</t>
  </si>
  <si>
    <t>15. Risk-Related Activity Fund</t>
  </si>
  <si>
    <t>16. Other Internal Service Funds</t>
  </si>
  <si>
    <t>17. Pupil Activity Agency Fund</t>
  </si>
  <si>
    <t>18. Trust and Other Agency Funds</t>
  </si>
  <si>
    <t>19. Foundation Fund</t>
  </si>
  <si>
    <t>20. Component Units</t>
  </si>
  <si>
    <t>6. Full-Day Kindergarten Mill Levy Override Fund</t>
  </si>
  <si>
    <t>11. Special Building &amp; Technology Fund</t>
  </si>
  <si>
    <t>17. Pupil Activity Agency Funds</t>
  </si>
  <si>
    <t>18. Trust &amp; Agency Funds</t>
  </si>
  <si>
    <t>20. TOTAL (Sum of lines 1-19)</t>
  </si>
  <si>
    <t>19. Foundations &amp; Component Units</t>
  </si>
  <si>
    <t>Provide if required</t>
  </si>
  <si>
    <t>FULL DAY KINDERGARTEN MILL LEVY OVERRIDE FUND</t>
  </si>
  <si>
    <t>COMPONENT UNITS (Arbitrage Page)</t>
  </si>
  <si>
    <t>*State Statute prohibits the transfer of funds out of the Full Day Kindergarten Mill Levy Override Fund</t>
  </si>
  <si>
    <t>TOTAL INDUSTRIAL ARTS/TECHNOLOGY EDUCATION</t>
  </si>
  <si>
    <t>1100 - Mathematics</t>
  </si>
  <si>
    <t>TOTAL MATHEMATICS</t>
  </si>
  <si>
    <t>1200 - Music</t>
  </si>
  <si>
    <t>TOTAL MUSIC</t>
  </si>
  <si>
    <t>TOTAL NATURAL SCIENCE</t>
  </si>
  <si>
    <t>1300 - Natural Science</t>
  </si>
  <si>
    <t>1400 - Office Occupations</t>
  </si>
  <si>
    <t>TOTAL OFFICE OCCUPATIONS</t>
  </si>
  <si>
    <t>1500 - Social Science</t>
  </si>
  <si>
    <t>TOTAL SOCIAL SCIENCES</t>
  </si>
  <si>
    <t>1600 - Technical Education/Computer Technology</t>
  </si>
  <si>
    <t>TOTAL TECHNICAL EDUCATION/COMPUTER TECHNOLOGY</t>
  </si>
  <si>
    <t>TOTAL SPECIAL EDUCATION</t>
  </si>
  <si>
    <t>1800 - Cocurricular Activities - Athletic/Sport</t>
  </si>
  <si>
    <t>TOTAL COCURRICULAR ACTIVITIES - ATHLETIC/SPORT</t>
  </si>
  <si>
    <t>4000</t>
  </si>
  <si>
    <t>TOTAL EXPENDITURES</t>
  </si>
  <si>
    <t>OTHER USES</t>
  </si>
  <si>
    <t>RESERVES</t>
  </si>
  <si>
    <t>Difference must = 0</t>
  </si>
  <si>
    <t>TOTAL REVENUE (sum of lines 1 - 7)</t>
  </si>
  <si>
    <t>Education for Adults - Program 3400</t>
  </si>
  <si>
    <t>Equipment (including unlicensed vehicles)</t>
  </si>
  <si>
    <t>SUPPORT PROGRAMS - 2100 THROUGH 4000</t>
  </si>
  <si>
    <t>Purchased Property Services (Includes amounts paid for minor renovating and remodeling facilities)</t>
  </si>
  <si>
    <t>Interest</t>
  </si>
  <si>
    <t>Redemption of Principal</t>
  </si>
  <si>
    <t>OTHER USES - DEBT SERVICE PROGRAM 5100</t>
  </si>
  <si>
    <t>TOTAL GRANTS NOT IN OTHER FUNDS</t>
  </si>
  <si>
    <t>Note:  If applicable, INDIRECT COSTS are included in the anticipated expenditures for each grant/project.</t>
  </si>
  <si>
    <t>Fund 23:  PUPIL ACTIVITY SPECIAL REVENUE FUND</t>
  </si>
  <si>
    <t>(1)</t>
  </si>
  <si>
    <t>(2)</t>
  </si>
  <si>
    <t>GENERAL FUND</t>
  </si>
  <si>
    <t>Fund 25:  TRANSPORTATION FUND</t>
  </si>
  <si>
    <t>0100-0199</t>
  </si>
  <si>
    <t>0200-0299</t>
  </si>
  <si>
    <t>0300-0399</t>
  </si>
  <si>
    <t>0400-0499</t>
  </si>
  <si>
    <t>0500-0599</t>
  </si>
  <si>
    <t>0600-0699</t>
  </si>
  <si>
    <t>0800-0899</t>
  </si>
  <si>
    <t>Funds 26-29:  OTHER SPECIAL REVENUE FUNDS</t>
  </si>
  <si>
    <t>Fund 31:  BOND REDEMPTION FUND</t>
  </si>
  <si>
    <t xml:space="preserve"> </t>
  </si>
  <si>
    <t>0910</t>
  </si>
  <si>
    <t>0830</t>
  </si>
  <si>
    <t>Note:  If district is holding a bond election during year, district may budget as if election will pass OR may choose to file a supplemental appropriation after bond election passes.</t>
  </si>
  <si>
    <t>Fund 41:  BUILDING FUND</t>
  </si>
  <si>
    <t>Code:</t>
  </si>
  <si>
    <t>1000-2999 (not 1500)</t>
  </si>
  <si>
    <t>3000-3999</t>
  </si>
  <si>
    <t>4000-4999</t>
  </si>
  <si>
    <t>0100-0299</t>
  </si>
  <si>
    <t>Transportation Fees From Individuals</t>
  </si>
  <si>
    <t>Earnings on Investments</t>
  </si>
  <si>
    <t>Community Service Activities</t>
  </si>
  <si>
    <t>Charter School Revenue</t>
  </si>
  <si>
    <t>Instructional Materials Fees</t>
  </si>
  <si>
    <t>Services Provided within BOCES: local</t>
  </si>
  <si>
    <t>Serivces Provided other Colorado BOCES of Districts: local</t>
  </si>
  <si>
    <t>Services Provided other Units: local</t>
  </si>
  <si>
    <t>Parking Fees</t>
  </si>
  <si>
    <t>TOTAL REVENUE FROM INTERMEDIATE (COUNTY) SOURCES</t>
  </si>
  <si>
    <t>State Equalization</t>
  </si>
  <si>
    <t>Capital Construction</t>
  </si>
  <si>
    <t>Charter School Capital Constrcution</t>
  </si>
  <si>
    <t>Vocational Education</t>
  </si>
  <si>
    <t>Exceptional Children's Education Act (ECEA)</t>
  </si>
  <si>
    <t>English Language Proficiency Act (ELPA)</t>
  </si>
  <si>
    <t xml:space="preserve"> Gifted and Talented (ECEA)</t>
  </si>
  <si>
    <t xml:space="preserve"> Transportation</t>
  </si>
  <si>
    <t>Teacher Pay Incentive</t>
  </si>
  <si>
    <t>Service Provided within the BOCES: State Level</t>
  </si>
  <si>
    <t xml:space="preserve"> Services Provided Other Colorado Districts or BOCES: State Level</t>
  </si>
  <si>
    <t>Purchased Services from Districts by Charter Schools (5% Administrative)</t>
  </si>
  <si>
    <t>Lease Holding Improvements</t>
  </si>
  <si>
    <t>New Construction</t>
  </si>
  <si>
    <t>0723</t>
  </si>
  <si>
    <t>Major Renovations</t>
  </si>
  <si>
    <t>a2</t>
  </si>
  <si>
    <t>a3</t>
  </si>
  <si>
    <t>Full Day Kindergarten Mill Levy Override Fund</t>
  </si>
  <si>
    <t>q</t>
  </si>
  <si>
    <t>Fioundation Funds</t>
  </si>
  <si>
    <t>31</t>
  </si>
  <si>
    <t>44</t>
  </si>
  <si>
    <t>50</t>
  </si>
  <si>
    <t>TOTAL EXPENDITURES AND OTHER USES (Sum of lines 28,40,43)</t>
  </si>
  <si>
    <t>Also , add the grant description to row 4 of  the "Fund 22 Grants" tab.</t>
  </si>
  <si>
    <t>The Fund 22 Grants must be identified and added to row 3 of the "Fund 22 Grants" tab.</t>
  </si>
  <si>
    <t>3. TOTAL TABOR SPENDING FOR Prior FY (Line 1 minus Line 2)</t>
  </si>
  <si>
    <t>Percent Change in Denver-Boulder Consumer Price Index for Prior CY</t>
  </si>
  <si>
    <t>FY2010-2011 Revised Budget</t>
  </si>
  <si>
    <r>
      <t>6. Commodities</t>
    </r>
    <r>
      <rPr>
        <strike/>
        <sz val="8"/>
        <rFont val="Helv"/>
      </rPr>
      <t xml:space="preserve"> (CFDA # 10.550)</t>
    </r>
    <r>
      <rPr>
        <sz val="8"/>
        <rFont val="Helv"/>
      </rPr>
      <t xml:space="preserve"> No longer reported as CFDA # 10.550</t>
    </r>
  </si>
  <si>
    <t>Be it resolved by the Board of Education of ____________________ School District/BOCES in</t>
  </si>
  <si>
    <t>_______________ County, that the amounts shown in the following schedule be appropriated to</t>
  </si>
  <si>
    <t>Voter-Approved Revenue Changes</t>
  </si>
  <si>
    <t>To Determine your 3% TABOR Minimum Reserve Amount use 3% of Line 5</t>
  </si>
  <si>
    <t>3% of Current Year Spending - TABOR 3% Minimum</t>
  </si>
  <si>
    <t>should be treated as a transfer</t>
  </si>
  <si>
    <t>II a. Are the Charter School Allocation out equal to the Allocations in?</t>
  </si>
  <si>
    <t>II b.  Are the Pre-School Allocations out equal to the Allocations in?</t>
  </si>
  <si>
    <t>III. Do the transfers in/out net to zero across all funds?</t>
  </si>
  <si>
    <t>IV. General Fund Non appropriated reserves limitation</t>
  </si>
  <si>
    <t>The "Uniform Budget Summary" page is generated based on the data provided within this workbook.</t>
  </si>
  <si>
    <t>Uniform Budget Summary (District Use Only) . . . . . . . . . . . . . . . . . . . . . . . . . . . . . . . . . . . . . . . . . . . . . . . . .</t>
  </si>
  <si>
    <t>3200-3210</t>
  </si>
  <si>
    <t>3956</t>
  </si>
  <si>
    <t>Services Provided Charter School Food Authority: State Level</t>
  </si>
  <si>
    <t>4954-4956</t>
  </si>
  <si>
    <t>1954-1957</t>
  </si>
  <si>
    <t>3010</t>
  </si>
  <si>
    <t>State Revenue from Other Sources</t>
  </si>
  <si>
    <t>State Revenue From CDE Sources</t>
  </si>
  <si>
    <t>State Revenue From Other Sources</t>
  </si>
  <si>
    <t>State Equalization and Full Day Kindergarten (should be allocation 5711)</t>
  </si>
  <si>
    <t>9321</t>
  </si>
  <si>
    <t>9322</t>
  </si>
  <si>
    <t>932X</t>
  </si>
  <si>
    <t>Other Restricted Reserves</t>
  </si>
  <si>
    <t>Fund 39:  NON-VOTER APPROVED DEBT FUND</t>
  </si>
  <si>
    <t>Note:  Non-voter approved debt (Fund 39) must not be commingled with Voter approved debt (Fund 31)</t>
  </si>
  <si>
    <t>9a.  Bond Redemption Fund</t>
  </si>
  <si>
    <t>9b.  Non-Voter Approved Debt Fund</t>
  </si>
  <si>
    <t>9a.</t>
  </si>
  <si>
    <t>9b.</t>
  </si>
  <si>
    <t>i2</t>
  </si>
  <si>
    <t>i1</t>
  </si>
  <si>
    <t>9a. Bond Redemption Fund</t>
  </si>
  <si>
    <t xml:space="preserve">   Reserve for TABOR 3% - Program 9321</t>
  </si>
  <si>
    <t xml:space="preserve">   Other Restricted Reserves: 932X</t>
  </si>
  <si>
    <t xml:space="preserve">   Res. for TABOR - Multi-Year Obligations Program 9322</t>
  </si>
  <si>
    <t>TOTAL APPROPRIATED RESERVES (Sum of 32 - 36)</t>
  </si>
  <si>
    <t>TOTAL APPROPRIATED RESERVES (Sum of 19 - 22)</t>
  </si>
  <si>
    <t>TOTAL APPROPRIATED RESERVES (Sum of 17 - 21)</t>
  </si>
  <si>
    <t>45</t>
  </si>
  <si>
    <t>46</t>
  </si>
  <si>
    <t>47</t>
  </si>
  <si>
    <t>48</t>
  </si>
  <si>
    <t>49</t>
  </si>
  <si>
    <t>TOTAL APPROPRIATED RESERVES (Sum of lines 45-49)</t>
  </si>
  <si>
    <t>TOTAL APPROPRIATED RESERVES (Sum of 22 - 26)</t>
  </si>
  <si>
    <t>TOTAL BOND REDEMPTION FUND EXPENDITURES AND APPROPRIATED RESERVES (Sum of lines 18 &amp; 23)</t>
  </si>
  <si>
    <t>TOTAL APPROPRIATED RESERVES (Sum of lines 28-32)</t>
  </si>
  <si>
    <t>TOTAL FOOD SERVICE FUND EXPENSES AND APPROPRIATED RESERVES Summ of lines 27 &amp; 33)</t>
  </si>
  <si>
    <t>TOTAL PUPIL ACTIVITY AGENCY FUND EXPENDITURES AND APPROPRIATED RESERVES (Sum of lines 27 &amp; 32)</t>
  </si>
  <si>
    <t>TOTAL TRUST &amp; OTHER AGENCY FUND EXPENDITURES AND APPROPRIATED RESERVES (Sum of lines 25 &amp; 30)</t>
  </si>
  <si>
    <t>TOTAL FOUNDATION FUND EXPENDITURES AND APPROPRIATED RESERVES (Sum of lines 25 &amp; 30)</t>
  </si>
  <si>
    <t>RESOLUTION</t>
  </si>
  <si>
    <t>Under Section 22-44-105(1.5)(a), A budget adopted pursuant to article 44 shall not provide</t>
  </si>
  <si>
    <t>expenditures, interfund transfers, or reserves, in excess of available revenues and</t>
  </si>
  <si>
    <t>beginning fund balances.  If the budget includes the use of a beginning fund balance,</t>
  </si>
  <si>
    <t>the school district board of education shall adopt a resolution specifically authorizing the</t>
  </si>
  <si>
    <t>use of a portion of the beginning fund balance in the school district's budget.  The</t>
  </si>
  <si>
    <t>resolution, at a minimum, shall specify the amount of the beginning fund balance to be spent</t>
  </si>
  <si>
    <t>under the school district budget, state the purpose for which the expenditure is needed,</t>
  </si>
  <si>
    <t>and state the school district's plan to ensure that the use of the beginning fund balance will</t>
  </si>
  <si>
    <t>not lead to an ongoing deficit.</t>
  </si>
  <si>
    <t>Under Section 22-44-105(1.5)(c ), If at any time during the fiscal year following the adoption</t>
  </si>
  <si>
    <t>of a budget by a board of education the school district determines that the use of an</t>
  </si>
  <si>
    <t>additional portion of the school district's beginning fund balance is necessary, the board</t>
  </si>
  <si>
    <t>of education shall adopt a resolution that meets at least the minimum requirements specified</t>
  </si>
  <si>
    <t>in paragraph (1) above before using the additional portion of the beginning fund balance.</t>
  </si>
  <si>
    <t>The next column shows a sample resolution which may be adopted at the time</t>
  </si>
  <si>
    <t>the board of education adopts the budget, or at any time the additional portion of beginning</t>
  </si>
  <si>
    <t>fund balance is identified.</t>
  </si>
  <si>
    <t>AUTHORIZING THE USE OF A PORTION OF BEGINNING FUND BALANCE AS AUTHORIZED BY COLORADO STATUTES</t>
  </si>
  <si>
    <t>WHEREAS, C.R.S. 22-44-105 states that a budget, duly adopted pursuant to this article,</t>
  </si>
  <si>
    <t>shall not provide for expenditures, interfund transfers, or reserves, in excess of available</t>
  </si>
  <si>
    <t>WHEREAS, the Board of Education may authorize the use of a portion of the beginning</t>
  </si>
  <si>
    <t>fund balance in the budget, stating the amount to be used, the purpose for which the</t>
  </si>
  <si>
    <t>expenditure is needed, and the district's plan to ensure that the use of the beginning fund</t>
  </si>
  <si>
    <t xml:space="preserve">WHEREAS, the Board of Education has determined the beginning fund balances in the </t>
  </si>
  <si>
    <t>(state the individual funds involved)</t>
  </si>
  <si>
    <t>are sufficient to allow for the one-time expenditures and the action will not lead to an ongoing</t>
  </si>
  <si>
    <t>deficit.</t>
  </si>
  <si>
    <t>NOW, THEREFORE, BE IT RESOLVED:</t>
  </si>
  <si>
    <t>IN ACCORDANCE with C.R.S. 22-44-105, the Board of Education authorizes the use</t>
  </si>
  <si>
    <t>of a portion of the FY2014-15 beginning fund balance for the following funds:</t>
  </si>
  <si>
    <t>for the purpose/s set forth above will not lead to ongoing deficits in the funds.</t>
  </si>
  <si>
    <t>Adopted this (state the date of the resolution)</t>
  </si>
  <si>
    <t>(state the name of the school district)</t>
  </si>
  <si>
    <t>(Signature of person attesting to the Board President signature)</t>
  </si>
  <si>
    <t xml:space="preserve">Under Section 22-44-110(5), After January 31, the board shall not review or change the </t>
  </si>
  <si>
    <t>budget except as authorized by this article; except that, where money for a specific</t>
  </si>
  <si>
    <t>purpose from other than ad valorem taxes subsequently become available to meet a</t>
  </si>
  <si>
    <t>contingency, the board may adopt a supplemental budget for expenditures not to exceed</t>
  </si>
  <si>
    <t>the amount of said money and may appropriate said money therefrom.</t>
  </si>
  <si>
    <t>the board of education identifies a need for a supplemental budget appropriation.</t>
  </si>
  <si>
    <t>A supplemental budget and the appropriation resolution must be adopted before</t>
  </si>
  <si>
    <t>expenditures relative to the supplemental budget are made.</t>
  </si>
  <si>
    <t>Supplemental budgets and resolutions must include the name of the fund, receipts with</t>
  </si>
  <si>
    <t>sources of money clearly identified and expenditures by program and object.  The total</t>
  </si>
  <si>
    <t>expenditures must be equal to or less than the receipts.</t>
  </si>
  <si>
    <t>If a school district is authorized to raise and expend additional local property tax revenues</t>
  </si>
  <si>
    <t>by an election, the board of education may adopt a supplemental budget and an</t>
  </si>
  <si>
    <t>appropriation resolution to cover that portion of the fiscal year following such election.</t>
  </si>
  <si>
    <t>C.R.S. Section 22-44-110(6)</t>
  </si>
  <si>
    <t>(state the fund involved)</t>
  </si>
  <si>
    <t>SOURCE OF MONEY FOR A SPECIFIC PURPOSE AND NATURE OF PROJECT (brief summary)</t>
  </si>
  <si>
    <t>REVENUES:</t>
  </si>
  <si>
    <t>Sources of Revenue</t>
  </si>
  <si>
    <t>Totals</t>
  </si>
  <si>
    <t xml:space="preserve">Local </t>
  </si>
  <si>
    <t>State</t>
  </si>
  <si>
    <t>Federal</t>
  </si>
  <si>
    <t>Total Revenues</t>
  </si>
  <si>
    <t>EXPENDITURES:</t>
  </si>
  <si>
    <t>Expenditure Categories</t>
  </si>
  <si>
    <t>Benefits</t>
  </si>
  <si>
    <t>Purchased Services</t>
  </si>
  <si>
    <t>as shown above, be appropriated to the (state the specific fund involved) for the fiscal year</t>
  </si>
  <si>
    <t>revenues and beginning fund balance.</t>
  </si>
  <si>
    <t>balance will not lead to an ongoing deficit.</t>
  </si>
  <si>
    <t>(state the individual funds involved, the amount for each fund, and the reason for its use)</t>
  </si>
  <si>
    <t>BE IT FURTHER RESOLVED, the use of this portion of these beginning fund balances</t>
  </si>
  <si>
    <t>Total Expenditures</t>
  </si>
  <si>
    <t>Use this sample resolution for utilizing a portion of beginning fund balance.</t>
  </si>
  <si>
    <t>Best practice would be to incorporate these resolutions into the budget document.</t>
  </si>
  <si>
    <t>At a minimum, these documents should be kept on file for the district's audit.</t>
  </si>
  <si>
    <t>Use this sample resolution for adopting a supplemental budget after January 31st</t>
  </si>
  <si>
    <t>AUTHORIZING A SUPPLEMENTAL BUDGET AND APPROPRIATION AUTHORIZED BY COLORADO STATUTES</t>
  </si>
  <si>
    <t>BE IT RESOLVED, that the additional expenditure amount of $                                       ,</t>
  </si>
  <si>
    <t>21               Food Service Special Revenue Fund . . . . . . . . . . . . . . . . . . . . . . . . . . . . . . . . . . . . . . . . . . . . . . . .</t>
  </si>
  <si>
    <t>51               Not available for use . . . . . . . . . . . . . . . . . . . . . . . . . . . . . . . . . . . . . . . . . . . . . . . . . . . . . . . . . . . . . . . . . . . . . . . . .</t>
  </si>
  <si>
    <t>TOTAL REVENUE (Sum of lines 1-12)</t>
  </si>
  <si>
    <t>TOTAL EXPENDITURES AND OTHER USES (Sum of lines 14 - 26)</t>
  </si>
  <si>
    <t>TOTAL FOOD SERVICE FUND EXPENDITURES AND APPROPRIATED RESERVES (Sum of lines 44 &amp; 50)</t>
  </si>
  <si>
    <r>
      <t xml:space="preserve">Fund 51:  FOOD SERVICE FUND </t>
    </r>
    <r>
      <rPr>
        <b/>
        <i/>
        <sz val="8"/>
        <color rgb="FFFF0000"/>
        <rFont val="Helv"/>
      </rPr>
      <t>NOT TO BE USED EFFECTIVE JULY 1, 2014</t>
    </r>
  </si>
  <si>
    <t>SHOULD BE REPORTED UNDER FUND 21 EFFECTIVE JULY 1, 2014</t>
  </si>
  <si>
    <t>3. Food Service Special Revenue Fund</t>
  </si>
  <si>
    <t>13. DO NOT USE</t>
  </si>
  <si>
    <t>DO NOT USE</t>
  </si>
  <si>
    <t>FOOD SERVICE SPECIAL REVENUE FUND</t>
  </si>
  <si>
    <t>21                       Food Service</t>
  </si>
  <si>
    <t>51                           DO NOT USE</t>
  </si>
  <si>
    <t>Fund 21:  FOOD SERVICE SPECIAL REVENUE FUND</t>
  </si>
  <si>
    <t>OPTIONAL REPORT OF ADOPTED OR REVISED BUDGET - FORM CDE-18</t>
  </si>
  <si>
    <t>Figures (Totals) which will appear on Uniform Budget Summary for posting on district's website</t>
  </si>
  <si>
    <t>1995</t>
  </si>
  <si>
    <t>Locally Generated Revenue Tied to Federal Grant</t>
  </si>
  <si>
    <t>At Risk Supplemental Aid</t>
  </si>
  <si>
    <t>55a.</t>
  </si>
  <si>
    <t>54a</t>
  </si>
  <si>
    <t>54b</t>
  </si>
  <si>
    <t>54c</t>
  </si>
  <si>
    <t>5100</t>
  </si>
  <si>
    <t>Proceeds from the Sale of Bonds</t>
  </si>
  <si>
    <t>5300</t>
  </si>
  <si>
    <t>Intergrant Transfers</t>
  </si>
  <si>
    <t>TOTAL NET REVENUE FROM STATE SOURCES (Sum of lines 41-52)</t>
  </si>
  <si>
    <t>TOTAL REVENUE FROM FEDERAL SOURCES (Sum of lines 54-62)</t>
  </si>
  <si>
    <t>TOTAL REVENUE FROM OTHER SOURCES (Sum of lines 64-69)</t>
  </si>
  <si>
    <t>TOTAL GENERAL FUND REVENUE FOR ALL SOURCES (Sum of lines 39,40, 53,63,70)</t>
  </si>
  <si>
    <t>TOTAL GENERAL FUND REVENUE INCLUDING BEGINNING FUND BALANCE (Sum of line 71 plus BFB)</t>
  </si>
  <si>
    <t/>
  </si>
  <si>
    <t>TOTAL ALLOCATIONS (Sum of lines 73-75)</t>
  </si>
  <si>
    <t>NET REVENUE (Line 72 minus line 76)</t>
  </si>
  <si>
    <t>64a.</t>
  </si>
  <si>
    <t>73a.</t>
  </si>
  <si>
    <t>74a.</t>
  </si>
  <si>
    <t>75a.</t>
  </si>
  <si>
    <t xml:space="preserve">Federal Revenue from CDE additional </t>
  </si>
  <si>
    <t>Record Increases as positive amounts and Decreases as negatives</t>
  </si>
  <si>
    <t>311X</t>
  </si>
  <si>
    <t>43</t>
  </si>
  <si>
    <t>54a.</t>
  </si>
  <si>
    <t>54b.</t>
  </si>
  <si>
    <t>54c.</t>
  </si>
  <si>
    <t>TOTAL GENERAL FUND REVENUE FOR ALL SOURCES (Sum of lines 39,40,53,63,70)</t>
  </si>
  <si>
    <t>Allocation to Capital Reserve or Insurance Reserve (Funds 18, 43)</t>
  </si>
  <si>
    <t>Allocation to Capital Reserve or Insurance Reserve (Funds  18, 43)</t>
  </si>
  <si>
    <t>Expenditure Detail Totals for Uniform Budget Summary Form:</t>
  </si>
  <si>
    <t>*Transfers should only be made to/from fund 43 - Capital Reserve Capital Projects Fund</t>
  </si>
  <si>
    <t>Please Note:  Object codes 0521 through 0528 are non-bolded codes that roll to the bolded "0500 - Other Purchased Services" in the Automated Data Exchange.</t>
  </si>
  <si>
    <t>**The Allocation from the General Fund on line 6 must equal the amount on line 75 or line 75a of General Fund Revenues</t>
  </si>
  <si>
    <t>Reimbursable Food Service Revenue</t>
  </si>
  <si>
    <t>7a.</t>
  </si>
  <si>
    <t>School Lunch Protection Program:  Grant 3169</t>
  </si>
  <si>
    <t>Federal Sources - School Lunch Program (CFDA # 10.555)</t>
  </si>
  <si>
    <t>Federal Sources - Other School Nutrition Programs (CFDA # 10.556 &amp; 10.559)</t>
  </si>
  <si>
    <t>Note:</t>
  </si>
  <si>
    <t>Not all USDA grant programs should be tracked through the Food Service Fund.  The General Fund or the Designated Purpose Grants Fund may be the appropriate fund instead.</t>
  </si>
  <si>
    <t>*Transfers should only be made to/from fund 18 - Insurance Reserve Fund</t>
  </si>
  <si>
    <t>Internal Services - Contra Account for CDE purposes only</t>
  </si>
  <si>
    <t>Other Services</t>
  </si>
  <si>
    <t>13. N/A</t>
  </si>
  <si>
    <t>Food Service Special Revenue Fund</t>
  </si>
  <si>
    <t>DO</t>
  </si>
  <si>
    <t>NOT</t>
  </si>
  <si>
    <t>USE</t>
  </si>
  <si>
    <t xml:space="preserve">Food </t>
  </si>
  <si>
    <t>70                      Fiduciary: Trust and Other Agency Funds: 70, 71, 75-78</t>
  </si>
  <si>
    <t>Component
Units and Other Reportable Funds</t>
  </si>
  <si>
    <t>19               Colorado Preschool Program</t>
  </si>
  <si>
    <t>Fund 19: Colorado Pre-chool  Program Fund</t>
  </si>
  <si>
    <t>TOTAL GRANT EXPENDITURES, PLUS OTHER USES</t>
  </si>
  <si>
    <t>Funds 70-73 and 75-78:  TRUST AND OTHER AGENCY FUNDS</t>
  </si>
  <si>
    <t>Please Refer the the Appropriate Appendix ("R" &amp; "R-1") in the Chart of Accounts for further information regarding how you must use this fund.</t>
  </si>
  <si>
    <t>(COP) Debt</t>
  </si>
  <si>
    <t>Consolidated Budget Worksheet</t>
  </si>
  <si>
    <t>39               COP Debt Service Fund . . . . . . . . . . . . . . . . . . . . . . . . . . . . . . . . . . . . . . . . . . . . . . . . . . . . . . . . . . . . . . . . . . . . .</t>
  </si>
  <si>
    <t>39                        COP Debt</t>
  </si>
  <si>
    <t>TOTAL REVENUE INCLUDING BEGINNING FUND BALANCE (Sum of line 13 and BFB)</t>
  </si>
  <si>
    <t>**Note:  The ALLOCATION FROM GENERAL FUND ON LINE 15 MUST BE INCLUDED IN THE AMOUNT ON LINE 83 or LINE 83a OF GENERAL FUND REVENUE.</t>
  </si>
  <si>
    <t>9b. COP Debt Fund</t>
  </si>
  <si>
    <t>COP Debt Fund</t>
  </si>
  <si>
    <t>COP DEBT FUND</t>
  </si>
  <si>
    <t>psfu</t>
  </si>
  <si>
    <t>2303 - General Administration Indirect Cost Roll-up</t>
  </si>
  <si>
    <t>2304 - General Administration Cabinet Level Positions not like Superintendent</t>
  </si>
  <si>
    <t>2501 - Business Services Cabinet Level Positions</t>
  </si>
  <si>
    <t>2801 - Central Support Cabinet Level Positions</t>
  </si>
  <si>
    <t xml:space="preserve">2303 - General Administration Indirect Cost Roll-up </t>
  </si>
  <si>
    <t>General Administration - Program 2300, including Program 2303 and 2304</t>
  </si>
  <si>
    <t>Business Services - Program 2500, including Program 2501</t>
  </si>
  <si>
    <t>Central Support - Program 2800, including Program 2801</t>
  </si>
  <si>
    <t>FY2016-17 SUMMARY BUDGET</t>
  </si>
  <si>
    <t>FY2016-2017 Budget</t>
  </si>
  <si>
    <t>beginning July 1, 2016 and ending June 30, 2017.</t>
  </si>
  <si>
    <t>each fund as specified in the Adopted Budget for the ensuing fiscal year beginning July 1, 2016</t>
  </si>
  <si>
    <t>and ending June 30, 2017.</t>
  </si>
  <si>
    <t>FISCAL YEAR 2016-2017</t>
  </si>
  <si>
    <t>ESTIMATED FUNDED PUPIL COUNT FOR USE IN BUDGET YEAR 2016-2017</t>
  </si>
  <si>
    <t>Revised Ensuing Fiscal Year - Budget FY16-17</t>
  </si>
  <si>
    <t>Adjustments Ensuing Fiscal Year - Budget FY16-17</t>
  </si>
  <si>
    <t>Original Ensuing Fiscal Year - Budget FY16-17</t>
  </si>
  <si>
    <t>Current Fiscal Year - Projected FY15-16</t>
  </si>
  <si>
    <t>Current Fiscal Year - Budgeted FY15-16</t>
  </si>
  <si>
    <t>Prior Year Actual - Audited FY14-15</t>
  </si>
  <si>
    <t>Fund 22: Governmental Grants Fund       FY2016-17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</si>
</sst>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\(#,##0.0\)"/>
    <numFmt numFmtId="165" formatCode="0_)"/>
    <numFmt numFmtId="166" formatCode="0.0%"/>
  </numFmts>
  <fonts count="80" x14ac:knownFonts="1">
    <font>
      <sz val="8"/>
      <name val="Helv"/>
    </font>
    <font>
      <b/>
      <sz val="10"/>
      <name val="Arial"/>
    </font>
    <font>
      <sz val="10"/>
      <name val="Arial"/>
      <family val="2"/>
    </font>
    <font>
      <sz val="8"/>
      <color indexed="12"/>
      <name val="Helv"/>
    </font>
    <font>
      <sz val="12"/>
      <name val="Helv"/>
    </font>
    <font>
      <b/>
      <i/>
      <sz val="12"/>
      <name val="Helv"/>
    </font>
    <font>
      <b/>
      <sz val="10"/>
      <name val="Helv"/>
    </font>
    <font>
      <b/>
      <sz val="12"/>
      <name val="Helv"/>
    </font>
    <font>
      <b/>
      <sz val="8"/>
      <name val="Helv"/>
    </font>
    <font>
      <b/>
      <i/>
      <sz val="8"/>
      <name val="Helv"/>
    </font>
    <font>
      <b/>
      <u/>
      <sz val="8"/>
      <name val="Helv"/>
    </font>
    <font>
      <sz val="10"/>
      <name val="Helv"/>
    </font>
    <font>
      <i/>
      <sz val="8"/>
      <name val="Helv"/>
    </font>
    <font>
      <b/>
      <sz val="14"/>
      <name val="Helv"/>
    </font>
    <font>
      <sz val="8"/>
      <name val="Times"/>
    </font>
    <font>
      <sz val="8"/>
      <name val="Helv"/>
    </font>
    <font>
      <sz val="8"/>
      <color indexed="39"/>
      <name val="Helv"/>
    </font>
    <font>
      <sz val="8"/>
      <color indexed="8"/>
      <name val="Helv"/>
    </font>
    <font>
      <i/>
      <sz val="10"/>
      <name val="Helv"/>
    </font>
    <font>
      <u/>
      <sz val="8"/>
      <color indexed="12"/>
      <name val="Helv"/>
    </font>
    <font>
      <b/>
      <sz val="8"/>
      <color indexed="10"/>
      <name val="Helv"/>
    </font>
    <font>
      <sz val="8"/>
      <color indexed="10"/>
      <name val="Helv"/>
    </font>
    <font>
      <sz val="8"/>
      <color indexed="14"/>
      <name val="Helv"/>
    </font>
    <font>
      <i/>
      <sz val="8"/>
      <color indexed="10"/>
      <name val="Helv"/>
    </font>
    <font>
      <b/>
      <i/>
      <u/>
      <sz val="8"/>
      <name val="Helv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8"/>
      <color indexed="9"/>
      <name val="Arial"/>
      <family val="2"/>
    </font>
    <font>
      <sz val="8"/>
      <color indexed="9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strike/>
      <sz val="8"/>
      <name val="Helv"/>
    </font>
    <font>
      <sz val="8"/>
      <color indexed="56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sz val="18"/>
      <name val="Helv"/>
    </font>
    <font>
      <sz val="18"/>
      <name val="Arial"/>
      <family val="2"/>
    </font>
    <font>
      <b/>
      <u/>
      <sz val="16"/>
      <name val="Arial"/>
      <family val="2"/>
    </font>
    <font>
      <b/>
      <i/>
      <sz val="8"/>
      <color rgb="FFFF0000"/>
      <name val="Helv"/>
    </font>
    <font>
      <b/>
      <sz val="8"/>
      <color rgb="FFFF0000"/>
      <name val="Helv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8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/>
      <top/>
      <bottom style="thin">
        <color indexed="12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44">
    <xf numFmtId="37" fontId="0" fillId="0" borderId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52" fillId="3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0" fontId="55" fillId="0" borderId="0" applyNumberFormat="0" applyFill="0" applyBorder="0" applyAlignment="0" applyProtection="0"/>
    <xf numFmtId="0" fontId="56" fillId="4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60" fillId="7" borderId="1" applyNumberFormat="0" applyAlignment="0" applyProtection="0"/>
    <xf numFmtId="0" fontId="61" fillId="0" borderId="6" applyNumberFormat="0" applyFill="0" applyAlignment="0" applyProtection="0"/>
    <xf numFmtId="0" fontId="62" fillId="22" borderId="0" applyNumberFormat="0" applyBorder="0" applyAlignment="0" applyProtection="0"/>
    <xf numFmtId="0" fontId="50" fillId="0" borderId="0"/>
    <xf numFmtId="0" fontId="50" fillId="23" borderId="7" applyNumberFormat="0" applyFont="0" applyAlignment="0" applyProtection="0"/>
    <xf numFmtId="0" fontId="63" fillId="2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44">
    <xf numFmtId="37" fontId="0" fillId="0" borderId="0" xfId="0"/>
    <xf numFmtId="37" fontId="0" fillId="0" borderId="0" xfId="0" applyAlignment="1" applyProtection="1">
      <alignment horizontal="left"/>
    </xf>
    <xf numFmtId="37" fontId="3" fillId="0" borderId="0" xfId="0" applyFont="1" applyAlignment="1" applyProtection="1">
      <alignment horizontal="left"/>
      <protection locked="0"/>
    </xf>
    <xf numFmtId="37" fontId="3" fillId="0" borderId="0" xfId="0" applyFont="1" applyProtection="1">
      <protection locked="0"/>
    </xf>
    <xf numFmtId="37" fontId="0" fillId="0" borderId="0" xfId="0" applyAlignment="1" applyProtection="1">
      <alignment horizontal="center"/>
    </xf>
    <xf numFmtId="37" fontId="0" fillId="0" borderId="0" xfId="0" applyNumberFormat="1" applyProtection="1"/>
    <xf numFmtId="37" fontId="0" fillId="0" borderId="0" xfId="0" applyProtection="1"/>
    <xf numFmtId="37" fontId="0" fillId="0" borderId="0" xfId="0" applyAlignment="1" applyProtection="1">
      <alignment horizontal="right"/>
    </xf>
    <xf numFmtId="37" fontId="3" fillId="0" borderId="0" xfId="0" applyNumberFormat="1" applyFont="1" applyProtection="1">
      <protection locked="0"/>
    </xf>
    <xf numFmtId="37" fontId="0" fillId="0" borderId="0" xfId="0" applyNumberFormat="1" applyAlignment="1" applyProtection="1">
      <alignment horizontal="right"/>
    </xf>
    <xf numFmtId="37" fontId="0" fillId="0" borderId="0" xfId="0" applyAlignment="1">
      <alignment horizontal="left"/>
    </xf>
    <xf numFmtId="37" fontId="0" fillId="0" borderId="10" xfId="0" applyBorder="1" applyAlignment="1" applyProtection="1">
      <alignment horizontal="center"/>
    </xf>
    <xf numFmtId="37" fontId="0" fillId="0" borderId="0" xfId="0" applyAlignment="1">
      <alignment horizontal="right"/>
    </xf>
    <xf numFmtId="37" fontId="0" fillId="0" borderId="0" xfId="0" applyNumberFormat="1" applyBorder="1" applyProtection="1"/>
    <xf numFmtId="37" fontId="3" fillId="0" borderId="0" xfId="0" applyNumberFormat="1" applyFont="1" applyBorder="1" applyProtection="1">
      <protection locked="0"/>
    </xf>
    <xf numFmtId="37" fontId="9" fillId="0" borderId="0" xfId="0" applyFont="1" applyAlignment="1" applyProtection="1">
      <alignment horizontal="left"/>
    </xf>
    <xf numFmtId="37" fontId="7" fillId="0" borderId="0" xfId="0" applyFont="1" applyAlignment="1"/>
    <xf numFmtId="37" fontId="0" fillId="0" borderId="0" xfId="0" applyAlignment="1"/>
    <xf numFmtId="37" fontId="8" fillId="0" borderId="0" xfId="0" applyFont="1"/>
    <xf numFmtId="37" fontId="9" fillId="0" borderId="0" xfId="0" applyFont="1"/>
    <xf numFmtId="37" fontId="0" fillId="0" borderId="11" xfId="0" applyBorder="1"/>
    <xf numFmtId="37" fontId="12" fillId="0" borderId="0" xfId="0" applyFont="1"/>
    <xf numFmtId="37" fontId="0" fillId="0" borderId="12" xfId="0" applyBorder="1"/>
    <xf numFmtId="37" fontId="0" fillId="0" borderId="13" xfId="0" applyBorder="1"/>
    <xf numFmtId="37" fontId="4" fillId="0" borderId="14" xfId="0" applyFont="1" applyBorder="1"/>
    <xf numFmtId="37" fontId="4" fillId="0" borderId="15" xfId="0" applyFont="1" applyBorder="1"/>
    <xf numFmtId="37" fontId="14" fillId="0" borderId="14" xfId="0" applyFont="1" applyBorder="1"/>
    <xf numFmtId="37" fontId="14" fillId="0" borderId="16" xfId="0" applyFont="1" applyBorder="1"/>
    <xf numFmtId="37" fontId="14" fillId="0" borderId="15" xfId="0" applyFont="1" applyBorder="1"/>
    <xf numFmtId="37" fontId="14" fillId="0" borderId="17" xfId="0" applyFont="1" applyBorder="1"/>
    <xf numFmtId="37" fontId="8" fillId="0" borderId="18" xfId="0" applyFont="1" applyBorder="1"/>
    <xf numFmtId="37" fontId="8" fillId="0" borderId="19" xfId="0" applyFont="1" applyBorder="1"/>
    <xf numFmtId="37" fontId="8" fillId="0" borderId="20" xfId="0" applyFont="1" applyBorder="1"/>
    <xf numFmtId="37" fontId="8" fillId="0" borderId="21" xfId="0" applyFont="1" applyBorder="1"/>
    <xf numFmtId="37" fontId="8" fillId="0" borderId="0" xfId="0" applyFont="1" applyAlignment="1" applyProtection="1">
      <alignment horizontal="left"/>
    </xf>
    <xf numFmtId="37" fontId="10" fillId="0" borderId="0" xfId="0" applyFont="1" applyAlignment="1" applyProtection="1">
      <alignment horizontal="left"/>
    </xf>
    <xf numFmtId="37" fontId="11" fillId="0" borderId="0" xfId="0" applyFont="1" applyAlignment="1" applyProtection="1">
      <alignment horizontal="left"/>
    </xf>
    <xf numFmtId="37" fontId="9" fillId="0" borderId="0" xfId="0" applyFont="1" applyAlignment="1" applyProtection="1">
      <alignment horizontal="right"/>
    </xf>
    <xf numFmtId="37" fontId="3" fillId="0" borderId="22" xfId="0" applyNumberFormat="1" applyFont="1" applyBorder="1" applyProtection="1">
      <protection locked="0"/>
    </xf>
    <xf numFmtId="37" fontId="12" fillId="0" borderId="0" xfId="0" applyFont="1" applyAlignment="1" applyProtection="1">
      <alignment horizontal="left"/>
    </xf>
    <xf numFmtId="37" fontId="3" fillId="0" borderId="23" xfId="0" applyNumberFormat="1" applyFont="1" applyBorder="1" applyProtection="1">
      <protection locked="0"/>
    </xf>
    <xf numFmtId="37" fontId="0" fillId="0" borderId="24" xfId="0" applyNumberFormat="1" applyBorder="1" applyProtection="1"/>
    <xf numFmtId="37" fontId="3" fillId="0" borderId="24" xfId="0" applyNumberFormat="1" applyFont="1" applyBorder="1" applyProtection="1">
      <protection locked="0"/>
    </xf>
    <xf numFmtId="37" fontId="0" fillId="0" borderId="22" xfId="0" applyNumberFormat="1" applyBorder="1" applyProtection="1"/>
    <xf numFmtId="37" fontId="0" fillId="0" borderId="24" xfId="0" applyBorder="1" applyProtection="1"/>
    <xf numFmtId="37" fontId="0" fillId="0" borderId="25" xfId="0" applyNumberFormat="1" applyBorder="1" applyProtection="1"/>
    <xf numFmtId="37" fontId="0" fillId="0" borderId="23" xfId="0" applyNumberFormat="1" applyBorder="1" applyProtection="1"/>
    <xf numFmtId="37" fontId="8" fillId="0" borderId="0" xfId="0" applyFont="1" applyAlignment="1" applyProtection="1">
      <alignment horizontal="center"/>
    </xf>
    <xf numFmtId="37" fontId="8" fillId="0" borderId="0" xfId="0" applyFont="1" applyAlignment="1" applyProtection="1">
      <alignment horizontal="right"/>
    </xf>
    <xf numFmtId="37" fontId="0" fillId="0" borderId="26" xfId="0" applyBorder="1" applyAlignment="1" applyProtection="1">
      <alignment horizontal="left"/>
    </xf>
    <xf numFmtId="37" fontId="0" fillId="0" borderId="23" xfId="0" applyBorder="1" applyAlignment="1" applyProtection="1">
      <alignment horizontal="left"/>
    </xf>
    <xf numFmtId="37" fontId="13" fillId="0" borderId="0" xfId="0" applyFont="1" applyAlignment="1" applyProtection="1"/>
    <xf numFmtId="37" fontId="4" fillId="0" borderId="14" xfId="0" applyFont="1" applyBorder="1" applyAlignment="1" applyProtection="1">
      <alignment horizontal="center"/>
    </xf>
    <xf numFmtId="37" fontId="4" fillId="0" borderId="18" xfId="0" applyFont="1" applyBorder="1" applyAlignment="1" applyProtection="1">
      <alignment horizontal="center"/>
    </xf>
    <xf numFmtId="37" fontId="4" fillId="0" borderId="15" xfId="0" applyFont="1" applyBorder="1" applyAlignment="1" applyProtection="1">
      <alignment horizontal="center"/>
    </xf>
    <xf numFmtId="37" fontId="4" fillId="0" borderId="18" xfId="0" applyFont="1" applyBorder="1" applyAlignment="1" applyProtection="1">
      <alignment horizontal="left"/>
    </xf>
    <xf numFmtId="37" fontId="4" fillId="0" borderId="18" xfId="0" applyNumberFormat="1" applyFont="1" applyBorder="1" applyProtection="1"/>
    <xf numFmtId="37" fontId="4" fillId="0" borderId="27" xfId="0" applyFont="1" applyBorder="1" applyAlignment="1" applyProtection="1">
      <alignment horizontal="left"/>
    </xf>
    <xf numFmtId="37" fontId="4" fillId="0" borderId="27" xfId="0" applyNumberFormat="1" applyFont="1" applyBorder="1" applyProtection="1"/>
    <xf numFmtId="37" fontId="4" fillId="0" borderId="20" xfId="0" applyFont="1" applyBorder="1" applyAlignment="1" applyProtection="1">
      <alignment horizontal="left"/>
    </xf>
    <xf numFmtId="37" fontId="4" fillId="0" borderId="20" xfId="0" applyNumberFormat="1" applyFont="1" applyBorder="1" applyProtection="1"/>
    <xf numFmtId="37" fontId="4" fillId="0" borderId="28" xfId="0" applyNumberFormat="1" applyFont="1" applyBorder="1" applyProtection="1"/>
    <xf numFmtId="37" fontId="7" fillId="0" borderId="0" xfId="0" applyFont="1" applyAlignment="1" applyProtection="1"/>
    <xf numFmtId="37" fontId="14" fillId="0" borderId="14" xfId="0" applyFont="1" applyBorder="1" applyAlignment="1" applyProtection="1">
      <alignment horizontal="center"/>
    </xf>
    <xf numFmtId="37" fontId="14" fillId="0" borderId="18" xfId="0" applyFont="1" applyBorder="1" applyAlignment="1" applyProtection="1">
      <alignment horizontal="center"/>
    </xf>
    <xf numFmtId="37" fontId="14" fillId="0" borderId="15" xfId="0" applyFont="1" applyBorder="1" applyAlignment="1" applyProtection="1">
      <alignment horizontal="center"/>
    </xf>
    <xf numFmtId="37" fontId="14" fillId="0" borderId="15" xfId="0" applyFont="1" applyBorder="1" applyAlignment="1" applyProtection="1">
      <alignment horizontal="left"/>
    </xf>
    <xf numFmtId="37" fontId="14" fillId="0" borderId="15" xfId="0" applyNumberFormat="1" applyFont="1" applyBorder="1" applyProtection="1"/>
    <xf numFmtId="37" fontId="14" fillId="0" borderId="18" xfId="0" applyFont="1" applyBorder="1" applyAlignment="1" applyProtection="1">
      <alignment horizontal="left"/>
    </xf>
    <xf numFmtId="37" fontId="14" fillId="24" borderId="14" xfId="0" applyNumberFormat="1" applyFont="1" applyFill="1" applyBorder="1" applyProtection="1"/>
    <xf numFmtId="37" fontId="14" fillId="0" borderId="20" xfId="0" applyFont="1" applyBorder="1" applyAlignment="1" applyProtection="1">
      <alignment horizontal="left"/>
    </xf>
    <xf numFmtId="37" fontId="14" fillId="24" borderId="20" xfId="0" applyNumberFormat="1" applyFont="1" applyFill="1" applyBorder="1" applyProtection="1"/>
    <xf numFmtId="37" fontId="14" fillId="0" borderId="18" xfId="0" applyNumberFormat="1" applyFont="1" applyBorder="1" applyProtection="1"/>
    <xf numFmtId="37" fontId="14" fillId="24" borderId="18" xfId="0" applyNumberFormat="1" applyFont="1" applyFill="1" applyBorder="1" applyProtection="1"/>
    <xf numFmtId="37" fontId="14" fillId="24" borderId="15" xfId="0" applyNumberFormat="1" applyFont="1" applyFill="1" applyBorder="1" applyProtection="1"/>
    <xf numFmtId="37" fontId="14" fillId="24" borderId="29" xfId="0" applyNumberFormat="1" applyFont="1" applyFill="1" applyBorder="1" applyProtection="1"/>
    <xf numFmtId="164" fontId="14" fillId="0" borderId="18" xfId="0" applyNumberFormat="1" applyFont="1" applyBorder="1" applyProtection="1"/>
    <xf numFmtId="37" fontId="14" fillId="0" borderId="20" xfId="0" applyNumberFormat="1" applyFont="1" applyBorder="1" applyProtection="1"/>
    <xf numFmtId="37" fontId="14" fillId="0" borderId="17" xfId="0" applyFont="1" applyBorder="1" applyAlignment="1" applyProtection="1">
      <alignment horizontal="center"/>
    </xf>
    <xf numFmtId="37" fontId="14" fillId="0" borderId="30" xfId="0" applyFont="1" applyBorder="1" applyAlignment="1" applyProtection="1">
      <alignment horizontal="center"/>
    </xf>
    <xf numFmtId="37" fontId="0" fillId="0" borderId="23" xfId="0" applyNumberFormat="1" applyBorder="1" applyAlignment="1" applyProtection="1">
      <alignment horizontal="right"/>
    </xf>
    <xf numFmtId="37" fontId="14" fillId="0" borderId="31" xfId="0" applyFont="1" applyBorder="1" applyAlignment="1" applyProtection="1">
      <alignment horizontal="left"/>
    </xf>
    <xf numFmtId="37" fontId="0" fillId="0" borderId="23" xfId="0" applyBorder="1" applyProtection="1"/>
    <xf numFmtId="37" fontId="14" fillId="0" borderId="27" xfId="0" applyFont="1" applyBorder="1" applyAlignment="1" applyProtection="1">
      <alignment horizontal="left"/>
    </xf>
    <xf numFmtId="37" fontId="14" fillId="0" borderId="27" xfId="0" applyNumberFormat="1" applyFont="1" applyBorder="1" applyProtection="1"/>
    <xf numFmtId="37" fontId="14" fillId="0" borderId="32" xfId="0" applyFont="1" applyBorder="1" applyAlignment="1" applyProtection="1">
      <alignment horizontal="left"/>
    </xf>
    <xf numFmtId="37" fontId="14" fillId="0" borderId="32" xfId="0" applyNumberFormat="1" applyFont="1" applyBorder="1" applyProtection="1"/>
    <xf numFmtId="37" fontId="14" fillId="0" borderId="33" xfId="0" applyNumberFormat="1" applyFont="1" applyBorder="1" applyProtection="1"/>
    <xf numFmtId="37" fontId="14" fillId="0" borderId="31" xfId="0" applyNumberFormat="1" applyFont="1" applyBorder="1" applyProtection="1"/>
    <xf numFmtId="37" fontId="14" fillId="0" borderId="16" xfId="0" applyFont="1" applyBorder="1" applyAlignment="1" applyProtection="1">
      <alignment horizontal="center"/>
    </xf>
    <xf numFmtId="165" fontId="0" fillId="0" borderId="24" xfId="0" applyNumberFormat="1" applyBorder="1" applyProtection="1"/>
    <xf numFmtId="166" fontId="0" fillId="0" borderId="23" xfId="0" applyNumberFormat="1" applyBorder="1" applyProtection="1"/>
    <xf numFmtId="166" fontId="3" fillId="0" borderId="23" xfId="0" applyNumberFormat="1" applyFont="1" applyBorder="1" applyProtection="1">
      <protection locked="0"/>
    </xf>
    <xf numFmtId="166" fontId="0" fillId="0" borderId="24" xfId="0" applyNumberFormat="1" applyBorder="1" applyProtection="1"/>
    <xf numFmtId="37" fontId="8" fillId="0" borderId="14" xfId="0" applyFont="1" applyBorder="1" applyAlignment="1" applyProtection="1">
      <alignment horizontal="center"/>
    </xf>
    <xf numFmtId="37" fontId="8" fillId="0" borderId="18" xfId="0" applyFont="1" applyBorder="1" applyAlignment="1" applyProtection="1">
      <alignment horizontal="center"/>
    </xf>
    <xf numFmtId="37" fontId="3" fillId="0" borderId="34" xfId="0" applyNumberFormat="1" applyFont="1" applyBorder="1" applyProtection="1">
      <protection locked="0"/>
    </xf>
    <xf numFmtId="166" fontId="0" fillId="0" borderId="34" xfId="0" applyNumberFormat="1" applyBorder="1" applyProtection="1"/>
    <xf numFmtId="37" fontId="0" fillId="0" borderId="34" xfId="0" applyNumberFormat="1" applyBorder="1" applyProtection="1"/>
    <xf numFmtId="166" fontId="0" fillId="0" borderId="23" xfId="0" applyNumberFormat="1" applyBorder="1" applyAlignment="1" applyProtection="1">
      <alignment horizontal="right"/>
    </xf>
    <xf numFmtId="37" fontId="3" fillId="0" borderId="25" xfId="0" applyNumberFormat="1" applyFont="1" applyBorder="1" applyProtection="1">
      <protection locked="0"/>
    </xf>
    <xf numFmtId="166" fontId="0" fillId="0" borderId="25" xfId="0" applyNumberFormat="1" applyBorder="1" applyProtection="1"/>
    <xf numFmtId="37" fontId="0" fillId="0" borderId="26" xfId="0" applyBorder="1" applyAlignment="1" applyProtection="1">
      <alignment horizontal="center"/>
    </xf>
    <xf numFmtId="37" fontId="0" fillId="0" borderId="12" xfId="0" applyBorder="1" applyAlignment="1" applyProtection="1">
      <alignment horizontal="center"/>
    </xf>
    <xf numFmtId="37" fontId="6" fillId="0" borderId="0" xfId="0" quotePrefix="1" applyFont="1" applyAlignment="1" applyProtection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/>
    <xf numFmtId="37" fontId="0" fillId="0" borderId="0" xfId="0" quotePrefix="1" applyAlignment="1" applyProtection="1">
      <alignment horizontal="left"/>
    </xf>
    <xf numFmtId="37" fontId="0" fillId="0" borderId="35" xfId="0" applyBorder="1"/>
    <xf numFmtId="37" fontId="0" fillId="0" borderId="0" xfId="0" quotePrefix="1" applyAlignment="1">
      <alignment horizontal="left"/>
    </xf>
    <xf numFmtId="37" fontId="0" fillId="0" borderId="36" xfId="0" applyNumberFormat="1" applyBorder="1" applyProtection="1"/>
    <xf numFmtId="37" fontId="8" fillId="0" borderId="0" xfId="0" quotePrefix="1" applyFont="1" applyAlignment="1" applyProtection="1">
      <alignment horizontal="left"/>
    </xf>
    <xf numFmtId="37" fontId="9" fillId="0" borderId="0" xfId="0" quotePrefix="1" applyFont="1" applyAlignment="1" applyProtection="1">
      <alignment horizontal="left"/>
    </xf>
    <xf numFmtId="37" fontId="0" fillId="0" borderId="23" xfId="0" quotePrefix="1" applyBorder="1" applyAlignment="1" applyProtection="1">
      <alignment horizontal="left"/>
    </xf>
    <xf numFmtId="37" fontId="15" fillId="0" borderId="0" xfId="0" applyFont="1" applyAlignment="1" applyProtection="1">
      <alignment horizontal="left"/>
    </xf>
    <xf numFmtId="37" fontId="6" fillId="0" borderId="0" xfId="0" quotePrefix="1" applyFont="1" applyAlignment="1">
      <alignment horizontal="left"/>
    </xf>
    <xf numFmtId="37" fontId="6" fillId="0" borderId="0" xfId="0" applyFont="1" applyAlignment="1">
      <alignment horizontal="left"/>
    </xf>
    <xf numFmtId="37" fontId="14" fillId="0" borderId="18" xfId="0" quotePrefix="1" applyFont="1" applyBorder="1" applyAlignment="1" applyProtection="1">
      <alignment horizontal="center"/>
    </xf>
    <xf numFmtId="37" fontId="15" fillId="0" borderId="0" xfId="0" applyFont="1" applyAlignment="1">
      <alignment horizontal="right"/>
    </xf>
    <xf numFmtId="37" fontId="16" fillId="0" borderId="23" xfId="0" applyNumberFormat="1" applyFont="1" applyBorder="1" applyProtection="1"/>
    <xf numFmtId="37" fontId="16" fillId="0" borderId="23" xfId="0" applyFont="1" applyBorder="1" applyProtection="1"/>
    <xf numFmtId="37" fontId="8" fillId="0" borderId="35" xfId="0" applyFont="1" applyBorder="1"/>
    <xf numFmtId="37" fontId="0" fillId="0" borderId="0" xfId="0" applyBorder="1"/>
    <xf numFmtId="37" fontId="0" fillId="0" borderId="37" xfId="0" applyNumberFormat="1" applyBorder="1" applyProtection="1"/>
    <xf numFmtId="37" fontId="18" fillId="0" borderId="0" xfId="0" quotePrefix="1" applyFont="1" applyAlignment="1" applyProtection="1">
      <alignment horizontal="left"/>
    </xf>
    <xf numFmtId="37" fontId="11" fillId="0" borderId="0" xfId="0" applyFont="1" applyProtection="1"/>
    <xf numFmtId="37" fontId="14" fillId="0" borderId="14" xfId="0" applyFont="1" applyBorder="1" applyAlignment="1">
      <alignment horizontal="center"/>
    </xf>
    <xf numFmtId="37" fontId="0" fillId="0" borderId="35" xfId="0" applyBorder="1" applyProtection="1"/>
    <xf numFmtId="164" fontId="14" fillId="0" borderId="20" xfId="0" applyNumberFormat="1" applyFont="1" applyBorder="1" applyProtection="1"/>
    <xf numFmtId="37" fontId="8" fillId="0" borderId="0" xfId="0" applyFont="1" applyBorder="1"/>
    <xf numFmtId="37" fontId="8" fillId="0" borderId="19" xfId="0" applyFont="1" applyBorder="1" applyAlignment="1" applyProtection="1">
      <alignment horizontal="center"/>
    </xf>
    <xf numFmtId="49" fontId="9" fillId="0" borderId="0" xfId="0" applyNumberFormat="1" applyFont="1" applyAlignment="1" applyProtection="1">
      <alignment horizontal="left"/>
    </xf>
    <xf numFmtId="49" fontId="0" fillId="0" borderId="0" xfId="0" applyNumberFormat="1"/>
    <xf numFmtId="49" fontId="8" fillId="0" borderId="0" xfId="0" applyNumberFormat="1" applyFont="1" applyAlignment="1" applyProtection="1">
      <alignment horizontal="left"/>
    </xf>
    <xf numFmtId="49" fontId="0" fillId="0" borderId="0" xfId="0" applyNumberFormat="1" applyAlignment="1" applyProtection="1">
      <alignment horizontal="left"/>
    </xf>
    <xf numFmtId="37" fontId="15" fillId="0" borderId="0" xfId="0" applyFont="1" applyAlignment="1" applyProtection="1">
      <alignment horizontal="left"/>
      <protection locked="0"/>
    </xf>
    <xf numFmtId="49" fontId="10" fillId="0" borderId="0" xfId="0" applyNumberFormat="1" applyFont="1" applyAlignment="1" applyProtection="1">
      <alignment horizontal="left"/>
    </xf>
    <xf numFmtId="49" fontId="0" fillId="0" borderId="0" xfId="0" quotePrefix="1" applyNumberFormat="1" applyAlignment="1">
      <alignment horizontal="left"/>
    </xf>
    <xf numFmtId="37" fontId="20" fillId="0" borderId="35" xfId="0" applyFont="1" applyBorder="1" applyAlignment="1">
      <alignment horizontal="center"/>
    </xf>
    <xf numFmtId="37" fontId="21" fillId="0" borderId="35" xfId="0" applyFont="1" applyBorder="1"/>
    <xf numFmtId="37" fontId="3" fillId="0" borderId="38" xfId="0" applyNumberFormat="1" applyFont="1" applyBorder="1" applyProtection="1">
      <protection locked="0"/>
    </xf>
    <xf numFmtId="37" fontId="3" fillId="0" borderId="39" xfId="0" applyNumberFormat="1" applyFont="1" applyBorder="1" applyProtection="1">
      <protection locked="0"/>
    </xf>
    <xf numFmtId="37" fontId="15" fillId="0" borderId="0" xfId="0" applyNumberFormat="1" applyFont="1" applyBorder="1" applyAlignment="1" applyProtection="1">
      <alignment horizontal="center"/>
      <protection locked="0"/>
    </xf>
    <xf numFmtId="37" fontId="15" fillId="0" borderId="0" xfId="0" quotePrefix="1" applyNumberFormat="1" applyFont="1" applyBorder="1" applyAlignment="1" applyProtection="1">
      <alignment horizontal="center"/>
      <protection locked="0"/>
    </xf>
    <xf numFmtId="37" fontId="3" fillId="0" borderId="35" xfId="0" applyNumberFormat="1" applyFont="1" applyBorder="1" applyProtection="1">
      <protection locked="0"/>
    </xf>
    <xf numFmtId="37" fontId="8" fillId="0" borderId="0" xfId="0" applyFont="1" applyAlignment="1"/>
    <xf numFmtId="1" fontId="8" fillId="0" borderId="0" xfId="0" applyNumberFormat="1" applyFont="1" applyAlignment="1">
      <alignment horizontal="left"/>
    </xf>
    <xf numFmtId="37" fontId="3" fillId="0" borderId="14" xfId="0" applyNumberFormat="1" applyFont="1" applyBorder="1" applyProtection="1">
      <protection locked="0"/>
    </xf>
    <xf numFmtId="37" fontId="15" fillId="0" borderId="24" xfId="0" applyNumberFormat="1" applyFont="1" applyBorder="1" applyProtection="1">
      <protection locked="0"/>
    </xf>
    <xf numFmtId="37" fontId="15" fillId="0" borderId="0" xfId="0" quotePrefix="1" applyFont="1" applyAlignment="1" applyProtection="1">
      <alignment horizontal="left"/>
    </xf>
    <xf numFmtId="37" fontId="10" fillId="0" borderId="0" xfId="0" applyFont="1" applyAlignment="1" applyProtection="1">
      <alignment horizontal="left" wrapText="1"/>
    </xf>
    <xf numFmtId="1" fontId="15" fillId="0" borderId="0" xfId="0" quotePrefix="1" applyNumberFormat="1" applyFont="1" applyAlignment="1">
      <alignment horizontal="left"/>
    </xf>
    <xf numFmtId="37" fontId="10" fillId="0" borderId="0" xfId="0" applyFont="1"/>
    <xf numFmtId="37" fontId="15" fillId="0" borderId="40" xfId="0" applyNumberFormat="1" applyFont="1" applyBorder="1" applyProtection="1">
      <protection locked="0"/>
    </xf>
    <xf numFmtId="37" fontId="3" fillId="0" borderId="40" xfId="0" applyNumberFormat="1" applyFont="1" applyBorder="1" applyProtection="1">
      <protection locked="0"/>
    </xf>
    <xf numFmtId="37" fontId="15" fillId="0" borderId="0" xfId="0" applyFont="1"/>
    <xf numFmtId="37" fontId="15" fillId="0" borderId="0" xfId="0" applyNumberFormat="1" applyFont="1" applyProtection="1"/>
    <xf numFmtId="37" fontId="15" fillId="0" borderId="0" xfId="0" quotePrefix="1" applyFont="1"/>
    <xf numFmtId="37" fontId="3" fillId="0" borderId="41" xfId="0" applyNumberFormat="1" applyFont="1" applyBorder="1" applyProtection="1">
      <protection locked="0"/>
    </xf>
    <xf numFmtId="49" fontId="15" fillId="0" borderId="0" xfId="0" applyNumberFormat="1" applyFont="1" applyAlignment="1" applyProtection="1">
      <alignment horizontal="left"/>
    </xf>
    <xf numFmtId="37" fontId="15" fillId="0" borderId="0" xfId="0" applyFont="1" applyAlignment="1">
      <alignment horizontal="left"/>
    </xf>
    <xf numFmtId="1" fontId="15" fillId="0" borderId="0" xfId="0" applyNumberFormat="1" applyFont="1" applyAlignment="1">
      <alignment horizontal="left"/>
    </xf>
    <xf numFmtId="37" fontId="15" fillId="0" borderId="0" xfId="0" quotePrefix="1" applyFont="1" applyAlignment="1">
      <alignment horizontal="right"/>
    </xf>
    <xf numFmtId="37" fontId="15" fillId="0" borderId="0" xfId="0" applyFont="1" applyAlignment="1">
      <alignment horizontal="center" wrapText="1"/>
    </xf>
    <xf numFmtId="37" fontId="15" fillId="0" borderId="0" xfId="0" applyFont="1" applyProtection="1"/>
    <xf numFmtId="49" fontId="15" fillId="0" borderId="0" xfId="0" quotePrefix="1" applyNumberFormat="1" applyFont="1" applyAlignment="1" applyProtection="1">
      <alignment horizontal="left"/>
    </xf>
    <xf numFmtId="37" fontId="15" fillId="0" borderId="24" xfId="0" applyNumberFormat="1" applyFont="1" applyBorder="1" applyProtection="1"/>
    <xf numFmtId="37" fontId="15" fillId="0" borderId="0" xfId="0" applyNumberFormat="1" applyFont="1" applyBorder="1" applyProtection="1"/>
    <xf numFmtId="37" fontId="15" fillId="0" borderId="22" xfId="0" applyNumberFormat="1" applyFont="1" applyBorder="1" applyProtection="1"/>
    <xf numFmtId="37" fontId="15" fillId="0" borderId="0" xfId="0" applyFont="1" applyFill="1" applyBorder="1" applyAlignment="1" applyProtection="1">
      <alignment horizontal="left"/>
    </xf>
    <xf numFmtId="37" fontId="15" fillId="0" borderId="40" xfId="0" applyNumberFormat="1" applyFont="1" applyBorder="1" applyProtection="1"/>
    <xf numFmtId="37" fontId="15" fillId="0" borderId="0" xfId="0" quotePrefix="1" applyFont="1" applyProtection="1"/>
    <xf numFmtId="37" fontId="15" fillId="0" borderId="0" xfId="0" applyFont="1" applyAlignment="1">
      <alignment vertical="top" wrapText="1"/>
    </xf>
    <xf numFmtId="37" fontId="15" fillId="0" borderId="0" xfId="0" applyFont="1" applyAlignment="1">
      <alignment wrapText="1"/>
    </xf>
    <xf numFmtId="37" fontId="15" fillId="0" borderId="0" xfId="0" applyNumberFormat="1" applyFont="1" applyAlignment="1" applyProtection="1">
      <alignment horizontal="left"/>
    </xf>
    <xf numFmtId="37" fontId="15" fillId="0" borderId="0" xfId="0" applyFont="1" applyBorder="1"/>
    <xf numFmtId="37" fontId="15" fillId="0" borderId="0" xfId="0" applyFont="1" applyBorder="1" applyProtection="1"/>
    <xf numFmtId="37" fontId="15" fillId="0" borderId="40" xfId="0" applyFont="1" applyBorder="1"/>
    <xf numFmtId="37" fontId="15" fillId="0" borderId="0" xfId="0" applyFont="1" applyAlignment="1">
      <alignment horizontal="center"/>
    </xf>
    <xf numFmtId="37" fontId="15" fillId="0" borderId="0" xfId="0" applyFont="1" applyAlignment="1"/>
    <xf numFmtId="49" fontId="15" fillId="0" borderId="0" xfId="0" applyNumberFormat="1" applyFont="1"/>
    <xf numFmtId="49" fontId="15" fillId="0" borderId="0" xfId="0" quotePrefix="1" applyNumberFormat="1" applyFont="1"/>
    <xf numFmtId="37" fontId="10" fillId="0" borderId="0" xfId="0" applyFont="1" applyAlignment="1"/>
    <xf numFmtId="49" fontId="0" fillId="0" borderId="0" xfId="0" quotePrefix="1" applyNumberFormat="1" applyAlignment="1" applyProtection="1">
      <alignment horizontal="left"/>
    </xf>
    <xf numFmtId="49" fontId="0" fillId="0" borderId="0" xfId="0" quotePrefix="1" applyNumberFormat="1"/>
    <xf numFmtId="37" fontId="0" fillId="0" borderId="0" xfId="0" quotePrefix="1"/>
    <xf numFmtId="37" fontId="0" fillId="0" borderId="0" xfId="0" applyBorder="1" applyAlignment="1" applyProtection="1">
      <alignment horizontal="center"/>
    </xf>
    <xf numFmtId="37" fontId="0" fillId="0" borderId="0" xfId="0" applyBorder="1" applyAlignment="1">
      <alignment horizontal="center"/>
    </xf>
    <xf numFmtId="37" fontId="3" fillId="0" borderId="0" xfId="0" applyFont="1" applyBorder="1" applyAlignment="1" applyProtection="1">
      <alignment horizontal="left"/>
      <protection locked="0"/>
    </xf>
    <xf numFmtId="37" fontId="15" fillId="0" borderId="42" xfId="0" applyNumberFormat="1" applyFont="1" applyBorder="1" applyProtection="1"/>
    <xf numFmtId="37" fontId="0" fillId="0" borderId="40" xfId="0" applyBorder="1"/>
    <xf numFmtId="37" fontId="15" fillId="0" borderId="0" xfId="0" applyFont="1" applyBorder="1" applyAlignment="1" applyProtection="1">
      <alignment horizontal="left"/>
    </xf>
    <xf numFmtId="37" fontId="8" fillId="0" borderId="43" xfId="0" applyFont="1" applyBorder="1" applyAlignment="1" applyProtection="1">
      <alignment horizontal="left"/>
    </xf>
    <xf numFmtId="37" fontId="8" fillId="0" borderId="0" xfId="0" applyFont="1" applyBorder="1" applyAlignment="1" applyProtection="1">
      <alignment horizontal="left" wrapText="1"/>
    </xf>
    <xf numFmtId="37" fontId="15" fillId="0" borderId="0" xfId="0" applyFont="1" applyAlignment="1" applyProtection="1">
      <alignment horizontal="left" wrapText="1"/>
    </xf>
    <xf numFmtId="37" fontId="15" fillId="0" borderId="0" xfId="0" applyNumberFormat="1" applyFont="1" applyBorder="1" applyProtection="1">
      <protection locked="0"/>
    </xf>
    <xf numFmtId="37" fontId="3" fillId="0" borderId="44" xfId="0" applyNumberFormat="1" applyFont="1" applyBorder="1" applyProtection="1">
      <protection locked="0"/>
    </xf>
    <xf numFmtId="37" fontId="21" fillId="0" borderId="0" xfId="0" applyFont="1"/>
    <xf numFmtId="37" fontId="12" fillId="0" borderId="0" xfId="0" applyFont="1" applyBorder="1" applyAlignment="1" applyProtection="1">
      <alignment horizontal="left"/>
    </xf>
    <xf numFmtId="37" fontId="8" fillId="0" borderId="0" xfId="0" applyFont="1" applyBorder="1" applyAlignment="1" applyProtection="1">
      <alignment horizontal="left"/>
    </xf>
    <xf numFmtId="37" fontId="8" fillId="0" borderId="0" xfId="0" quotePrefix="1" applyFont="1"/>
    <xf numFmtId="37" fontId="15" fillId="0" borderId="0" xfId="0" quotePrefix="1" applyFont="1" applyAlignment="1" applyProtection="1">
      <alignment vertical="top"/>
    </xf>
    <xf numFmtId="37" fontId="12" fillId="0" borderId="0" xfId="0" applyFont="1" applyAlignment="1" applyProtection="1">
      <alignment horizontal="right"/>
    </xf>
    <xf numFmtId="37" fontId="6" fillId="0" borderId="0" xfId="0" applyFont="1" applyAlignment="1" applyProtection="1">
      <alignment horizontal="left"/>
    </xf>
    <xf numFmtId="37" fontId="3" fillId="0" borderId="0" xfId="0" applyFont="1"/>
    <xf numFmtId="37" fontId="24" fillId="0" borderId="0" xfId="0" applyFont="1" applyAlignment="1" applyProtection="1">
      <alignment horizontal="center"/>
    </xf>
    <xf numFmtId="37" fontId="9" fillId="0" borderId="0" xfId="0" applyFont="1" applyAlignment="1" applyProtection="1">
      <alignment horizontal="center"/>
    </xf>
    <xf numFmtId="37" fontId="0" fillId="0" borderId="0" xfId="0" quotePrefix="1" applyProtection="1"/>
    <xf numFmtId="37" fontId="15" fillId="0" borderId="45" xfId="0" applyNumberFormat="1" applyFont="1" applyBorder="1" applyProtection="1"/>
    <xf numFmtId="37" fontId="0" fillId="0" borderId="0" xfId="0" quotePrefix="1" applyAlignment="1" applyProtection="1"/>
    <xf numFmtId="37" fontId="0" fillId="0" borderId="0" xfId="0" applyAlignment="1" applyProtection="1"/>
    <xf numFmtId="37" fontId="14" fillId="0" borderId="29" xfId="0" applyNumberFormat="1" applyFont="1" applyFill="1" applyBorder="1" applyProtection="1"/>
    <xf numFmtId="37" fontId="14" fillId="0" borderId="23" xfId="0" applyFont="1" applyBorder="1" applyAlignment="1" applyProtection="1">
      <alignment horizontal="left"/>
    </xf>
    <xf numFmtId="37" fontId="14" fillId="0" borderId="23" xfId="0" applyNumberFormat="1" applyFont="1" applyBorder="1" applyProtection="1"/>
    <xf numFmtId="37" fontId="14" fillId="0" borderId="18" xfId="0" applyFont="1" applyFill="1" applyBorder="1" applyAlignment="1" applyProtection="1">
      <alignment horizontal="left"/>
    </xf>
    <xf numFmtId="37" fontId="14" fillId="0" borderId="30" xfId="0" applyNumberFormat="1" applyFont="1" applyFill="1" applyBorder="1" applyProtection="1"/>
    <xf numFmtId="37" fontId="14" fillId="0" borderId="14" xfId="0" applyFont="1" applyBorder="1" applyAlignment="1" applyProtection="1">
      <alignment horizontal="left"/>
    </xf>
    <xf numFmtId="37" fontId="14" fillId="0" borderId="17" xfId="0" applyNumberFormat="1" applyFont="1" applyFill="1" applyBorder="1" applyProtection="1"/>
    <xf numFmtId="37" fontId="14" fillId="0" borderId="32" xfId="0" applyNumberFormat="1" applyFont="1" applyBorder="1" applyAlignment="1" applyProtection="1">
      <alignment horizontal="center"/>
    </xf>
    <xf numFmtId="37" fontId="14" fillId="0" borderId="23" xfId="0" applyNumberFormat="1" applyFont="1" applyFill="1" applyBorder="1" applyProtection="1"/>
    <xf numFmtId="37" fontId="14" fillId="0" borderId="31" xfId="0" applyNumberFormat="1" applyFont="1" applyFill="1" applyBorder="1" applyProtection="1"/>
    <xf numFmtId="37" fontId="14" fillId="0" borderId="46" xfId="0" applyNumberFormat="1" applyFont="1" applyFill="1" applyBorder="1" applyProtection="1"/>
    <xf numFmtId="37" fontId="0" fillId="0" borderId="0" xfId="0" applyFill="1" applyBorder="1" applyProtection="1"/>
    <xf numFmtId="37" fontId="29" fillId="0" borderId="0" xfId="0" applyFont="1" applyProtection="1">
      <protection locked="0"/>
    </xf>
    <xf numFmtId="37" fontId="29" fillId="0" borderId="47" xfId="0" applyFont="1" applyBorder="1" applyProtection="1">
      <protection locked="0"/>
    </xf>
    <xf numFmtId="37" fontId="29" fillId="0" borderId="47" xfId="0" applyFont="1" applyBorder="1" applyAlignment="1" applyProtection="1">
      <alignment horizontal="right"/>
      <protection locked="0"/>
    </xf>
    <xf numFmtId="37" fontId="29" fillId="0" borderId="48" xfId="0" applyFont="1" applyBorder="1" applyProtection="1">
      <protection locked="0"/>
    </xf>
    <xf numFmtId="1" fontId="29" fillId="0" borderId="47" xfId="0" applyNumberFormat="1" applyFont="1" applyBorder="1" applyProtection="1">
      <protection locked="0"/>
    </xf>
    <xf numFmtId="37" fontId="29" fillId="0" borderId="23" xfId="0" applyFont="1" applyBorder="1" applyProtection="1">
      <protection locked="0"/>
    </xf>
    <xf numFmtId="37" fontId="21" fillId="0" borderId="0" xfId="0" applyFont="1" applyAlignment="1" applyProtection="1">
      <alignment horizontal="left"/>
    </xf>
    <xf numFmtId="37" fontId="39" fillId="0" borderId="0" xfId="0" applyFont="1"/>
    <xf numFmtId="37" fontId="34" fillId="0" borderId="49" xfId="0" applyFont="1" applyBorder="1" applyAlignment="1">
      <alignment wrapText="1"/>
    </xf>
    <xf numFmtId="37" fontId="34" fillId="0" borderId="50" xfId="0" applyFont="1" applyBorder="1" applyAlignment="1">
      <alignment horizontal="right" wrapText="1"/>
    </xf>
    <xf numFmtId="37" fontId="34" fillId="25" borderId="51" xfId="0" applyFont="1" applyFill="1" applyBorder="1" applyAlignment="1">
      <alignment horizontal="center" wrapText="1"/>
    </xf>
    <xf numFmtId="37" fontId="34" fillId="0" borderId="52" xfId="0" applyFont="1" applyBorder="1" applyAlignment="1">
      <alignment horizontal="center" wrapText="1"/>
    </xf>
    <xf numFmtId="37" fontId="34" fillId="0" borderId="53" xfId="0" applyFont="1" applyBorder="1" applyAlignment="1">
      <alignment horizontal="center" wrapText="1"/>
    </xf>
    <xf numFmtId="37" fontId="34" fillId="25" borderId="43" xfId="0" applyFont="1" applyFill="1" applyBorder="1" applyAlignment="1">
      <alignment horizontal="center" wrapText="1"/>
    </xf>
    <xf numFmtId="37" fontId="34" fillId="25" borderId="54" xfId="0" applyFont="1" applyFill="1" applyBorder="1" applyAlignment="1">
      <alignment horizontal="center" wrapText="1"/>
    </xf>
    <xf numFmtId="37" fontId="34" fillId="25" borderId="55" xfId="0" applyFont="1" applyFill="1" applyBorder="1" applyAlignment="1">
      <alignment horizontal="center" wrapText="1"/>
    </xf>
    <xf numFmtId="37" fontId="34" fillId="0" borderId="0" xfId="0" applyFont="1" applyAlignment="1">
      <alignment wrapText="1"/>
    </xf>
    <xf numFmtId="37" fontId="34" fillId="0" borderId="0" xfId="0" applyFont="1" applyBorder="1" applyAlignment="1">
      <alignment wrapText="1"/>
    </xf>
    <xf numFmtId="37" fontId="34" fillId="0" borderId="56" xfId="0" applyFont="1" applyBorder="1" applyAlignment="1">
      <alignment wrapText="1"/>
    </xf>
    <xf numFmtId="37" fontId="34" fillId="25" borderId="0" xfId="0" applyFont="1" applyFill="1" applyBorder="1" applyAlignment="1">
      <alignment horizontal="center" wrapText="1"/>
    </xf>
    <xf numFmtId="37" fontId="34" fillId="0" borderId="56" xfId="0" applyFont="1" applyBorder="1" applyAlignment="1">
      <alignment horizontal="center" wrapText="1"/>
    </xf>
    <xf numFmtId="37" fontId="34" fillId="25" borderId="57" xfId="0" applyFont="1" applyFill="1" applyBorder="1" applyAlignment="1">
      <alignment horizontal="center" wrapText="1"/>
    </xf>
    <xf numFmtId="37" fontId="15" fillId="0" borderId="0" xfId="0" applyNumberFormat="1" applyFont="1" applyAlignment="1" applyProtection="1">
      <alignment horizontal="center" wrapText="1"/>
    </xf>
    <xf numFmtId="37" fontId="34" fillId="25" borderId="49" xfId="0" applyFont="1" applyFill="1" applyBorder="1" applyAlignment="1">
      <alignment horizontal="center" wrapText="1"/>
    </xf>
    <xf numFmtId="37" fontId="34" fillId="25" borderId="58" xfId="0" applyFont="1" applyFill="1" applyBorder="1" applyAlignment="1">
      <alignment wrapText="1"/>
    </xf>
    <xf numFmtId="37" fontId="34" fillId="25" borderId="59" xfId="0" applyFont="1" applyFill="1" applyBorder="1" applyAlignment="1">
      <alignment horizontal="right" wrapText="1"/>
    </xf>
    <xf numFmtId="37" fontId="34" fillId="25" borderId="0" xfId="0" applyFont="1" applyFill="1" applyAlignment="1">
      <alignment wrapText="1"/>
    </xf>
    <xf numFmtId="37" fontId="34" fillId="25" borderId="0" xfId="0" applyFont="1" applyFill="1" applyBorder="1" applyAlignment="1">
      <alignment wrapText="1"/>
    </xf>
    <xf numFmtId="37" fontId="34" fillId="25" borderId="0" xfId="0" applyFont="1" applyFill="1" applyBorder="1" applyAlignment="1">
      <alignment horizontal="right" wrapText="1"/>
    </xf>
    <xf numFmtId="37" fontId="34" fillId="0" borderId="0" xfId="0" applyFont="1" applyFill="1" applyBorder="1" applyAlignment="1">
      <alignment wrapText="1"/>
    </xf>
    <xf numFmtId="37" fontId="34" fillId="0" borderId="60" xfId="0" applyFont="1" applyFill="1" applyBorder="1" applyAlignment="1">
      <alignment horizontal="right" wrapText="1"/>
    </xf>
    <xf numFmtId="37" fontId="34" fillId="0" borderId="0" xfId="0" applyFont="1" applyFill="1" applyBorder="1" applyAlignment="1">
      <alignment horizontal="center" wrapText="1"/>
    </xf>
    <xf numFmtId="37" fontId="34" fillId="0" borderId="0" xfId="0" applyFont="1" applyFill="1" applyAlignment="1">
      <alignment wrapText="1"/>
    </xf>
    <xf numFmtId="37" fontId="34" fillId="0" borderId="60" xfId="0" applyFont="1" applyBorder="1" applyAlignment="1">
      <alignment horizontal="right" wrapText="1"/>
    </xf>
    <xf numFmtId="40" fontId="40" fillId="25" borderId="58" xfId="0" applyNumberFormat="1" applyFont="1" applyFill="1" applyBorder="1"/>
    <xf numFmtId="40" fontId="40" fillId="0" borderId="0" xfId="0" applyNumberFormat="1" applyFont="1" applyBorder="1"/>
    <xf numFmtId="40" fontId="40" fillId="25" borderId="0" xfId="0" applyNumberFormat="1" applyFont="1" applyFill="1" applyBorder="1"/>
    <xf numFmtId="40" fontId="40" fillId="25" borderId="51" xfId="0" applyNumberFormat="1" applyFont="1" applyFill="1" applyBorder="1"/>
    <xf numFmtId="37" fontId="35" fillId="0" borderId="0" xfId="0" applyFont="1" applyBorder="1" applyAlignment="1">
      <alignment wrapText="1"/>
    </xf>
    <xf numFmtId="40" fontId="40" fillId="25" borderId="0" xfId="0" applyNumberFormat="1" applyFont="1" applyFill="1"/>
    <xf numFmtId="37" fontId="40" fillId="0" borderId="0" xfId="0" applyFont="1"/>
    <xf numFmtId="37" fontId="40" fillId="0" borderId="0" xfId="0" applyFont="1" applyBorder="1"/>
    <xf numFmtId="37" fontId="34" fillId="26" borderId="61" xfId="0" applyFont="1" applyFill="1" applyBorder="1" applyAlignment="1">
      <alignment wrapText="1"/>
    </xf>
    <xf numFmtId="37" fontId="34" fillId="26" borderId="62" xfId="0" applyFont="1" applyFill="1" applyBorder="1" applyAlignment="1">
      <alignment horizontal="right" wrapText="1"/>
    </xf>
    <xf numFmtId="40" fontId="40" fillId="25" borderId="61" xfId="0" applyNumberFormat="1" applyFont="1" applyFill="1" applyBorder="1"/>
    <xf numFmtId="40" fontId="40" fillId="26" borderId="62" xfId="0" applyNumberFormat="1" applyFont="1" applyFill="1" applyBorder="1"/>
    <xf numFmtId="40" fontId="40" fillId="25" borderId="62" xfId="0" applyNumberFormat="1" applyFont="1" applyFill="1" applyBorder="1"/>
    <xf numFmtId="37" fontId="40" fillId="0" borderId="62" xfId="0" applyFont="1" applyBorder="1"/>
    <xf numFmtId="40" fontId="40" fillId="25" borderId="43" xfId="0" applyNumberFormat="1" applyFont="1" applyFill="1" applyBorder="1"/>
    <xf numFmtId="40" fontId="40" fillId="25" borderId="63" xfId="0" applyNumberFormat="1" applyFont="1" applyFill="1" applyBorder="1"/>
    <xf numFmtId="37" fontId="34" fillId="26" borderId="64" xfId="0" applyFont="1" applyFill="1" applyBorder="1" applyAlignment="1">
      <alignment horizontal="right" wrapText="1"/>
    </xf>
    <xf numFmtId="3" fontId="34" fillId="0" borderId="60" xfId="0" applyNumberFormat="1" applyFont="1" applyBorder="1" applyAlignment="1">
      <alignment horizontal="right" wrapText="1"/>
    </xf>
    <xf numFmtId="40" fontId="40" fillId="0" borderId="0" xfId="0" applyNumberFormat="1" applyFont="1" applyFill="1" applyBorder="1"/>
    <xf numFmtId="37" fontId="40" fillId="0" borderId="0" xfId="0" applyFont="1" applyFill="1" applyBorder="1"/>
    <xf numFmtId="49" fontId="34" fillId="0" borderId="60" xfId="0" applyNumberFormat="1" applyFont="1" applyBorder="1" applyAlignment="1">
      <alignment horizontal="right" wrapText="1"/>
    </xf>
    <xf numFmtId="40" fontId="40" fillId="25" borderId="65" xfId="0" applyNumberFormat="1" applyFont="1" applyFill="1" applyBorder="1"/>
    <xf numFmtId="37" fontId="40" fillId="0" borderId="0" xfId="0" applyFont="1" applyFill="1"/>
    <xf numFmtId="37" fontId="40" fillId="0" borderId="62" xfId="0" applyFont="1" applyFill="1" applyBorder="1"/>
    <xf numFmtId="40" fontId="39" fillId="0" borderId="0" xfId="0" applyNumberFormat="1" applyFont="1" applyFill="1" applyBorder="1"/>
    <xf numFmtId="37" fontId="39" fillId="0" borderId="0" xfId="0" applyFont="1" applyFill="1" applyBorder="1"/>
    <xf numFmtId="37" fontId="0" fillId="0" borderId="0" xfId="0" applyFill="1"/>
    <xf numFmtId="37" fontId="0" fillId="0" borderId="0" xfId="0" applyFill="1" applyBorder="1"/>
    <xf numFmtId="37" fontId="3" fillId="0" borderId="66" xfId="0" applyNumberFormat="1" applyFont="1" applyBorder="1" applyProtection="1">
      <protection locked="0"/>
    </xf>
    <xf numFmtId="37" fontId="3" fillId="0" borderId="67" xfId="0" applyNumberFormat="1" applyFont="1" applyBorder="1" applyProtection="1">
      <protection locked="0"/>
    </xf>
    <xf numFmtId="40" fontId="42" fillId="0" borderId="0" xfId="0" applyNumberFormat="1" applyFont="1" applyBorder="1"/>
    <xf numFmtId="40" fontId="42" fillId="27" borderId="0" xfId="0" applyNumberFormat="1" applyFont="1" applyFill="1" applyBorder="1"/>
    <xf numFmtId="49" fontId="0" fillId="0" borderId="0" xfId="0" quotePrefix="1" applyNumberFormat="1" applyAlignment="1" applyProtection="1"/>
    <xf numFmtId="49" fontId="0" fillId="0" borderId="0" xfId="0" applyNumberFormat="1" applyAlignment="1" applyProtection="1"/>
    <xf numFmtId="37" fontId="34" fillId="27" borderId="0" xfId="0" applyFont="1" applyFill="1" applyBorder="1" applyAlignment="1">
      <alignment horizontal="center" wrapText="1"/>
    </xf>
    <xf numFmtId="40" fontId="26" fillId="27" borderId="0" xfId="0" applyNumberFormat="1" applyFont="1" applyFill="1" applyBorder="1"/>
    <xf numFmtId="37" fontId="3" fillId="0" borderId="22" xfId="0" applyNumberFormat="1" applyFont="1" applyFill="1" applyBorder="1" applyProtection="1">
      <protection locked="0"/>
    </xf>
    <xf numFmtId="37" fontId="34" fillId="27" borderId="52" xfId="0" applyFont="1" applyFill="1" applyBorder="1" applyAlignment="1">
      <alignment horizontal="center" wrapText="1"/>
    </xf>
    <xf numFmtId="37" fontId="19" fillId="0" borderId="23" xfId="34" applyNumberFormat="1" applyBorder="1" applyAlignment="1" applyProtection="1">
      <protection locked="0"/>
    </xf>
    <xf numFmtId="49" fontId="34" fillId="0" borderId="68" xfId="0" applyNumberFormat="1" applyFont="1" applyBorder="1" applyAlignment="1">
      <alignment horizontal="right" wrapText="1"/>
    </xf>
    <xf numFmtId="37" fontId="15" fillId="0" borderId="24" xfId="0" applyNumberFormat="1" applyFont="1" applyFill="1" applyBorder="1" applyProtection="1"/>
    <xf numFmtId="37" fontId="15" fillId="0" borderId="0" xfId="0" applyNumberFormat="1" applyFont="1" applyFill="1" applyBorder="1" applyProtection="1"/>
    <xf numFmtId="37" fontId="15" fillId="0" borderId="0" xfId="0" applyNumberFormat="1" applyFont="1" applyFill="1" applyProtection="1"/>
    <xf numFmtId="37" fontId="3" fillId="0" borderId="23" xfId="0" applyNumberFormat="1" applyFont="1" applyFill="1" applyBorder="1" applyProtection="1">
      <protection locked="0"/>
    </xf>
    <xf numFmtId="37" fontId="3" fillId="0" borderId="0" xfId="0" applyNumberFormat="1" applyFont="1" applyFill="1" applyBorder="1" applyProtection="1">
      <protection locked="0"/>
    </xf>
    <xf numFmtId="37" fontId="15" fillId="0" borderId="0" xfId="0" applyFont="1" applyFill="1"/>
    <xf numFmtId="37" fontId="15" fillId="0" borderId="0" xfId="0" applyFont="1" applyFill="1" applyAlignment="1"/>
    <xf numFmtId="37" fontId="15" fillId="0" borderId="0" xfId="0" quotePrefix="1" applyFont="1" applyFill="1" applyAlignment="1" applyProtection="1">
      <alignment horizontal="left"/>
    </xf>
    <xf numFmtId="37" fontId="15" fillId="0" borderId="0" xfId="0" applyFont="1" applyFill="1" applyAlignment="1" applyProtection="1">
      <alignment horizontal="left"/>
    </xf>
    <xf numFmtId="37" fontId="15" fillId="0" borderId="0" xfId="0" applyFont="1" applyFill="1" applyAlignment="1">
      <alignment horizontal="right"/>
    </xf>
    <xf numFmtId="37" fontId="3" fillId="0" borderId="66" xfId="0" applyNumberFormat="1" applyFont="1" applyFill="1" applyBorder="1" applyProtection="1">
      <protection locked="0"/>
    </xf>
    <xf numFmtId="37" fontId="3" fillId="0" borderId="35" xfId="0" applyNumberFormat="1" applyFont="1" applyFill="1" applyBorder="1" applyProtection="1">
      <protection locked="0"/>
    </xf>
    <xf numFmtId="37" fontId="3" fillId="0" borderId="39" xfId="0" applyNumberFormat="1" applyFont="1" applyFill="1" applyBorder="1" applyProtection="1">
      <protection locked="0"/>
    </xf>
    <xf numFmtId="37" fontId="3" fillId="0" borderId="69" xfId="0" applyNumberFormat="1" applyFont="1" applyFill="1" applyBorder="1" applyProtection="1">
      <protection locked="0"/>
    </xf>
    <xf numFmtId="37" fontId="3" fillId="0" borderId="70" xfId="0" applyNumberFormat="1" applyFont="1" applyFill="1" applyBorder="1" applyProtection="1">
      <protection locked="0"/>
    </xf>
    <xf numFmtId="37" fontId="15" fillId="0" borderId="0" xfId="0" applyNumberFormat="1" applyFont="1" applyFill="1" applyBorder="1" applyProtection="1">
      <protection locked="0"/>
    </xf>
    <xf numFmtId="37" fontId="15" fillId="0" borderId="40" xfId="0" applyNumberFormat="1" applyFont="1" applyFill="1" applyBorder="1" applyProtection="1"/>
    <xf numFmtId="37" fontId="15" fillId="0" borderId="22" xfId="0" applyNumberFormat="1" applyFont="1" applyFill="1" applyBorder="1" applyProtection="1"/>
    <xf numFmtId="37" fontId="15" fillId="0" borderId="45" xfId="0" applyNumberFormat="1" applyFont="1" applyFill="1" applyBorder="1" applyProtection="1"/>
    <xf numFmtId="37" fontId="43" fillId="0" borderId="0" xfId="0" applyFont="1" applyFill="1" applyAlignment="1" applyProtection="1">
      <alignment horizontal="left"/>
    </xf>
    <xf numFmtId="37" fontId="0" fillId="0" borderId="0" xfId="0" applyFill="1" applyProtection="1"/>
    <xf numFmtId="37" fontId="25" fillId="0" borderId="0" xfId="0" applyFont="1" applyFill="1" applyBorder="1" applyProtection="1"/>
    <xf numFmtId="0" fontId="19" fillId="0" borderId="0" xfId="34" applyFill="1" applyAlignment="1" applyProtection="1">
      <alignment horizontal="center"/>
    </xf>
    <xf numFmtId="37" fontId="25" fillId="0" borderId="0" xfId="0" applyFont="1" applyFill="1" applyProtection="1"/>
    <xf numFmtId="37" fontId="25" fillId="0" borderId="66" xfId="0" applyFont="1" applyFill="1" applyBorder="1" applyAlignment="1" applyProtection="1">
      <alignment horizontal="center" vertical="center"/>
    </xf>
    <xf numFmtId="37" fontId="25" fillId="0" borderId="35" xfId="0" quotePrefix="1" applyFont="1" applyFill="1" applyBorder="1" applyAlignment="1" applyProtection="1">
      <alignment horizontal="center" vertical="center"/>
    </xf>
    <xf numFmtId="37" fontId="25" fillId="0" borderId="71" xfId="0" applyFont="1" applyFill="1" applyBorder="1" applyAlignment="1" applyProtection="1">
      <alignment horizontal="center" vertical="center"/>
    </xf>
    <xf numFmtId="37" fontId="25" fillId="0" borderId="72" xfId="0" applyFont="1" applyFill="1" applyBorder="1" applyAlignment="1" applyProtection="1">
      <alignment horizontal="center" vertical="top" wrapText="1"/>
    </xf>
    <xf numFmtId="37" fontId="25" fillId="0" borderId="0" xfId="0" applyFont="1" applyFill="1" applyBorder="1" applyAlignment="1" applyProtection="1">
      <alignment horizontal="center" vertical="center"/>
    </xf>
    <xf numFmtId="37" fontId="25" fillId="0" borderId="0" xfId="0" applyFont="1" applyFill="1" applyBorder="1" applyAlignment="1" applyProtection="1">
      <alignment horizontal="right" vertical="center"/>
    </xf>
    <xf numFmtId="37" fontId="25" fillId="0" borderId="65" xfId="0" applyFont="1" applyFill="1" applyBorder="1" applyAlignment="1" applyProtection="1">
      <alignment horizontal="center" vertical="center" wrapText="1"/>
    </xf>
    <xf numFmtId="37" fontId="25" fillId="0" borderId="0" xfId="0" applyFont="1" applyFill="1" applyBorder="1" applyAlignment="1" applyProtection="1">
      <alignment horizontal="center" vertical="center" wrapText="1"/>
    </xf>
    <xf numFmtId="37" fontId="25" fillId="0" borderId="73" xfId="0" applyFont="1" applyFill="1" applyBorder="1" applyAlignment="1" applyProtection="1">
      <alignment horizontal="center" vertical="center"/>
    </xf>
    <xf numFmtId="37" fontId="25" fillId="0" borderId="74" xfId="0" applyFont="1" applyFill="1" applyBorder="1" applyAlignment="1" applyProtection="1">
      <alignment horizontal="center" vertical="center"/>
    </xf>
    <xf numFmtId="37" fontId="25" fillId="0" borderId="0" xfId="0" applyFont="1" applyFill="1" applyAlignment="1" applyProtection="1">
      <alignment horizontal="left" indent="1"/>
    </xf>
    <xf numFmtId="3" fontId="25" fillId="0" borderId="75" xfId="0" applyNumberFormat="1" applyFont="1" applyFill="1" applyBorder="1" applyProtection="1"/>
    <xf numFmtId="3" fontId="25" fillId="0" borderId="0" xfId="0" applyNumberFormat="1" applyFont="1" applyFill="1" applyBorder="1" applyProtection="1">
      <protection locked="0"/>
    </xf>
    <xf numFmtId="37" fontId="46" fillId="0" borderId="0" xfId="0" applyFont="1" applyFill="1" applyProtection="1"/>
    <xf numFmtId="3" fontId="25" fillId="0" borderId="0" xfId="0" applyNumberFormat="1" applyFont="1" applyFill="1" applyProtection="1"/>
    <xf numFmtId="3" fontId="25" fillId="0" borderId="0" xfId="0" applyNumberFormat="1" applyFont="1" applyFill="1" applyAlignment="1" applyProtection="1">
      <alignment horizontal="right"/>
      <protection locked="0"/>
    </xf>
    <xf numFmtId="37" fontId="30" fillId="0" borderId="0" xfId="0" applyFont="1" applyFill="1" applyProtection="1"/>
    <xf numFmtId="3" fontId="25" fillId="0" borderId="35" xfId="0" applyNumberFormat="1" applyFont="1" applyFill="1" applyBorder="1" applyProtection="1"/>
    <xf numFmtId="37" fontId="48" fillId="28" borderId="0" xfId="0" applyFont="1" applyFill="1" applyProtection="1"/>
    <xf numFmtId="3" fontId="48" fillId="0" borderId="0" xfId="0" applyNumberFormat="1" applyFont="1" applyFill="1" applyProtection="1"/>
    <xf numFmtId="37" fontId="25" fillId="0" borderId="0" xfId="0" applyFont="1" applyFill="1" applyBorder="1" applyAlignment="1" applyProtection="1">
      <alignment horizontal="left" indent="1"/>
    </xf>
    <xf numFmtId="37" fontId="25" fillId="0" borderId="43" xfId="0" applyFont="1" applyFill="1" applyBorder="1" applyAlignment="1" applyProtection="1">
      <alignment horizontal="left" indent="1"/>
    </xf>
    <xf numFmtId="37" fontId="30" fillId="0" borderId="43" xfId="0" applyFont="1" applyFill="1" applyBorder="1" applyProtection="1"/>
    <xf numFmtId="3" fontId="25" fillId="0" borderId="66" xfId="0" applyNumberFormat="1" applyFont="1" applyFill="1" applyBorder="1" applyProtection="1"/>
    <xf numFmtId="3" fontId="25" fillId="0" borderId="76" xfId="0" quotePrefix="1" applyNumberFormat="1" applyFont="1" applyFill="1" applyBorder="1" applyProtection="1"/>
    <xf numFmtId="3" fontId="25" fillId="0" borderId="76" xfId="0" applyNumberFormat="1" applyFont="1" applyFill="1" applyBorder="1" applyProtection="1"/>
    <xf numFmtId="2" fontId="25" fillId="0" borderId="76" xfId="0" applyNumberFormat="1" applyFont="1" applyFill="1" applyBorder="1" applyAlignment="1" applyProtection="1">
      <alignment horizontal="center"/>
    </xf>
    <xf numFmtId="3" fontId="25" fillId="0" borderId="77" xfId="0" applyNumberFormat="1" applyFont="1" applyFill="1" applyBorder="1" applyProtection="1"/>
    <xf numFmtId="37" fontId="43" fillId="0" borderId="0" xfId="0" applyFont="1" applyFill="1" applyAlignment="1" applyProtection="1">
      <alignment horizontal="left" indent="1"/>
    </xf>
    <xf numFmtId="37" fontId="43" fillId="0" borderId="0" xfId="0" applyFont="1" applyFill="1" applyProtection="1"/>
    <xf numFmtId="37" fontId="43" fillId="0" borderId="0" xfId="0" quotePrefix="1" applyFont="1" applyFill="1" applyAlignment="1" applyProtection="1">
      <alignment horizontal="center"/>
    </xf>
    <xf numFmtId="37" fontId="43" fillId="0" borderId="0" xfId="0" applyFont="1" applyFill="1" applyAlignment="1" applyProtection="1">
      <alignment horizontal="center"/>
    </xf>
    <xf numFmtId="37" fontId="43" fillId="0" borderId="0" xfId="0" applyFont="1" applyFill="1" applyAlignment="1" applyProtection="1">
      <alignment horizontal="right"/>
    </xf>
    <xf numFmtId="38" fontId="25" fillId="0" borderId="78" xfId="0" applyNumberFormat="1" applyFont="1" applyFill="1" applyBorder="1" applyProtection="1"/>
    <xf numFmtId="37" fontId="46" fillId="0" borderId="0" xfId="0" applyFont="1" applyFill="1" applyAlignment="1" applyProtection="1">
      <alignment horizontal="center"/>
    </xf>
    <xf numFmtId="3" fontId="46" fillId="0" borderId="79" xfId="0" applyNumberFormat="1" applyFont="1" applyFill="1" applyBorder="1" applyProtection="1"/>
    <xf numFmtId="3" fontId="46" fillId="0" borderId="75" xfId="0" applyNumberFormat="1" applyFont="1" applyFill="1" applyBorder="1" applyProtection="1"/>
    <xf numFmtId="49" fontId="45" fillId="0" borderId="0" xfId="0" applyNumberFormat="1" applyFont="1" applyFill="1" applyAlignment="1" applyProtection="1">
      <alignment horizontal="left"/>
    </xf>
    <xf numFmtId="49" fontId="25" fillId="0" borderId="0" xfId="0" applyNumberFormat="1" applyFont="1" applyFill="1" applyAlignment="1" applyProtection="1">
      <alignment horizontal="right"/>
    </xf>
    <xf numFmtId="37" fontId="0" fillId="28" borderId="0" xfId="0" applyFill="1"/>
    <xf numFmtId="37" fontId="49" fillId="28" borderId="0" xfId="0" applyFont="1" applyFill="1" applyAlignment="1" applyProtection="1">
      <alignment horizontal="left"/>
    </xf>
    <xf numFmtId="37" fontId="48" fillId="28" borderId="0" xfId="0" applyFont="1" applyFill="1" applyAlignment="1" applyProtection="1">
      <alignment horizontal="left"/>
    </xf>
    <xf numFmtId="37" fontId="44" fillId="0" borderId="0" xfId="0" applyFont="1" applyFill="1" applyAlignment="1" applyProtection="1">
      <alignment horizontal="left"/>
    </xf>
    <xf numFmtId="49" fontId="15" fillId="0" borderId="43" xfId="0" applyNumberFormat="1" applyFont="1" applyBorder="1" applyAlignment="1" applyProtection="1">
      <alignment horizontal="left"/>
    </xf>
    <xf numFmtId="49" fontId="8" fillId="0" borderId="43" xfId="0" applyNumberFormat="1" applyFont="1" applyBorder="1" applyAlignment="1" applyProtection="1">
      <alignment horizontal="left"/>
    </xf>
    <xf numFmtId="49" fontId="8" fillId="0" borderId="0" xfId="0" applyNumberFormat="1" applyFont="1"/>
    <xf numFmtId="37" fontId="0" fillId="0" borderId="0" xfId="0" applyFill="1" applyAlignment="1"/>
    <xf numFmtId="37" fontId="7" fillId="0" borderId="0" xfId="0" applyFont="1" applyFill="1" applyAlignment="1"/>
    <xf numFmtId="0" fontId="15" fillId="26" borderId="43" xfId="0" applyNumberFormat="1" applyFont="1" applyFill="1" applyBorder="1" applyAlignment="1" applyProtection="1">
      <alignment horizontal="left"/>
    </xf>
    <xf numFmtId="37" fontId="15" fillId="26" borderId="0" xfId="0" applyFont="1" applyFill="1" applyProtection="1"/>
    <xf numFmtId="37" fontId="15" fillId="26" borderId="43" xfId="0" applyFont="1" applyFill="1" applyBorder="1" applyAlignment="1" applyProtection="1">
      <alignment horizontal="left"/>
    </xf>
    <xf numFmtId="37" fontId="51" fillId="0" borderId="0" xfId="38" applyNumberFormat="1" applyFont="1" applyFill="1" applyProtection="1"/>
    <xf numFmtId="37" fontId="15" fillId="26" borderId="43" xfId="0" applyFont="1" applyFill="1" applyBorder="1" applyAlignment="1" applyProtection="1">
      <alignment horizontal="right"/>
    </xf>
    <xf numFmtId="0" fontId="15" fillId="0" borderId="0" xfId="0" applyNumberFormat="1" applyFont="1" applyFill="1" applyBorder="1" applyAlignment="1" applyProtection="1">
      <alignment horizontal="left"/>
    </xf>
    <xf numFmtId="37" fontId="15" fillId="0" borderId="0" xfId="0" applyFont="1" applyFill="1" applyProtection="1"/>
    <xf numFmtId="37" fontId="39" fillId="0" borderId="0" xfId="0" applyFont="1" applyFill="1"/>
    <xf numFmtId="37" fontId="34" fillId="0" borderId="52" xfId="0" applyFont="1" applyFill="1" applyBorder="1" applyAlignment="1">
      <alignment horizontal="center" wrapText="1"/>
    </xf>
    <xf numFmtId="37" fontId="34" fillId="0" borderId="56" xfId="0" applyFont="1" applyFill="1" applyBorder="1" applyAlignment="1">
      <alignment horizontal="center" wrapText="1"/>
    </xf>
    <xf numFmtId="37" fontId="14" fillId="0" borderId="17" xfId="0" applyFont="1" applyBorder="1" applyAlignment="1">
      <alignment horizontal="center"/>
    </xf>
    <xf numFmtId="37" fontId="14" fillId="0" borderId="16" xfId="0" applyFont="1" applyBorder="1" applyAlignment="1">
      <alignment horizontal="center"/>
    </xf>
    <xf numFmtId="37" fontId="0" fillId="0" borderId="23" xfId="0" applyNumberFormat="1" applyFill="1" applyBorder="1" applyProtection="1"/>
    <xf numFmtId="37" fontId="0" fillId="0" borderId="0" xfId="0" applyFill="1" applyAlignment="1" applyProtection="1">
      <alignment horizontal="left"/>
    </xf>
    <xf numFmtId="37" fontId="0" fillId="0" borderId="0" xfId="0" applyFill="1" applyAlignment="1" applyProtection="1">
      <alignment horizontal="right"/>
    </xf>
    <xf numFmtId="37" fontId="0" fillId="0" borderId="35" xfId="0" applyFill="1" applyBorder="1"/>
    <xf numFmtId="37" fontId="35" fillId="0" borderId="0" xfId="0" applyFont="1" applyAlignment="1" applyProtection="1">
      <alignment horizontal="center"/>
      <protection locked="0"/>
    </xf>
    <xf numFmtId="37" fontId="35" fillId="0" borderId="0" xfId="0" applyFont="1" applyAlignment="1" applyProtection="1">
      <protection locked="0"/>
    </xf>
    <xf numFmtId="37" fontId="27" fillId="0" borderId="0" xfId="0" applyFont="1" applyProtection="1">
      <protection locked="0"/>
    </xf>
    <xf numFmtId="37" fontId="0" fillId="0" borderId="0" xfId="0" applyProtection="1">
      <protection locked="0"/>
    </xf>
    <xf numFmtId="37" fontId="27" fillId="0" borderId="0" xfId="0" quotePrefix="1" applyFont="1" applyProtection="1">
      <protection locked="0"/>
    </xf>
    <xf numFmtId="37" fontId="26" fillId="0" borderId="0" xfId="0" applyFont="1" applyAlignment="1" applyProtection="1">
      <alignment horizontal="left"/>
      <protection locked="0"/>
    </xf>
    <xf numFmtId="37" fontId="26" fillId="26" borderId="0" xfId="0" applyFont="1" applyFill="1" applyAlignment="1" applyProtection="1">
      <alignment horizontal="left"/>
      <protection locked="0"/>
    </xf>
    <xf numFmtId="37" fontId="27" fillId="0" borderId="0" xfId="0" quotePrefix="1" applyFont="1" applyAlignment="1" applyProtection="1">
      <alignment horizontal="left"/>
      <protection locked="0"/>
    </xf>
    <xf numFmtId="37" fontId="28" fillId="0" borderId="0" xfId="0" applyFont="1" applyAlignment="1" applyProtection="1">
      <alignment horizontal="left"/>
      <protection locked="0"/>
    </xf>
    <xf numFmtId="37" fontId="27" fillId="0" borderId="0" xfId="0" applyFont="1" applyAlignment="1" applyProtection="1">
      <alignment horizontal="left"/>
      <protection locked="0"/>
    </xf>
    <xf numFmtId="37" fontId="26" fillId="0" borderId="0" xfId="0" applyFont="1" applyAlignment="1" applyProtection="1">
      <protection locked="0"/>
    </xf>
    <xf numFmtId="37" fontId="25" fillId="0" borderId="0" xfId="0" applyFont="1" applyAlignment="1" applyProtection="1">
      <protection locked="0"/>
    </xf>
    <xf numFmtId="37" fontId="25" fillId="0" borderId="0" xfId="0" applyFont="1" applyProtection="1">
      <protection locked="0"/>
    </xf>
    <xf numFmtId="37" fontId="32" fillId="0" borderId="0" xfId="0" applyFont="1" applyAlignment="1" applyProtection="1">
      <protection locked="0"/>
    </xf>
    <xf numFmtId="37" fontId="25" fillId="0" borderId="0" xfId="0" applyFont="1" applyAlignment="1" applyProtection="1">
      <alignment horizontal="left"/>
      <protection locked="0"/>
    </xf>
    <xf numFmtId="37" fontId="36" fillId="0" borderId="0" xfId="0" applyFont="1" applyProtection="1">
      <protection locked="0"/>
    </xf>
    <xf numFmtId="37" fontId="36" fillId="0" borderId="80" xfId="0" applyFont="1" applyBorder="1" applyProtection="1">
      <protection locked="0"/>
    </xf>
    <xf numFmtId="37" fontId="36" fillId="0" borderId="0" xfId="0" applyFont="1" applyAlignment="1" applyProtection="1">
      <protection locked="0"/>
    </xf>
    <xf numFmtId="37" fontId="25" fillId="0" borderId="0" xfId="0" applyFont="1" applyFill="1" applyBorder="1" applyAlignment="1" applyProtection="1">
      <alignment horizontal="left"/>
      <protection locked="0"/>
    </xf>
    <xf numFmtId="37" fontId="30" fillId="0" borderId="0" xfId="0" applyFont="1" applyAlignment="1" applyProtection="1">
      <alignment horizontal="left"/>
      <protection locked="0"/>
    </xf>
    <xf numFmtId="37" fontId="37" fillId="0" borderId="0" xfId="0" applyFont="1" applyAlignment="1" applyProtection="1">
      <alignment horizontal="left"/>
      <protection locked="0"/>
    </xf>
    <xf numFmtId="37" fontId="25" fillId="0" borderId="0" xfId="0" quotePrefix="1" applyFont="1" applyAlignment="1" applyProtection="1">
      <alignment horizontal="left"/>
      <protection locked="0"/>
    </xf>
    <xf numFmtId="37" fontId="31" fillId="0" borderId="0" xfId="0" applyFont="1" applyProtection="1">
      <protection locked="0"/>
    </xf>
    <xf numFmtId="37" fontId="25" fillId="0" borderId="0" xfId="0" applyFont="1" applyBorder="1" applyAlignment="1" applyProtection="1">
      <alignment horizontal="left"/>
      <protection locked="0"/>
    </xf>
    <xf numFmtId="37" fontId="25" fillId="0" borderId="0" xfId="0" applyFont="1" applyBorder="1" applyAlignment="1" applyProtection="1">
      <alignment horizontal="right"/>
      <protection locked="0"/>
    </xf>
    <xf numFmtId="37" fontId="31" fillId="0" borderId="0" xfId="0" applyFont="1" applyAlignment="1" applyProtection="1">
      <alignment horizontal="left"/>
      <protection locked="0"/>
    </xf>
    <xf numFmtId="37" fontId="25" fillId="0" borderId="0" xfId="0" quotePrefix="1" applyFont="1" applyBorder="1" applyAlignment="1" applyProtection="1">
      <alignment horizontal="right"/>
      <protection locked="0"/>
    </xf>
    <xf numFmtId="37" fontId="15" fillId="0" borderId="0" xfId="0" applyFont="1" applyProtection="1">
      <protection locked="0"/>
    </xf>
    <xf numFmtId="49" fontId="15" fillId="0" borderId="0" xfId="0" applyNumberFormat="1" applyFont="1" applyAlignment="1" applyProtection="1">
      <alignment vertical="top"/>
      <protection locked="0"/>
    </xf>
    <xf numFmtId="49" fontId="15" fillId="0" borderId="0" xfId="0" applyNumberFormat="1" applyFont="1" applyAlignment="1" applyProtection="1">
      <alignment horizontal="left"/>
      <protection locked="0"/>
    </xf>
    <xf numFmtId="1" fontId="15" fillId="0" borderId="0" xfId="0" applyNumberFormat="1" applyFont="1" applyAlignment="1" applyProtection="1">
      <alignment horizontal="left"/>
      <protection locked="0"/>
    </xf>
    <xf numFmtId="37" fontId="15" fillId="0" borderId="0" xfId="0" applyFont="1" applyFill="1" applyProtection="1">
      <protection locked="0"/>
    </xf>
    <xf numFmtId="49" fontId="15" fillId="0" borderId="0" xfId="0" applyNumberFormat="1" applyFont="1" applyFill="1" applyAlignment="1" applyProtection="1">
      <alignment horizontal="left"/>
      <protection locked="0"/>
    </xf>
    <xf numFmtId="37" fontId="9" fillId="0" borderId="0" xfId="0" applyFont="1" applyAlignment="1" applyProtection="1">
      <alignment horizontal="right"/>
      <protection locked="0"/>
    </xf>
    <xf numFmtId="37" fontId="15" fillId="0" borderId="0" xfId="0" applyFont="1" applyAlignment="1" applyProtection="1">
      <alignment horizontal="right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37" fontId="5" fillId="0" borderId="0" xfId="0" applyFont="1" applyProtection="1">
      <protection locked="0"/>
    </xf>
    <xf numFmtId="49" fontId="15" fillId="0" borderId="0" xfId="0" applyNumberFormat="1" applyFont="1" applyProtection="1">
      <protection locked="0"/>
    </xf>
    <xf numFmtId="37" fontId="15" fillId="0" borderId="0" xfId="0" applyFont="1" applyAlignment="1" applyProtection="1">
      <alignment horizontal="center" wrapText="1"/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left" vertical="top"/>
      <protection locked="0"/>
    </xf>
    <xf numFmtId="37" fontId="8" fillId="0" borderId="0" xfId="0" applyFont="1" applyProtection="1">
      <protection locked="0"/>
    </xf>
    <xf numFmtId="49" fontId="10" fillId="0" borderId="0" xfId="0" applyNumberFormat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 vertical="top"/>
      <protection locked="0"/>
    </xf>
    <xf numFmtId="37" fontId="15" fillId="0" borderId="0" xfId="0" applyNumberFormat="1" applyFont="1" applyProtection="1">
      <protection locked="0"/>
    </xf>
    <xf numFmtId="37" fontId="15" fillId="0" borderId="0" xfId="0" quotePrefix="1" applyFont="1" applyAlignment="1" applyProtection="1">
      <alignment vertical="top"/>
      <protection locked="0"/>
    </xf>
    <xf numFmtId="49" fontId="15" fillId="0" borderId="0" xfId="0" quotePrefix="1" applyNumberFormat="1" applyFont="1" applyAlignment="1" applyProtection="1">
      <alignment horizontal="left"/>
      <protection locked="0"/>
    </xf>
    <xf numFmtId="37" fontId="15" fillId="0" borderId="0" xfId="0" applyFont="1" applyAlignment="1" applyProtection="1">
      <alignment vertical="top"/>
      <protection locked="0"/>
    </xf>
    <xf numFmtId="37" fontId="15" fillId="0" borderId="0" xfId="0" quotePrefix="1" applyFont="1" applyFill="1" applyBorder="1" applyAlignment="1" applyProtection="1">
      <alignment vertical="top"/>
      <protection locked="0"/>
    </xf>
    <xf numFmtId="37" fontId="15" fillId="0" borderId="0" xfId="0" quotePrefix="1" applyFont="1" applyAlignment="1" applyProtection="1">
      <alignment horizontal="left" vertical="top"/>
      <protection locked="0"/>
    </xf>
    <xf numFmtId="49" fontId="15" fillId="0" borderId="0" xfId="0" quotePrefix="1" applyNumberFormat="1" applyFont="1" applyProtection="1">
      <protection locked="0"/>
    </xf>
    <xf numFmtId="37" fontId="15" fillId="0" borderId="0" xfId="0" applyFont="1" applyBorder="1" applyAlignment="1" applyProtection="1">
      <alignment vertical="top"/>
      <protection locked="0"/>
    </xf>
    <xf numFmtId="37" fontId="12" fillId="0" borderId="0" xfId="0" applyFont="1" applyAlignment="1" applyProtection="1">
      <alignment horizontal="left"/>
      <protection locked="0"/>
    </xf>
    <xf numFmtId="37" fontId="15" fillId="0" borderId="0" xfId="0" applyNumberFormat="1" applyFont="1" applyFill="1" applyProtection="1">
      <protection locked="0"/>
    </xf>
    <xf numFmtId="37" fontId="15" fillId="0" borderId="0" xfId="0" applyFont="1" applyAlignment="1" applyProtection="1">
      <alignment horizontal="left" wrapText="1"/>
      <protection locked="0"/>
    </xf>
    <xf numFmtId="37" fontId="15" fillId="0" borderId="0" xfId="0" quotePrefix="1" applyFont="1" applyProtection="1">
      <protection locked="0"/>
    </xf>
    <xf numFmtId="37" fontId="8" fillId="0" borderId="0" xfId="0" applyFont="1" applyAlignment="1" applyProtection="1">
      <alignment horizontal="left"/>
      <protection locked="0"/>
    </xf>
    <xf numFmtId="37" fontId="15" fillId="0" borderId="22" xfId="0" applyNumberFormat="1" applyFont="1" applyBorder="1" applyProtection="1">
      <protection locked="0"/>
    </xf>
    <xf numFmtId="37" fontId="6" fillId="0" borderId="0" xfId="0" applyFont="1" applyAlignment="1" applyProtection="1">
      <alignment horizontal="left"/>
      <protection locked="0"/>
    </xf>
    <xf numFmtId="37" fontId="9" fillId="0" borderId="0" xfId="0" applyFont="1" applyAlignment="1" applyProtection="1">
      <alignment horizontal="left"/>
      <protection locked="0"/>
    </xf>
    <xf numFmtId="37" fontId="15" fillId="0" borderId="0" xfId="0" applyFont="1" applyAlignment="1" applyProtection="1">
      <alignment horizontal="center"/>
      <protection locked="0"/>
    </xf>
    <xf numFmtId="37" fontId="15" fillId="0" borderId="0" xfId="0" quotePrefix="1" applyFont="1" applyAlignment="1" applyProtection="1">
      <alignment horizontal="center"/>
      <protection locked="0"/>
    </xf>
    <xf numFmtId="37" fontId="15" fillId="0" borderId="0" xfId="0" applyFont="1" applyAlignment="1" applyProtection="1">
      <protection locked="0"/>
    </xf>
    <xf numFmtId="37" fontId="12" fillId="0" borderId="0" xfId="0" applyFont="1" applyAlignment="1" applyProtection="1">
      <alignment horizontal="right"/>
      <protection locked="0"/>
    </xf>
    <xf numFmtId="37" fontId="15" fillId="0" borderId="0" xfId="0" applyFont="1" applyFill="1" applyAlignment="1" applyProtection="1">
      <protection locked="0"/>
    </xf>
    <xf numFmtId="37" fontId="15" fillId="0" borderId="0" xfId="0" quotePrefix="1" applyFont="1" applyAlignment="1" applyProtection="1">
      <alignment horizontal="left"/>
      <protection locked="0"/>
    </xf>
    <xf numFmtId="37" fontId="8" fillId="0" borderId="0" xfId="0" quotePrefix="1" applyFont="1" applyAlignment="1" applyProtection="1">
      <alignment horizontal="left"/>
      <protection locked="0"/>
    </xf>
    <xf numFmtId="37" fontId="15" fillId="0" borderId="0" xfId="0" quotePrefix="1" applyFont="1" applyFill="1" applyAlignment="1" applyProtection="1">
      <alignment horizontal="left"/>
      <protection locked="0"/>
    </xf>
    <xf numFmtId="37" fontId="15" fillId="0" borderId="0" xfId="0" applyFont="1" applyFill="1" applyAlignment="1" applyProtection="1">
      <alignment horizontal="left"/>
      <protection locked="0"/>
    </xf>
    <xf numFmtId="37" fontId="22" fillId="0" borderId="0" xfId="0" applyNumberFormat="1" applyFont="1" applyProtection="1">
      <protection locked="0"/>
    </xf>
    <xf numFmtId="49" fontId="15" fillId="0" borderId="0" xfId="0" applyNumberFormat="1" applyFont="1" applyFill="1" applyProtection="1">
      <protection locked="0"/>
    </xf>
    <xf numFmtId="37" fontId="3" fillId="0" borderId="14" xfId="0" applyNumberFormat="1" applyFont="1" applyFill="1" applyBorder="1" applyProtection="1">
      <protection locked="0"/>
    </xf>
    <xf numFmtId="37" fontId="15" fillId="26" borderId="35" xfId="0" quotePrefix="1" applyNumberFormat="1" applyFont="1" applyFill="1" applyBorder="1" applyProtection="1"/>
    <xf numFmtId="37" fontId="15" fillId="26" borderId="35" xfId="0" applyNumberFormat="1" applyFont="1" applyFill="1" applyBorder="1" applyProtection="1"/>
    <xf numFmtId="37" fontId="15" fillId="0" borderId="0" xfId="0" applyFont="1" applyAlignment="1" applyProtection="1"/>
    <xf numFmtId="37" fontId="3" fillId="0" borderId="81" xfId="0" applyNumberFormat="1" applyFont="1" applyFill="1" applyBorder="1" applyProtection="1">
      <protection locked="0"/>
    </xf>
    <xf numFmtId="37" fontId="3" fillId="0" borderId="82" xfId="0" applyNumberFormat="1" applyFont="1" applyBorder="1" applyProtection="1">
      <protection locked="0"/>
    </xf>
    <xf numFmtId="37" fontId="3" fillId="0" borderId="82" xfId="0" applyNumberFormat="1" applyFont="1" applyFill="1" applyBorder="1" applyProtection="1">
      <protection locked="0"/>
    </xf>
    <xf numFmtId="37" fontId="15" fillId="0" borderId="35" xfId="0" applyNumberFormat="1" applyFont="1" applyFill="1" applyBorder="1" applyProtection="1"/>
    <xf numFmtId="37" fontId="15" fillId="0" borderId="35" xfId="0" applyNumberFormat="1" applyFont="1" applyBorder="1" applyProtection="1"/>
    <xf numFmtId="37" fontId="15" fillId="0" borderId="83" xfId="0" applyNumberFormat="1" applyFont="1" applyFill="1" applyBorder="1" applyProtection="1"/>
    <xf numFmtId="37" fontId="15" fillId="0" borderId="41" xfId="0" applyNumberFormat="1" applyFont="1" applyFill="1" applyBorder="1" applyProtection="1"/>
    <xf numFmtId="37" fontId="15" fillId="0" borderId="83" xfId="0" applyNumberFormat="1" applyFont="1" applyBorder="1" applyProtection="1"/>
    <xf numFmtId="37" fontId="15" fillId="0" borderId="59" xfId="0" applyFont="1" applyBorder="1" applyProtection="1"/>
    <xf numFmtId="37" fontId="15" fillId="0" borderId="84" xfId="0" applyNumberFormat="1" applyFont="1" applyBorder="1" applyProtection="1"/>
    <xf numFmtId="37" fontId="15" fillId="0" borderId="43" xfId="0" applyFont="1" applyBorder="1" applyProtection="1"/>
    <xf numFmtId="37" fontId="15" fillId="0" borderId="84" xfId="0" applyNumberFormat="1" applyFont="1" applyFill="1" applyBorder="1" applyProtection="1"/>
    <xf numFmtId="37" fontId="15" fillId="0" borderId="43" xfId="0" applyNumberFormat="1" applyFont="1" applyFill="1" applyBorder="1" applyProtection="1"/>
    <xf numFmtId="37" fontId="15" fillId="0" borderId="85" xfId="0" applyNumberFormat="1" applyFont="1" applyBorder="1" applyProtection="1"/>
    <xf numFmtId="37" fontId="15" fillId="0" borderId="43" xfId="0" applyNumberFormat="1" applyFont="1" applyBorder="1" applyProtection="1"/>
    <xf numFmtId="37" fontId="15" fillId="0" borderId="86" xfId="0" applyNumberFormat="1" applyFont="1" applyBorder="1" applyProtection="1"/>
    <xf numFmtId="37" fontId="15" fillId="0" borderId="88" xfId="0" applyNumberFormat="1" applyFont="1" applyBorder="1" applyProtection="1"/>
    <xf numFmtId="37" fontId="15" fillId="0" borderId="89" xfId="0" applyNumberFormat="1" applyFont="1" applyBorder="1" applyProtection="1"/>
    <xf numFmtId="37" fontId="15" fillId="0" borderId="90" xfId="0" applyNumberFormat="1" applyFont="1" applyBorder="1" applyProtection="1"/>
    <xf numFmtId="37" fontId="15" fillId="0" borderId="91" xfId="0" applyNumberFormat="1" applyFont="1" applyBorder="1" applyProtection="1"/>
    <xf numFmtId="37" fontId="15" fillId="0" borderId="92" xfId="0" applyNumberFormat="1" applyFont="1" applyBorder="1" applyProtection="1"/>
    <xf numFmtId="37" fontId="15" fillId="0" borderId="93" xfId="0" applyNumberFormat="1" applyFont="1" applyBorder="1" applyProtection="1"/>
    <xf numFmtId="37" fontId="8" fillId="0" borderId="0" xfId="0" applyFont="1" applyAlignment="1" applyProtection="1">
      <protection locked="0"/>
    </xf>
    <xf numFmtId="37" fontId="10" fillId="0" borderId="0" xfId="0" applyFont="1" applyProtection="1">
      <protection locked="0"/>
    </xf>
    <xf numFmtId="37" fontId="9" fillId="0" borderId="0" xfId="0" applyFont="1" applyAlignment="1" applyProtection="1">
      <alignment horizontal="center"/>
      <protection locked="0"/>
    </xf>
    <xf numFmtId="1" fontId="15" fillId="0" borderId="0" xfId="0" quotePrefix="1" applyNumberFormat="1" applyFont="1" applyAlignment="1" applyProtection="1">
      <alignment horizontal="left"/>
      <protection locked="0"/>
    </xf>
    <xf numFmtId="1" fontId="8" fillId="0" borderId="0" xfId="0" applyNumberFormat="1" applyFont="1" applyAlignment="1" applyProtection="1">
      <alignment horizontal="left"/>
      <protection locked="0"/>
    </xf>
    <xf numFmtId="37" fontId="21" fillId="0" borderId="0" xfId="0" applyFont="1" applyProtection="1">
      <protection locked="0"/>
    </xf>
    <xf numFmtId="37" fontId="15" fillId="0" borderId="45" xfId="0" applyNumberFormat="1" applyFont="1" applyBorder="1" applyProtection="1">
      <protection locked="0"/>
    </xf>
    <xf numFmtId="37" fontId="15" fillId="0" borderId="0" xfId="0" applyFont="1" applyFill="1" applyBorder="1" applyAlignment="1" applyProtection="1">
      <alignment horizontal="left"/>
      <protection locked="0"/>
    </xf>
    <xf numFmtId="37" fontId="3" fillId="0" borderId="0" xfId="0" applyNumberFormat="1" applyFont="1" applyBorder="1" applyProtection="1"/>
    <xf numFmtId="37" fontId="15" fillId="0" borderId="23" xfId="0" applyNumberFormat="1" applyFont="1" applyBorder="1" applyProtection="1"/>
    <xf numFmtId="37" fontId="15" fillId="0" borderId="67" xfId="0" applyNumberFormat="1" applyFont="1" applyBorder="1" applyProtection="1"/>
    <xf numFmtId="37" fontId="15" fillId="0" borderId="14" xfId="0" applyNumberFormat="1" applyFont="1" applyFill="1" applyBorder="1" applyProtection="1"/>
    <xf numFmtId="37" fontId="15" fillId="0" borderId="14" xfId="0" applyNumberFormat="1" applyFont="1" applyBorder="1" applyProtection="1"/>
    <xf numFmtId="37" fontId="15" fillId="0" borderId="0" xfId="0" applyFont="1" applyFill="1" applyAlignment="1" applyProtection="1"/>
    <xf numFmtId="37" fontId="3" fillId="0" borderId="66" xfId="0" applyNumberFormat="1" applyFont="1" applyFill="1" applyBorder="1" applyProtection="1"/>
    <xf numFmtId="37" fontId="3" fillId="0" borderId="0" xfId="0" applyNumberFormat="1" applyFont="1" applyFill="1" applyBorder="1" applyProtection="1"/>
    <xf numFmtId="37" fontId="3" fillId="0" borderId="70" xfId="0" applyNumberFormat="1" applyFont="1" applyFill="1" applyBorder="1" applyProtection="1"/>
    <xf numFmtId="37" fontId="15" fillId="0" borderId="66" xfId="0" applyNumberFormat="1" applyFont="1" applyFill="1" applyBorder="1" applyProtection="1"/>
    <xf numFmtId="37" fontId="15" fillId="0" borderId="39" xfId="0" applyNumberFormat="1" applyFont="1" applyFill="1" applyBorder="1" applyProtection="1"/>
    <xf numFmtId="37" fontId="15" fillId="0" borderId="69" xfId="0" applyNumberFormat="1" applyFont="1" applyFill="1" applyBorder="1" applyProtection="1"/>
    <xf numFmtId="37" fontId="15" fillId="0" borderId="23" xfId="0" applyNumberFormat="1" applyFont="1" applyFill="1" applyBorder="1" applyProtection="1"/>
    <xf numFmtId="37" fontId="3" fillId="0" borderId="44" xfId="0" applyNumberFormat="1" applyFont="1" applyBorder="1" applyProtection="1"/>
    <xf numFmtId="37" fontId="15" fillId="0" borderId="94" xfId="0" applyNumberFormat="1" applyFont="1" applyBorder="1" applyProtection="1"/>
    <xf numFmtId="37" fontId="15" fillId="0" borderId="38" xfId="0" applyNumberFormat="1" applyFont="1" applyBorder="1" applyProtection="1"/>
    <xf numFmtId="37" fontId="15" fillId="0" borderId="66" xfId="0" applyNumberFormat="1" applyFont="1" applyBorder="1" applyProtection="1"/>
    <xf numFmtId="37" fontId="10" fillId="0" borderId="0" xfId="0" applyFont="1" applyAlignment="1" applyProtection="1">
      <alignment horizontal="left"/>
      <protection locked="0"/>
    </xf>
    <xf numFmtId="37" fontId="15" fillId="0" borderId="0" xfId="0" applyFont="1" applyFill="1" applyBorder="1" applyProtection="1">
      <protection locked="0"/>
    </xf>
    <xf numFmtId="37" fontId="15" fillId="0" borderId="46" xfId="0" applyNumberFormat="1" applyFont="1" applyBorder="1" applyProtection="1"/>
    <xf numFmtId="37" fontId="15" fillId="0" borderId="0" xfId="0" quotePrefix="1" applyFont="1" applyFill="1"/>
    <xf numFmtId="37" fontId="3" fillId="0" borderId="95" xfId="0" applyNumberFormat="1" applyFont="1" applyFill="1" applyBorder="1" applyProtection="1">
      <protection locked="0"/>
    </xf>
    <xf numFmtId="37" fontId="3" fillId="0" borderId="95" xfId="0" applyNumberFormat="1" applyFont="1" applyBorder="1" applyProtection="1">
      <protection locked="0"/>
    </xf>
    <xf numFmtId="37" fontId="15" fillId="0" borderId="96" xfId="0" applyNumberFormat="1" applyFont="1" applyBorder="1" applyProtection="1"/>
    <xf numFmtId="37" fontId="15" fillId="0" borderId="96" xfId="0" applyNumberFormat="1" applyFont="1" applyFill="1" applyBorder="1" applyProtection="1"/>
    <xf numFmtId="37" fontId="0" fillId="0" borderId="0" xfId="0" quotePrefix="1" applyFill="1"/>
    <xf numFmtId="3" fontId="29" fillId="0" borderId="0" xfId="0" applyNumberFormat="1" applyFont="1" applyFill="1" applyProtection="1">
      <protection locked="0"/>
    </xf>
    <xf numFmtId="3" fontId="29" fillId="0" borderId="97" xfId="0" quotePrefix="1" applyNumberFormat="1" applyFont="1" applyFill="1" applyBorder="1" applyProtection="1">
      <protection locked="0"/>
    </xf>
    <xf numFmtId="3" fontId="29" fillId="0" borderId="98" xfId="0" quotePrefix="1" applyNumberFormat="1" applyFont="1" applyFill="1" applyBorder="1" applyProtection="1">
      <protection locked="0"/>
    </xf>
    <xf numFmtId="3" fontId="29" fillId="0" borderId="76" xfId="0" quotePrefix="1" applyNumberFormat="1" applyFont="1" applyFill="1" applyBorder="1" applyProtection="1">
      <protection locked="0"/>
    </xf>
    <xf numFmtId="3" fontId="29" fillId="0" borderId="87" xfId="0" quotePrefix="1" applyNumberFormat="1" applyFont="1" applyFill="1" applyBorder="1" applyProtection="1">
      <protection locked="0"/>
    </xf>
    <xf numFmtId="3" fontId="29" fillId="0" borderId="99" xfId="0" quotePrefix="1" applyNumberFormat="1" applyFont="1" applyFill="1" applyBorder="1" applyProtection="1">
      <protection locked="0"/>
    </xf>
    <xf numFmtId="3" fontId="29" fillId="0" borderId="100" xfId="0" quotePrefix="1" applyNumberFormat="1" applyFont="1" applyFill="1" applyBorder="1" applyProtection="1">
      <protection locked="0"/>
    </xf>
    <xf numFmtId="3" fontId="29" fillId="0" borderId="79" xfId="0" quotePrefix="1" applyNumberFormat="1" applyFont="1" applyFill="1" applyBorder="1" applyProtection="1">
      <protection locked="0"/>
    </xf>
    <xf numFmtId="3" fontId="29" fillId="0" borderId="75" xfId="0" quotePrefix="1" applyNumberFormat="1" applyFont="1" applyFill="1" applyBorder="1" applyProtection="1">
      <protection locked="0"/>
    </xf>
    <xf numFmtId="3" fontId="29" fillId="0" borderId="78" xfId="0" applyNumberFormat="1" applyFont="1" applyFill="1" applyBorder="1" applyProtection="1">
      <protection locked="0"/>
    </xf>
    <xf numFmtId="3" fontId="29" fillId="0" borderId="76" xfId="0" applyNumberFormat="1" applyFont="1" applyFill="1" applyBorder="1" applyProtection="1">
      <protection locked="0"/>
    </xf>
    <xf numFmtId="37" fontId="0" fillId="0" borderId="40" xfId="0" applyBorder="1" applyProtection="1"/>
    <xf numFmtId="37" fontId="15" fillId="0" borderId="67" xfId="0" applyNumberFormat="1" applyFont="1" applyFill="1" applyBorder="1" applyProtection="1"/>
    <xf numFmtId="37" fontId="3" fillId="0" borderId="24" xfId="0" applyNumberFormat="1" applyFont="1" applyBorder="1" applyProtection="1"/>
    <xf numFmtId="37" fontId="15" fillId="0" borderId="81" xfId="0" applyNumberFormat="1" applyFont="1" applyBorder="1" applyProtection="1"/>
    <xf numFmtId="37" fontId="3" fillId="0" borderId="0" xfId="0" applyNumberFormat="1" applyFont="1" applyProtection="1"/>
    <xf numFmtId="40" fontId="41" fillId="0" borderId="0" xfId="0" applyNumberFormat="1" applyFont="1" applyFill="1" applyBorder="1" applyProtection="1"/>
    <xf numFmtId="37" fontId="17" fillId="0" borderId="0" xfId="0" applyFont="1" applyFill="1" applyAlignment="1" applyProtection="1">
      <alignment horizontal="right"/>
    </xf>
    <xf numFmtId="39" fontId="40" fillId="0" borderId="0" xfId="0" applyNumberFormat="1" applyFont="1" applyFill="1" applyProtection="1"/>
    <xf numFmtId="49" fontId="15" fillId="0" borderId="0" xfId="0" applyNumberFormat="1" applyFont="1" applyFill="1" applyProtection="1"/>
    <xf numFmtId="40" fontId="41" fillId="0" borderId="0" xfId="0" applyNumberFormat="1" applyFont="1" applyBorder="1" applyProtection="1"/>
    <xf numFmtId="37" fontId="22" fillId="0" borderId="0" xfId="0" applyFont="1" applyAlignment="1" applyProtection="1">
      <alignment horizontal="left"/>
    </xf>
    <xf numFmtId="39" fontId="40" fillId="0" borderId="0" xfId="0" applyNumberFormat="1" applyFont="1" applyProtection="1"/>
    <xf numFmtId="49" fontId="15" fillId="0" borderId="0" xfId="0" applyNumberFormat="1" applyFont="1" applyProtection="1"/>
    <xf numFmtId="37" fontId="25" fillId="29" borderId="35" xfId="0" applyFont="1" applyFill="1" applyBorder="1" applyAlignment="1" applyProtection="1">
      <alignment horizontal="center" vertical="top" wrapText="1"/>
      <protection locked="0"/>
    </xf>
    <xf numFmtId="37" fontId="25" fillId="29" borderId="66" xfId="0" applyFont="1" applyFill="1" applyBorder="1" applyAlignment="1" applyProtection="1">
      <alignment horizontal="center" vertical="top" wrapText="1"/>
      <protection locked="0"/>
    </xf>
    <xf numFmtId="37" fontId="25" fillId="29" borderId="71" xfId="0" applyFont="1" applyFill="1" applyBorder="1" applyAlignment="1" applyProtection="1">
      <alignment horizontal="center" vertical="top" wrapText="1"/>
      <protection locked="0"/>
    </xf>
    <xf numFmtId="49" fontId="67" fillId="0" borderId="0" xfId="0" applyNumberFormat="1" applyFont="1" applyFill="1" applyAlignment="1" applyProtection="1">
      <alignment horizontal="right"/>
    </xf>
    <xf numFmtId="37" fontId="21" fillId="0" borderId="35" xfId="0" applyNumberFormat="1" applyFont="1" applyBorder="1" applyProtection="1"/>
    <xf numFmtId="37" fontId="3" fillId="0" borderId="35" xfId="0" applyFont="1" applyBorder="1" applyProtection="1">
      <protection locked="0"/>
    </xf>
    <xf numFmtId="37" fontId="21" fillId="0" borderId="35" xfId="0" applyFont="1" applyFill="1" applyBorder="1"/>
    <xf numFmtId="164" fontId="25" fillId="0" borderId="101" xfId="0" applyNumberFormat="1" applyFont="1" applyBorder="1" applyAlignment="1" applyProtection="1">
      <protection locked="0"/>
    </xf>
    <xf numFmtId="37" fontId="14" fillId="0" borderId="17" xfId="0" applyFont="1" applyFill="1" applyBorder="1" applyAlignment="1" applyProtection="1">
      <alignment horizontal="center"/>
    </xf>
    <xf numFmtId="37" fontId="14" fillId="0" borderId="30" xfId="0" applyFont="1" applyFill="1" applyBorder="1" applyAlignment="1" applyProtection="1">
      <alignment horizontal="center"/>
    </xf>
    <xf numFmtId="37" fontId="14" fillId="0" borderId="15" xfId="0" applyFont="1" applyFill="1" applyBorder="1" applyAlignment="1" applyProtection="1">
      <alignment horizontal="center"/>
    </xf>
    <xf numFmtId="37" fontId="14" fillId="0" borderId="32" xfId="0" applyNumberFormat="1" applyFont="1" applyBorder="1" applyAlignment="1" applyProtection="1">
      <alignment horizontal="right"/>
    </xf>
    <xf numFmtId="164" fontId="34" fillId="0" borderId="56" xfId="0" applyNumberFormat="1" applyFont="1" applyBorder="1" applyAlignment="1">
      <alignment wrapText="1"/>
    </xf>
    <xf numFmtId="37" fontId="68" fillId="0" borderId="0" xfId="0" applyFont="1" applyAlignment="1" applyProtection="1">
      <alignment horizontal="left"/>
      <protection locked="0"/>
    </xf>
    <xf numFmtId="37" fontId="68" fillId="0" borderId="0" xfId="0" quotePrefix="1" applyFont="1" applyAlignment="1" applyProtection="1">
      <alignment horizontal="left"/>
    </xf>
    <xf numFmtId="37" fontId="68" fillId="0" borderId="0" xfId="0" applyFont="1" applyAlignment="1" applyProtection="1">
      <alignment horizontal="left"/>
    </xf>
    <xf numFmtId="37" fontId="68" fillId="0" borderId="0" xfId="0" quotePrefix="1" applyFont="1"/>
    <xf numFmtId="37" fontId="68" fillId="0" borderId="0" xfId="0" quotePrefix="1" applyFont="1" applyProtection="1"/>
    <xf numFmtId="40" fontId="40" fillId="0" borderId="0" xfId="0" quotePrefix="1" applyNumberFormat="1" applyFont="1" applyBorder="1"/>
    <xf numFmtId="40" fontId="42" fillId="0" borderId="0" xfId="0" applyNumberFormat="1" applyFont="1" applyFill="1" applyBorder="1"/>
    <xf numFmtId="37" fontId="15" fillId="26" borderId="0" xfId="0" applyFont="1" applyFill="1" applyAlignment="1" applyProtection="1">
      <alignment horizontal="left"/>
    </xf>
    <xf numFmtId="49" fontId="15" fillId="30" borderId="0" xfId="0" applyNumberFormat="1" applyFont="1" applyFill="1" applyAlignment="1" applyProtection="1">
      <alignment horizontal="left"/>
      <protection locked="0"/>
    </xf>
    <xf numFmtId="49" fontId="8" fillId="0" borderId="0" xfId="0" applyNumberFormat="1" applyFont="1" applyProtection="1">
      <protection locked="0"/>
    </xf>
    <xf numFmtId="37" fontId="15" fillId="26" borderId="41" xfId="0" applyNumberFormat="1" applyFont="1" applyFill="1" applyBorder="1" applyProtection="1"/>
    <xf numFmtId="49" fontId="15" fillId="0" borderId="0" xfId="0" applyNumberFormat="1" applyFont="1" applyAlignment="1" applyProtection="1">
      <alignment horizontal="right"/>
      <protection locked="0"/>
    </xf>
    <xf numFmtId="37" fontId="15" fillId="26" borderId="0" xfId="0" applyFont="1" applyFill="1" applyBorder="1" applyProtection="1"/>
    <xf numFmtId="37" fontId="15" fillId="26" borderId="23" xfId="0" applyNumberFormat="1" applyFont="1" applyFill="1" applyBorder="1" applyProtection="1"/>
    <xf numFmtId="37" fontId="15" fillId="26" borderId="0" xfId="0" applyFont="1" applyFill="1" applyBorder="1" applyAlignment="1" applyProtection="1">
      <alignment horizontal="left"/>
    </xf>
    <xf numFmtId="3" fontId="69" fillId="0" borderId="0" xfId="0" applyNumberFormat="1" applyFont="1" applyFill="1" applyProtection="1">
      <protection locked="0"/>
    </xf>
    <xf numFmtId="37" fontId="15" fillId="26" borderId="0" xfId="0" applyFont="1" applyFill="1"/>
    <xf numFmtId="49" fontId="8" fillId="26" borderId="43" xfId="0" applyNumberFormat="1" applyFont="1" applyFill="1" applyBorder="1" applyAlignment="1" applyProtection="1">
      <alignment horizontal="left"/>
    </xf>
    <xf numFmtId="37" fontId="15" fillId="26" borderId="0" xfId="0" quotePrefix="1" applyFont="1" applyFill="1" applyAlignment="1" applyProtection="1">
      <alignment horizontal="left"/>
    </xf>
    <xf numFmtId="37" fontId="3" fillId="0" borderId="40" xfId="0" applyFont="1" applyBorder="1" applyProtection="1">
      <protection locked="0"/>
    </xf>
    <xf numFmtId="37" fontId="15" fillId="0" borderId="102" xfId="0" applyNumberFormat="1" applyFont="1" applyBorder="1" applyProtection="1"/>
    <xf numFmtId="1" fontId="25" fillId="29" borderId="35" xfId="0" quotePrefix="1" applyNumberFormat="1" applyFont="1" applyFill="1" applyBorder="1" applyAlignment="1" applyProtection="1">
      <alignment horizontal="center" vertical="center" wrapText="1"/>
      <protection locked="0"/>
    </xf>
    <xf numFmtId="1" fontId="25" fillId="29" borderId="35" xfId="0" quotePrefix="1" applyNumberFormat="1" applyFont="1" applyFill="1" applyBorder="1" applyAlignment="1" applyProtection="1">
      <alignment horizontal="center"/>
      <protection locked="0"/>
    </xf>
    <xf numFmtId="1" fontId="25" fillId="29" borderId="35" xfId="0" applyNumberFormat="1" applyFont="1" applyFill="1" applyBorder="1" applyAlignment="1" applyProtection="1">
      <alignment horizontal="center" vertical="center" wrapText="1"/>
      <protection locked="0"/>
    </xf>
    <xf numFmtId="37" fontId="15" fillId="26" borderId="82" xfId="0" applyNumberFormat="1" applyFont="1" applyFill="1" applyBorder="1" applyProtection="1"/>
    <xf numFmtId="37" fontId="1" fillId="0" borderId="0" xfId="0" quotePrefix="1" applyFont="1" applyAlignment="1" applyProtection="1">
      <alignment horizontal="left"/>
      <protection locked="0"/>
    </xf>
    <xf numFmtId="37" fontId="0" fillId="0" borderId="0" xfId="0" applyAlignment="1" applyProtection="1">
      <alignment horizontal="center" wrapText="1"/>
      <protection locked="0"/>
    </xf>
    <xf numFmtId="37" fontId="0" fillId="0" borderId="0" xfId="0" applyFill="1" applyAlignment="1" applyProtection="1">
      <alignment horizontal="left"/>
      <protection locked="0"/>
    </xf>
    <xf numFmtId="49" fontId="15" fillId="0" borderId="0" xfId="0" quotePrefix="1" applyNumberFormat="1" applyFont="1" applyFill="1" applyProtection="1">
      <protection locked="0"/>
    </xf>
    <xf numFmtId="1" fontId="15" fillId="0" borderId="0" xfId="0" quotePrefix="1" applyNumberFormat="1" applyFont="1" applyFill="1" applyAlignment="1">
      <alignment horizontal="left"/>
    </xf>
    <xf numFmtId="37" fontId="14" fillId="0" borderId="18" xfId="0" applyNumberFormat="1" applyFont="1" applyFill="1" applyBorder="1" applyProtection="1"/>
    <xf numFmtId="37" fontId="14" fillId="0" borderId="15" xfId="0" applyNumberFormat="1" applyFont="1" applyFill="1" applyBorder="1" applyProtection="1"/>
    <xf numFmtId="37" fontId="70" fillId="0" borderId="0" xfId="0" applyFont="1" applyAlignment="1">
      <alignment horizontal="right" wrapText="1"/>
    </xf>
    <xf numFmtId="37" fontId="0" fillId="0" borderId="0" xfId="0" applyFont="1"/>
    <xf numFmtId="37" fontId="0" fillId="0" borderId="0" xfId="0" applyFont="1" applyBorder="1"/>
    <xf numFmtId="37" fontId="0" fillId="0" borderId="0" xfId="0" applyFont="1" applyFill="1" applyBorder="1"/>
    <xf numFmtId="40" fontId="71" fillId="0" borderId="0" xfId="0" applyNumberFormat="1" applyFont="1" applyFill="1" applyBorder="1"/>
    <xf numFmtId="40" fontId="70" fillId="0" borderId="0" xfId="0" applyNumberFormat="1" applyFont="1" applyFill="1" applyBorder="1" applyAlignment="1">
      <alignment wrapText="1"/>
    </xf>
    <xf numFmtId="40" fontId="70" fillId="27" borderId="0" xfId="0" applyNumberFormat="1" applyFont="1" applyFill="1" applyBorder="1" applyAlignment="1">
      <alignment wrapText="1"/>
    </xf>
    <xf numFmtId="40" fontId="70" fillId="0" borderId="0" xfId="0" applyNumberFormat="1" applyFont="1" applyFill="1" applyBorder="1"/>
    <xf numFmtId="39" fontId="40" fillId="0" borderId="0" xfId="0" applyNumberFormat="1" applyFont="1" applyFill="1" applyBorder="1"/>
    <xf numFmtId="39" fontId="40" fillId="0" borderId="0" xfId="0" applyNumberFormat="1" applyFont="1" applyBorder="1"/>
    <xf numFmtId="40" fontId="40" fillId="27" borderId="0" xfId="0" applyNumberFormat="1" applyFont="1" applyFill="1" applyBorder="1"/>
    <xf numFmtId="37" fontId="70" fillId="0" borderId="0" xfId="0" applyFont="1" applyFill="1" applyAlignment="1">
      <alignment wrapText="1"/>
    </xf>
    <xf numFmtId="37" fontId="70" fillId="0" borderId="0" xfId="0" applyFont="1" applyFill="1" applyAlignment="1">
      <alignment horizontal="right" wrapText="1"/>
    </xf>
    <xf numFmtId="40" fontId="0" fillId="0" borderId="0" xfId="0" applyNumberFormat="1" applyFont="1" applyFill="1"/>
    <xf numFmtId="40" fontId="0" fillId="0" borderId="0" xfId="0" applyNumberFormat="1" applyFont="1" applyFill="1" applyBorder="1"/>
    <xf numFmtId="37" fontId="0" fillId="0" borderId="0" xfId="0" applyFont="1" applyFill="1"/>
    <xf numFmtId="37" fontId="70" fillId="0" borderId="0" xfId="0" applyFont="1" applyAlignment="1">
      <alignment wrapText="1"/>
    </xf>
    <xf numFmtId="37" fontId="38" fillId="0" borderId="0" xfId="0" applyNumberFormat="1" applyFont="1" applyAlignment="1">
      <alignment wrapText="1"/>
    </xf>
    <xf numFmtId="37" fontId="2" fillId="0" borderId="0" xfId="0" applyFont="1"/>
    <xf numFmtId="37" fontId="72" fillId="0" borderId="0" xfId="0" applyFont="1" applyAlignment="1" applyProtection="1">
      <alignment horizontal="left"/>
    </xf>
    <xf numFmtId="37" fontId="2" fillId="0" borderId="0" xfId="0" applyFont="1" applyAlignment="1" applyProtection="1">
      <alignment horizontal="right"/>
    </xf>
    <xf numFmtId="37" fontId="2" fillId="0" borderId="0" xfId="0" applyFont="1" applyAlignment="1" applyProtection="1">
      <alignment horizontal="left"/>
    </xf>
    <xf numFmtId="37" fontId="2" fillId="0" borderId="0" xfId="0" applyFont="1" applyFill="1"/>
    <xf numFmtId="37" fontId="73" fillId="0" borderId="23" xfId="0" applyNumberFormat="1" applyFont="1" applyBorder="1" applyProtection="1"/>
    <xf numFmtId="37" fontId="2" fillId="0" borderId="23" xfId="0" applyNumberFormat="1" applyFont="1" applyBorder="1" applyProtection="1"/>
    <xf numFmtId="37" fontId="2" fillId="0" borderId="0" xfId="0" applyFont="1" applyFill="1" applyBorder="1" applyProtection="1"/>
    <xf numFmtId="37" fontId="2" fillId="0" borderId="22" xfId="0" applyNumberFormat="1" applyFont="1" applyBorder="1" applyProtection="1"/>
    <xf numFmtId="37" fontId="2" fillId="0" borderId="43" xfId="0" applyFont="1" applyBorder="1"/>
    <xf numFmtId="37" fontId="2" fillId="0" borderId="0" xfId="0" applyFont="1" applyBorder="1"/>
    <xf numFmtId="37" fontId="2" fillId="0" borderId="16" xfId="0" applyFont="1" applyBorder="1"/>
    <xf numFmtId="37" fontId="0" fillId="0" borderId="0" xfId="0" quotePrefix="1" applyAlignment="1" applyProtection="1">
      <alignment horizontal="left" wrapText="1"/>
    </xf>
    <xf numFmtId="37" fontId="0" fillId="0" borderId="0" xfId="0" applyAlignment="1" applyProtection="1">
      <alignment horizontal="left" wrapText="1"/>
    </xf>
    <xf numFmtId="37" fontId="8" fillId="31" borderId="24" xfId="0" applyFont="1" applyFill="1" applyBorder="1" applyProtection="1"/>
    <xf numFmtId="37" fontId="68" fillId="0" borderId="0" xfId="0" applyFont="1" applyFill="1" applyAlignment="1" applyProtection="1">
      <alignment horizontal="left"/>
      <protection locked="0"/>
    </xf>
    <xf numFmtId="37" fontId="68" fillId="0" borderId="0" xfId="0" applyFont="1" applyFill="1" applyAlignment="1" applyProtection="1">
      <alignment horizontal="left"/>
    </xf>
    <xf numFmtId="37" fontId="68" fillId="0" borderId="0" xfId="0" applyFont="1"/>
    <xf numFmtId="49" fontId="0" fillId="0" borderId="0" xfId="0" quotePrefix="1" applyNumberFormat="1" applyProtection="1"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quotePrefix="1" applyNumberFormat="1" applyAlignment="1" applyProtection="1">
      <alignment horizontal="left"/>
      <protection locked="0"/>
    </xf>
    <xf numFmtId="37" fontId="0" fillId="0" borderId="0" xfId="0" applyAlignment="1" applyProtection="1">
      <alignment horizontal="left"/>
      <protection locked="0"/>
    </xf>
    <xf numFmtId="1" fontId="0" fillId="0" borderId="0" xfId="0" quotePrefix="1" applyNumberFormat="1" applyAlignment="1">
      <alignment horizontal="left"/>
    </xf>
    <xf numFmtId="1" fontId="0" fillId="0" borderId="0" xfId="0" quotePrefix="1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left"/>
      <protection locked="0"/>
    </xf>
    <xf numFmtId="1" fontId="75" fillId="0" borderId="0" xfId="0" quotePrefix="1" applyNumberFormat="1" applyFont="1" applyAlignment="1" applyProtection="1">
      <alignment horizontal="left"/>
      <protection locked="0"/>
    </xf>
    <xf numFmtId="37" fontId="75" fillId="0" borderId="0" xfId="0" quotePrefix="1" applyFont="1" applyProtection="1">
      <protection locked="0"/>
    </xf>
    <xf numFmtId="37" fontId="75" fillId="0" borderId="0" xfId="0" applyFont="1" applyAlignment="1" applyProtection="1">
      <alignment horizontal="left"/>
      <protection locked="0"/>
    </xf>
    <xf numFmtId="37" fontId="76" fillId="0" borderId="0" xfId="0" applyFont="1" applyFill="1" applyBorder="1"/>
    <xf numFmtId="37" fontId="0" fillId="0" borderId="0" xfId="0" quotePrefix="1" applyProtection="1">
      <protection locked="0"/>
    </xf>
    <xf numFmtId="37" fontId="15" fillId="0" borderId="0" xfId="0" applyFont="1" applyBorder="1" applyProtection="1">
      <protection locked="0"/>
    </xf>
    <xf numFmtId="37" fontId="8" fillId="0" borderId="0" xfId="0" applyFont="1" applyBorder="1" applyProtection="1">
      <protection locked="0"/>
    </xf>
    <xf numFmtId="37" fontId="8" fillId="0" borderId="0" xfId="0" applyFont="1" applyFill="1" applyAlignment="1" applyProtection="1">
      <alignment horizontal="left"/>
      <protection locked="0"/>
    </xf>
    <xf numFmtId="37" fontId="30" fillId="0" borderId="0" xfId="0" applyFont="1" applyFill="1" applyAlignment="1" applyProtection="1">
      <alignment vertical="center"/>
    </xf>
    <xf numFmtId="37" fontId="15" fillId="0" borderId="35" xfId="0" quotePrefix="1" applyNumberFormat="1" applyFont="1" applyFill="1" applyBorder="1" applyProtection="1"/>
    <xf numFmtId="39" fontId="0" fillId="0" borderId="0" xfId="0" applyNumberFormat="1"/>
    <xf numFmtId="1" fontId="15" fillId="0" borderId="0" xfId="0" applyNumberFormat="1" applyFont="1" applyFill="1" applyAlignment="1">
      <alignment horizontal="left"/>
    </xf>
    <xf numFmtId="37" fontId="15" fillId="0" borderId="0" xfId="0" applyFont="1" applyFill="1" applyAlignment="1">
      <alignment horizontal="center"/>
    </xf>
    <xf numFmtId="37" fontId="15" fillId="0" borderId="0" xfId="0" quotePrefix="1" applyNumberFormat="1" applyFont="1" applyFill="1" applyBorder="1" applyAlignment="1" applyProtection="1">
      <alignment horizontal="center"/>
      <protection locked="0"/>
    </xf>
    <xf numFmtId="37" fontId="3" fillId="0" borderId="41" xfId="0" applyNumberFormat="1" applyFont="1" applyFill="1" applyBorder="1" applyProtection="1">
      <protection locked="0"/>
    </xf>
    <xf numFmtId="37" fontId="3" fillId="0" borderId="0" xfId="0" applyNumberFormat="1" applyFont="1" applyFill="1" applyProtection="1"/>
    <xf numFmtId="37" fontId="15" fillId="32" borderId="41" xfId="0" applyNumberFormat="1" applyFont="1" applyFill="1" applyBorder="1" applyProtection="1"/>
    <xf numFmtId="1" fontId="15" fillId="0" borderId="0" xfId="0" applyNumberFormat="1" applyFont="1" applyFill="1" applyAlignment="1" applyProtection="1">
      <alignment horizontal="left"/>
      <protection locked="0"/>
    </xf>
    <xf numFmtId="37" fontId="15" fillId="0" borderId="0" xfId="0" applyFont="1" applyFill="1" applyAlignment="1" applyProtection="1">
      <alignment horizontal="center"/>
      <protection locked="0"/>
    </xf>
    <xf numFmtId="37" fontId="22" fillId="0" borderId="0" xfId="0" applyNumberFormat="1" applyFont="1" applyFill="1" applyProtection="1">
      <protection locked="0"/>
    </xf>
    <xf numFmtId="37" fontId="77" fillId="0" borderId="0" xfId="0" applyFont="1" applyAlignment="1" applyProtection="1">
      <alignment horizontal="center"/>
      <protection locked="0"/>
    </xf>
    <xf numFmtId="37" fontId="2" fillId="0" borderId="0" xfId="0" applyFont="1" applyBorder="1" applyAlignment="1" applyProtection="1">
      <alignment horizontal="left"/>
    </xf>
    <xf numFmtId="37" fontId="2" fillId="0" borderId="0" xfId="0" applyFont="1" applyBorder="1" applyProtection="1"/>
    <xf numFmtId="37" fontId="2" fillId="0" borderId="0" xfId="0" applyFont="1" applyBorder="1" applyAlignment="1" applyProtection="1">
      <alignment horizontal="right"/>
    </xf>
    <xf numFmtId="37" fontId="2" fillId="0" borderId="0" xfId="0" applyFont="1" applyBorder="1" applyAlignment="1">
      <alignment horizontal="right"/>
    </xf>
    <xf numFmtId="37" fontId="72" fillId="0" borderId="0" xfId="0" applyFont="1" applyBorder="1" applyAlignment="1" applyProtection="1">
      <alignment horizontal="right"/>
    </xf>
    <xf numFmtId="37" fontId="2" fillId="0" borderId="58" xfId="0" applyFont="1" applyBorder="1"/>
    <xf numFmtId="37" fontId="2" fillId="0" borderId="60" xfId="0" applyFont="1" applyBorder="1"/>
    <xf numFmtId="37" fontId="2" fillId="0" borderId="58" xfId="0" applyFont="1" applyBorder="1" applyAlignment="1" applyProtection="1">
      <alignment horizontal="left"/>
    </xf>
    <xf numFmtId="37" fontId="32" fillId="0" borderId="60" xfId="0" applyFont="1" applyBorder="1" applyAlignment="1" applyProtection="1">
      <alignment horizontal="left"/>
    </xf>
    <xf numFmtId="37" fontId="2" fillId="0" borderId="60" xfId="0" applyFont="1" applyBorder="1" applyProtection="1"/>
    <xf numFmtId="37" fontId="2" fillId="0" borderId="58" xfId="0" quotePrefix="1" applyFont="1" applyBorder="1" applyAlignment="1" applyProtection="1">
      <alignment horizontal="left"/>
    </xf>
    <xf numFmtId="37" fontId="73" fillId="0" borderId="60" xfId="0" applyNumberFormat="1" applyFont="1" applyBorder="1" applyProtection="1"/>
    <xf numFmtId="37" fontId="2" fillId="0" borderId="58" xfId="0" applyFont="1" applyFill="1" applyBorder="1"/>
    <xf numFmtId="37" fontId="73" fillId="0" borderId="60" xfId="0" applyFont="1" applyBorder="1" applyProtection="1"/>
    <xf numFmtId="37" fontId="2" fillId="0" borderId="60" xfId="0" applyNumberFormat="1" applyFont="1" applyBorder="1" applyProtection="1"/>
    <xf numFmtId="37" fontId="2" fillId="0" borderId="104" xfId="0" applyFont="1" applyBorder="1"/>
    <xf numFmtId="37" fontId="2" fillId="0" borderId="105" xfId="0" applyFont="1" applyBorder="1"/>
    <xf numFmtId="37" fontId="2" fillId="0" borderId="63" xfId="0" applyFont="1" applyBorder="1"/>
    <xf numFmtId="37" fontId="2" fillId="0" borderId="106" xfId="0" applyFont="1" applyBorder="1"/>
    <xf numFmtId="37" fontId="2" fillId="0" borderId="68" xfId="0" applyFont="1" applyBorder="1"/>
    <xf numFmtId="37" fontId="2" fillId="0" borderId="59" xfId="0" applyFont="1" applyBorder="1"/>
    <xf numFmtId="37" fontId="2" fillId="0" borderId="50" xfId="0" applyFont="1" applyBorder="1"/>
    <xf numFmtId="37" fontId="2" fillId="0" borderId="60" xfId="0" applyFont="1" applyBorder="1" applyAlignment="1">
      <alignment horizontal="center"/>
    </xf>
    <xf numFmtId="37" fontId="0" fillId="0" borderId="60" xfId="0" applyFill="1" applyBorder="1"/>
    <xf numFmtId="37" fontId="0" fillId="0" borderId="0" xfId="0" applyBorder="1" applyAlignment="1">
      <alignment horizontal="center" wrapText="1"/>
    </xf>
    <xf numFmtId="37" fontId="0" fillId="0" borderId="60" xfId="0" applyBorder="1" applyAlignment="1">
      <alignment horizontal="center" wrapText="1"/>
    </xf>
    <xf numFmtId="37" fontId="2" fillId="0" borderId="103" xfId="0" applyFont="1" applyBorder="1"/>
    <xf numFmtId="37" fontId="0" fillId="0" borderId="58" xfId="0" applyFill="1" applyBorder="1"/>
    <xf numFmtId="37" fontId="0" fillId="0" borderId="58" xfId="0" applyBorder="1" applyAlignment="1">
      <alignment horizontal="center" wrapText="1"/>
    </xf>
    <xf numFmtId="37" fontId="2" fillId="0" borderId="68" xfId="0" applyFont="1" applyBorder="1" applyProtection="1"/>
    <xf numFmtId="37" fontId="2" fillId="0" borderId="107" xfId="0" applyFont="1" applyBorder="1"/>
    <xf numFmtId="37" fontId="32" fillId="0" borderId="0" xfId="0" applyFont="1"/>
    <xf numFmtId="37" fontId="0" fillId="0" borderId="50" xfId="0" applyBorder="1"/>
    <xf numFmtId="37" fontId="0" fillId="0" borderId="60" xfId="0" applyBorder="1"/>
    <xf numFmtId="37" fontId="32" fillId="0" borderId="0" xfId="0" applyFont="1" applyBorder="1" applyAlignment="1" applyProtection="1">
      <alignment horizontal="left"/>
    </xf>
    <xf numFmtId="37" fontId="73" fillId="0" borderId="0" xfId="0" applyNumberFormat="1" applyFont="1" applyBorder="1" applyProtection="1"/>
    <xf numFmtId="37" fontId="73" fillId="0" borderId="0" xfId="0" applyFont="1" applyBorder="1" applyProtection="1"/>
    <xf numFmtId="37" fontId="0" fillId="0" borderId="68" xfId="0" applyBorder="1"/>
    <xf numFmtId="37" fontId="0" fillId="0" borderId="103" xfId="0" applyBorder="1"/>
    <xf numFmtId="37" fontId="0" fillId="0" borderId="58" xfId="0" applyBorder="1"/>
    <xf numFmtId="37" fontId="2" fillId="0" borderId="0" xfId="0" quotePrefix="1" applyFont="1" applyBorder="1" applyAlignment="1" applyProtection="1">
      <alignment horizontal="left"/>
    </xf>
    <xf numFmtId="37" fontId="2" fillId="0" borderId="0" xfId="0" applyFont="1" applyFill="1" applyBorder="1"/>
    <xf numFmtId="37" fontId="0" fillId="0" borderId="63" xfId="0" applyBorder="1"/>
    <xf numFmtId="37" fontId="0" fillId="0" borderId="0" xfId="0" applyFont="1" applyAlignment="1" applyProtection="1">
      <alignment vertical="top"/>
      <protection locked="0"/>
    </xf>
    <xf numFmtId="37" fontId="8" fillId="0" borderId="0" xfId="0" applyFont="1" applyFill="1" applyProtection="1">
      <protection locked="0"/>
    </xf>
    <xf numFmtId="37" fontId="15" fillId="0" borderId="0" xfId="0" quotePrefix="1" applyFont="1" applyFill="1" applyProtection="1">
      <protection locked="0"/>
    </xf>
    <xf numFmtId="37" fontId="3" fillId="32" borderId="23" xfId="0" applyNumberFormat="1" applyFont="1" applyFill="1" applyBorder="1" applyProtection="1">
      <protection locked="0"/>
    </xf>
    <xf numFmtId="37" fontId="15" fillId="0" borderId="0" xfId="0" quotePrefix="1" applyFont="1" applyFill="1" applyAlignment="1">
      <alignment horizontal="left" vertical="top"/>
    </xf>
    <xf numFmtId="37" fontId="15" fillId="0" borderId="0" xfId="0" quotePrefix="1" applyFont="1" applyAlignment="1">
      <alignment horizontal="left" vertical="top"/>
    </xf>
    <xf numFmtId="37" fontId="8" fillId="0" borderId="0" xfId="0" applyFont="1" applyFill="1" applyBorder="1" applyAlignment="1" applyProtection="1">
      <alignment horizontal="left"/>
    </xf>
    <xf numFmtId="37" fontId="79" fillId="0" borderId="0" xfId="0" applyFont="1"/>
    <xf numFmtId="49" fontId="0" fillId="0" borderId="0" xfId="0" applyNumberFormat="1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vertical="top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Fill="1" applyBorder="1" applyAlignment="1" applyProtection="1">
      <alignment vertical="top"/>
      <protection locked="0"/>
    </xf>
    <xf numFmtId="49" fontId="0" fillId="0" borderId="0" xfId="0" quotePrefix="1" applyNumberFormat="1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Border="1" applyAlignment="1" applyProtection="1">
      <alignment vertical="top"/>
      <protection locked="0"/>
    </xf>
    <xf numFmtId="37" fontId="0" fillId="0" borderId="0" xfId="0" quotePrefix="1" applyFont="1" applyFill="1" applyBorder="1" applyAlignment="1" applyProtection="1">
      <alignment horizontal="left" vertical="top"/>
      <protection locked="0"/>
    </xf>
    <xf numFmtId="49" fontId="0" fillId="0" borderId="0" xfId="0" quotePrefix="1" applyNumberFormat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 wrapText="1"/>
      <protection locked="0"/>
    </xf>
    <xf numFmtId="37" fontId="0" fillId="0" borderId="0" xfId="0" quotePrefix="1" applyFont="1" applyProtection="1">
      <protection locked="0"/>
    </xf>
    <xf numFmtId="37" fontId="0" fillId="0" borderId="0" xfId="0" quotePrefix="1" applyFont="1" applyFill="1" applyAlignment="1" applyProtection="1">
      <alignment vertical="top"/>
      <protection locked="0"/>
    </xf>
    <xf numFmtId="37" fontId="0" fillId="0" borderId="0" xfId="0" applyNumberFormat="1" applyFont="1" applyAlignment="1" applyProtection="1">
      <alignment horizontal="center" wrapText="1"/>
      <protection locked="0"/>
    </xf>
    <xf numFmtId="37" fontId="0" fillId="0" borderId="106" xfId="0" applyNumberFormat="1" applyFont="1" applyBorder="1" applyAlignment="1" applyProtection="1">
      <alignment horizontal="center" wrapText="1"/>
      <protection locked="0"/>
    </xf>
    <xf numFmtId="37" fontId="0" fillId="0" borderId="0" xfId="0" applyNumberFormat="1" applyFont="1" applyBorder="1" applyAlignment="1" applyProtection="1">
      <alignment horizontal="center" wrapText="1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</xf>
    <xf numFmtId="37" fontId="0" fillId="0" borderId="0" xfId="0" applyFont="1" applyAlignment="1" applyProtection="1">
      <alignment horizontal="left"/>
    </xf>
    <xf numFmtId="49" fontId="0" fillId="0" borderId="0" xfId="0" quotePrefix="1" applyNumberFormat="1" applyFont="1" applyFill="1" applyProtection="1">
      <protection locked="0"/>
    </xf>
    <xf numFmtId="37" fontId="0" fillId="0" borderId="0" xfId="0" applyFont="1" applyProtection="1"/>
    <xf numFmtId="37" fontId="0" fillId="0" borderId="0" xfId="0" applyFont="1" applyProtection="1">
      <protection locked="0"/>
    </xf>
    <xf numFmtId="37" fontId="3" fillId="0" borderId="108" xfId="0" applyNumberFormat="1" applyFont="1" applyBorder="1" applyProtection="1">
      <protection locked="0"/>
    </xf>
    <xf numFmtId="40" fontId="26" fillId="0" borderId="0" xfId="0" applyNumberFormat="1" applyFont="1" applyFill="1" applyBorder="1"/>
    <xf numFmtId="37" fontId="35" fillId="0" borderId="0" xfId="0" applyFont="1" applyAlignment="1" applyProtection="1">
      <alignment horizontal="center"/>
      <protection locked="0"/>
    </xf>
    <xf numFmtId="37" fontId="8" fillId="0" borderId="0" xfId="0" applyFont="1" applyAlignment="1" applyProtection="1">
      <alignment horizontal="left" wrapText="1"/>
      <protection locked="0"/>
    </xf>
    <xf numFmtId="37" fontId="8" fillId="0" borderId="0" xfId="0" applyFont="1" applyBorder="1" applyAlignment="1" applyProtection="1">
      <alignment horizontal="left" wrapText="1"/>
      <protection locked="0"/>
    </xf>
    <xf numFmtId="37" fontId="8" fillId="0" borderId="0" xfId="0" applyFont="1" applyAlignment="1" applyProtection="1">
      <alignment horizontal="left" wrapText="1"/>
    </xf>
    <xf numFmtId="37" fontId="8" fillId="0" borderId="0" xfId="0" applyFont="1" applyBorder="1" applyAlignment="1" applyProtection="1">
      <alignment horizontal="left" wrapText="1"/>
    </xf>
    <xf numFmtId="37" fontId="15" fillId="0" borderId="0" xfId="0" applyFont="1" applyAlignment="1">
      <alignment horizontal="left" vertical="top" wrapText="1"/>
    </xf>
    <xf numFmtId="37" fontId="8" fillId="0" borderId="0" xfId="0" applyFont="1" applyAlignment="1" applyProtection="1">
      <alignment wrapText="1"/>
    </xf>
    <xf numFmtId="37" fontId="8" fillId="0" borderId="0" xfId="0" applyFont="1" applyBorder="1" applyAlignment="1" applyProtection="1">
      <alignment wrapText="1"/>
    </xf>
    <xf numFmtId="37" fontId="8" fillId="0" borderId="60" xfId="0" applyFont="1" applyBorder="1" applyAlignment="1" applyProtection="1">
      <alignment wrapText="1"/>
    </xf>
    <xf numFmtId="37" fontId="3" fillId="0" borderId="0" xfId="0" applyFont="1" applyAlignment="1">
      <alignment horizontal="left" wrapText="1"/>
    </xf>
    <xf numFmtId="37" fontId="8" fillId="0" borderId="60" xfId="0" applyFont="1" applyBorder="1" applyAlignment="1" applyProtection="1">
      <alignment horizontal="left" wrapText="1"/>
    </xf>
    <xf numFmtId="37" fontId="74" fillId="0" borderId="59" xfId="0" applyFont="1" applyBorder="1" applyAlignment="1" applyProtection="1">
      <alignment horizontal="center"/>
    </xf>
    <xf numFmtId="37" fontId="74" fillId="0" borderId="103" xfId="0" applyFont="1" applyBorder="1" applyAlignment="1" applyProtection="1">
      <alignment horizontal="center"/>
    </xf>
    <xf numFmtId="37" fontId="74" fillId="0" borderId="50" xfId="0" applyFont="1" applyBorder="1" applyAlignment="1" applyProtection="1">
      <alignment horizontal="center"/>
    </xf>
    <xf numFmtId="37" fontId="2" fillId="0" borderId="58" xfId="0" applyFont="1" applyBorder="1" applyAlignment="1" applyProtection="1">
      <alignment horizontal="center" wrapText="1"/>
    </xf>
    <xf numFmtId="37" fontId="0" fillId="0" borderId="0" xfId="0" applyBorder="1" applyAlignment="1">
      <alignment horizontal="center" wrapText="1"/>
    </xf>
    <xf numFmtId="37" fontId="0" fillId="0" borderId="60" xfId="0" applyBorder="1" applyAlignment="1">
      <alignment horizontal="center" wrapText="1"/>
    </xf>
    <xf numFmtId="37" fontId="0" fillId="0" borderId="58" xfId="0" applyBorder="1" applyAlignment="1">
      <alignment horizontal="center" wrapText="1"/>
    </xf>
    <xf numFmtId="37" fontId="74" fillId="0" borderId="58" xfId="0" applyFont="1" applyBorder="1" applyAlignment="1" applyProtection="1">
      <alignment horizont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_Fund 22 Grants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32"/>
  <sheetViews>
    <sheetView tabSelected="1" zoomScale="75" zoomScaleNormal="75" workbookViewId="0">
      <selection sqref="A1:B1"/>
    </sheetView>
  </sheetViews>
  <sheetFormatPr defaultRowHeight="15.75" customHeight="1" x14ac:dyDescent="0.2"/>
  <cols>
    <col min="1" max="1" width="5.33203125" style="387" customWidth="1"/>
    <col min="2" max="2" width="142" style="387" customWidth="1"/>
    <col min="3" max="16384" width="9.33203125" style="387"/>
  </cols>
  <sheetData>
    <row r="1" spans="1:15" ht="20.25" x14ac:dyDescent="0.3">
      <c r="A1" s="725" t="s">
        <v>53</v>
      </c>
      <c r="B1" s="725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</row>
    <row r="2" spans="1:15" ht="15.75" customHeight="1" x14ac:dyDescent="0.3">
      <c r="A2" s="649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</row>
    <row r="3" spans="1:15" s="388" customFormat="1" ht="15.75" customHeight="1" x14ac:dyDescent="0.15"/>
    <row r="4" spans="1:15" ht="15.75" customHeight="1" x14ac:dyDescent="0.2">
      <c r="A4" s="389" t="s">
        <v>560</v>
      </c>
      <c r="B4" s="387" t="s">
        <v>103</v>
      </c>
    </row>
    <row r="5" spans="1:15" ht="15.75" customHeight="1" x14ac:dyDescent="0.25">
      <c r="B5" s="390"/>
    </row>
    <row r="6" spans="1:15" ht="15.75" customHeight="1" x14ac:dyDescent="0.25">
      <c r="B6" s="391" t="s">
        <v>954</v>
      </c>
    </row>
    <row r="7" spans="1:15" ht="15.75" customHeight="1" x14ac:dyDescent="0.25">
      <c r="B7" s="390"/>
    </row>
    <row r="8" spans="1:15" ht="15.75" customHeight="1" x14ac:dyDescent="0.25">
      <c r="B8" s="390"/>
    </row>
    <row r="9" spans="1:15" ht="15.75" customHeight="1" x14ac:dyDescent="0.25">
      <c r="A9" s="389" t="s">
        <v>561</v>
      </c>
      <c r="B9" s="392" t="s">
        <v>57</v>
      </c>
    </row>
    <row r="10" spans="1:15" ht="15.75" customHeight="1" x14ac:dyDescent="0.2">
      <c r="B10" s="393" t="s">
        <v>55</v>
      </c>
    </row>
    <row r="11" spans="1:15" ht="15.75" customHeight="1" x14ac:dyDescent="0.2">
      <c r="B11" s="393" t="s">
        <v>54</v>
      </c>
    </row>
    <row r="12" spans="1:15" ht="15.75" customHeight="1" x14ac:dyDescent="0.2">
      <c r="B12" s="393" t="s">
        <v>56</v>
      </c>
    </row>
    <row r="13" spans="1:15" ht="15.75" customHeight="1" x14ac:dyDescent="0.2">
      <c r="B13" s="393" t="s">
        <v>58</v>
      </c>
    </row>
    <row r="14" spans="1:15" ht="15.75" customHeight="1" x14ac:dyDescent="0.2">
      <c r="B14" s="393"/>
    </row>
    <row r="15" spans="1:15" ht="15.75" customHeight="1" x14ac:dyDescent="0.2">
      <c r="B15" s="393"/>
    </row>
    <row r="16" spans="1:15" ht="15.75" customHeight="1" x14ac:dyDescent="0.2">
      <c r="A16" s="389" t="s">
        <v>562</v>
      </c>
      <c r="B16" s="387" t="s">
        <v>60</v>
      </c>
    </row>
    <row r="17" spans="1:2" ht="15.75" customHeight="1" x14ac:dyDescent="0.2">
      <c r="A17" s="389"/>
    </row>
    <row r="18" spans="1:2" ht="15.75" customHeight="1" x14ac:dyDescent="0.2">
      <c r="A18" s="389"/>
    </row>
    <row r="19" spans="1:2" ht="15.75" customHeight="1" x14ac:dyDescent="0.2">
      <c r="A19" s="389"/>
    </row>
    <row r="20" spans="1:2" ht="15.75" customHeight="1" x14ac:dyDescent="0.2">
      <c r="A20" s="389" t="s">
        <v>625</v>
      </c>
      <c r="B20" s="394" t="s">
        <v>794</v>
      </c>
    </row>
    <row r="21" spans="1:2" ht="15.75" customHeight="1" x14ac:dyDescent="0.2">
      <c r="B21" s="394" t="s">
        <v>98</v>
      </c>
    </row>
    <row r="22" spans="1:2" ht="15.75" customHeight="1" x14ac:dyDescent="0.2">
      <c r="B22" s="387" t="s">
        <v>100</v>
      </c>
    </row>
    <row r="25" spans="1:2" ht="15.75" customHeight="1" x14ac:dyDescent="0.2">
      <c r="A25" s="389" t="s">
        <v>626</v>
      </c>
      <c r="B25" s="394" t="s">
        <v>1367</v>
      </c>
    </row>
    <row r="26" spans="1:2" ht="15.75" customHeight="1" x14ac:dyDescent="0.2">
      <c r="B26" s="394" t="s">
        <v>1366</v>
      </c>
    </row>
    <row r="28" spans="1:2" ht="15.75" customHeight="1" x14ac:dyDescent="0.2">
      <c r="B28" s="394"/>
    </row>
    <row r="29" spans="1:2" ht="15.75" customHeight="1" x14ac:dyDescent="0.2">
      <c r="A29" s="389" t="s">
        <v>627</v>
      </c>
      <c r="B29" s="394" t="s">
        <v>893</v>
      </c>
    </row>
    <row r="30" spans="1:2" ht="15.75" customHeight="1" x14ac:dyDescent="0.2">
      <c r="B30" s="387" t="s">
        <v>102</v>
      </c>
    </row>
    <row r="32" spans="1:2" ht="15.75" customHeight="1" x14ac:dyDescent="0.2">
      <c r="A32" s="389" t="s">
        <v>628</v>
      </c>
      <c r="B32" s="387" t="s">
        <v>1382</v>
      </c>
    </row>
  </sheetData>
  <sheetProtection formatCells="0" formatColumns="0" formatRows="0"/>
  <mergeCells count="1">
    <mergeCell ref="A1:B1"/>
  </mergeCells>
  <phoneticPr fontId="15" type="noConversion"/>
  <pageMargins left="0.5" right="0.25" top="0.5" bottom="0.5" header="0.5" footer="0.25"/>
  <pageSetup scale="85" orientation="portrait" horizontalDpi="300" verticalDpi="300" r:id="rId1"/>
  <headerFooter alignWithMargins="0">
    <oddFooter>&amp;LCDE, Public School Finance Unit&amp;RRevised, March, 2009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J139"/>
  <sheetViews>
    <sheetView topLeftCell="A93" zoomScaleNormal="100" workbookViewId="0">
      <selection activeCell="A2" sqref="A2"/>
    </sheetView>
  </sheetViews>
  <sheetFormatPr defaultRowHeight="10.5" x14ac:dyDescent="0.15"/>
  <cols>
    <col min="1" max="1" width="10.83203125" style="155" customWidth="1"/>
    <col min="2" max="2" width="4.33203125" style="155" customWidth="1"/>
    <col min="3" max="3" width="73" style="155" customWidth="1"/>
    <col min="4" max="4" width="15.83203125" style="155" customWidth="1"/>
    <col min="5" max="5" width="17.83203125" style="155" customWidth="1"/>
    <col min="6" max="6" width="17" style="155" customWidth="1"/>
    <col min="7" max="7" width="17.33203125" style="155" customWidth="1"/>
    <col min="8" max="9" width="18.1640625" style="155" customWidth="1"/>
    <col min="10" max="16384" width="9.33203125" style="155"/>
  </cols>
  <sheetData>
    <row r="1" spans="1:9" x14ac:dyDescent="0.15">
      <c r="A1" s="155" t="s">
        <v>1044</v>
      </c>
      <c r="C1" s="160">
        <f>+'Page 1 - FY2016-17'!B5</f>
        <v>0</v>
      </c>
      <c r="D1" s="155" t="s">
        <v>889</v>
      </c>
      <c r="E1" s="161">
        <f>+'Page 1 - FY2016-17'!F7</f>
        <v>0</v>
      </c>
      <c r="G1" s="37" t="s">
        <v>891</v>
      </c>
    </row>
    <row r="2" spans="1:9" x14ac:dyDescent="0.15">
      <c r="A2" s="15" t="s">
        <v>1573</v>
      </c>
    </row>
    <row r="3" spans="1:9" ht="31.5" x14ac:dyDescent="0.15">
      <c r="D3" s="580" t="s">
        <v>1607</v>
      </c>
      <c r="E3" s="580" t="s">
        <v>1606</v>
      </c>
      <c r="F3" s="580" t="s">
        <v>1605</v>
      </c>
      <c r="G3" s="580" t="s">
        <v>1604</v>
      </c>
      <c r="H3" s="580" t="s">
        <v>1603</v>
      </c>
      <c r="I3" s="580" t="s">
        <v>1602</v>
      </c>
    </row>
    <row r="4" spans="1:9" ht="52.5" x14ac:dyDescent="0.15">
      <c r="D4" s="424"/>
      <c r="E4" s="424"/>
      <c r="F4" s="424"/>
      <c r="G4" s="424"/>
      <c r="H4" s="713" t="s">
        <v>1541</v>
      </c>
      <c r="I4" s="715" t="s">
        <v>1516</v>
      </c>
    </row>
    <row r="5" spans="1:9" x14ac:dyDescent="0.15">
      <c r="D5" s="163"/>
      <c r="E5" s="163"/>
      <c r="F5" s="163"/>
      <c r="G5" s="163"/>
    </row>
    <row r="6" spans="1:9" ht="11.25" thickBot="1" x14ac:dyDescent="0.2">
      <c r="D6" s="163"/>
      <c r="E6" s="163"/>
      <c r="F6" s="163"/>
      <c r="G6" s="163"/>
      <c r="I6" s="164"/>
    </row>
    <row r="7" spans="1:9" ht="11.25" thickBot="1" x14ac:dyDescent="0.2">
      <c r="A7" s="18" t="s">
        <v>1132</v>
      </c>
      <c r="B7" s="34" t="s">
        <v>892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168">
        <f>G7+H7</f>
        <v>0</v>
      </c>
    </row>
    <row r="8" spans="1:9" x14ac:dyDescent="0.15">
      <c r="A8" s="150" t="s">
        <v>895</v>
      </c>
      <c r="C8" s="206" t="s">
        <v>1133</v>
      </c>
      <c r="D8" s="175"/>
      <c r="E8" s="167"/>
      <c r="F8" s="167"/>
      <c r="G8" s="167"/>
      <c r="I8" s="164"/>
    </row>
    <row r="9" spans="1:9" x14ac:dyDescent="0.15">
      <c r="A9" s="114" t="s">
        <v>549</v>
      </c>
      <c r="B9" s="157" t="s">
        <v>560</v>
      </c>
      <c r="C9" s="114" t="s">
        <v>547</v>
      </c>
      <c r="D9" s="144">
        <v>0</v>
      </c>
      <c r="E9" s="144">
        <v>0</v>
      </c>
      <c r="F9" s="144">
        <v>0</v>
      </c>
      <c r="G9" s="144">
        <v>0</v>
      </c>
      <c r="H9" s="144">
        <v>0</v>
      </c>
      <c r="I9" s="465">
        <f>G9+H9</f>
        <v>0</v>
      </c>
    </row>
    <row r="10" spans="1:9" x14ac:dyDescent="0.15">
      <c r="A10" s="149" t="s">
        <v>548</v>
      </c>
      <c r="B10" s="157" t="s">
        <v>561</v>
      </c>
      <c r="C10" s="114" t="s">
        <v>550</v>
      </c>
      <c r="D10" s="144">
        <v>0</v>
      </c>
      <c r="E10" s="144">
        <v>0</v>
      </c>
      <c r="F10" s="144">
        <v>0</v>
      </c>
      <c r="G10" s="144">
        <v>0</v>
      </c>
      <c r="H10" s="144">
        <v>0</v>
      </c>
      <c r="I10" s="465">
        <f t="shared" ref="I10:I15" si="0">G10+H10</f>
        <v>0</v>
      </c>
    </row>
    <row r="11" spans="1:9" x14ac:dyDescent="0.15">
      <c r="A11" s="114" t="s">
        <v>1328</v>
      </c>
      <c r="B11" s="157" t="s">
        <v>562</v>
      </c>
      <c r="C11" s="114" t="s">
        <v>551</v>
      </c>
      <c r="D11" s="144">
        <v>0</v>
      </c>
      <c r="E11" s="144">
        <v>0</v>
      </c>
      <c r="F11" s="144">
        <v>0</v>
      </c>
      <c r="G11" s="144">
        <v>0</v>
      </c>
      <c r="H11" s="144">
        <v>0</v>
      </c>
      <c r="I11" s="465">
        <f t="shared" si="0"/>
        <v>0</v>
      </c>
    </row>
    <row r="12" spans="1:9" x14ac:dyDescent="0.15">
      <c r="A12" s="114" t="s">
        <v>1329</v>
      </c>
      <c r="B12" s="157" t="s">
        <v>625</v>
      </c>
      <c r="C12" s="114" t="s">
        <v>552</v>
      </c>
      <c r="D12" s="144">
        <v>0</v>
      </c>
      <c r="E12" s="144">
        <v>0</v>
      </c>
      <c r="F12" s="144">
        <v>0</v>
      </c>
      <c r="G12" s="144">
        <v>0</v>
      </c>
      <c r="H12" s="144">
        <v>0</v>
      </c>
      <c r="I12" s="465">
        <f t="shared" si="0"/>
        <v>0</v>
      </c>
    </row>
    <row r="13" spans="1:9" x14ac:dyDescent="0.15">
      <c r="A13" s="159" t="s">
        <v>1043</v>
      </c>
      <c r="B13" s="201" t="s">
        <v>626</v>
      </c>
      <c r="C13" s="2" t="s">
        <v>303</v>
      </c>
      <c r="D13" s="144">
        <v>0</v>
      </c>
      <c r="E13" s="144">
        <v>0</v>
      </c>
      <c r="F13" s="144">
        <v>0</v>
      </c>
      <c r="G13" s="144">
        <v>0</v>
      </c>
      <c r="H13" s="144">
        <v>0</v>
      </c>
      <c r="I13" s="465">
        <f t="shared" si="0"/>
        <v>0</v>
      </c>
    </row>
    <row r="14" spans="1:9" x14ac:dyDescent="0.15">
      <c r="A14" s="149" t="s">
        <v>240</v>
      </c>
      <c r="B14" s="157" t="s">
        <v>627</v>
      </c>
      <c r="C14" s="114" t="s">
        <v>553</v>
      </c>
      <c r="D14" s="144">
        <v>0</v>
      </c>
      <c r="E14" s="144">
        <v>0</v>
      </c>
      <c r="F14" s="144">
        <v>0</v>
      </c>
      <c r="G14" s="144">
        <v>0</v>
      </c>
      <c r="H14" s="144">
        <v>0</v>
      </c>
      <c r="I14" s="465">
        <f t="shared" si="0"/>
        <v>0</v>
      </c>
    </row>
    <row r="15" spans="1:9" x14ac:dyDescent="0.15">
      <c r="A15" s="149"/>
      <c r="B15" s="157" t="s">
        <v>628</v>
      </c>
      <c r="C15" s="114" t="s">
        <v>1149</v>
      </c>
      <c r="D15" s="144">
        <v>0</v>
      </c>
      <c r="E15" s="144">
        <v>0</v>
      </c>
      <c r="F15" s="144">
        <v>0</v>
      </c>
      <c r="G15" s="144">
        <v>0</v>
      </c>
      <c r="H15" s="144">
        <v>0</v>
      </c>
      <c r="I15" s="465">
        <f t="shared" si="0"/>
        <v>0</v>
      </c>
    </row>
    <row r="16" spans="1:9" ht="11.25" thickBot="1" x14ac:dyDescent="0.2">
      <c r="A16" s="149"/>
      <c r="C16" s="114"/>
      <c r="D16" s="176"/>
      <c r="E16" s="14"/>
      <c r="F16" s="167"/>
      <c r="G16" s="167"/>
      <c r="I16" s="164"/>
    </row>
    <row r="17" spans="1:10" ht="12" thickTop="1" thickBot="1" x14ac:dyDescent="0.2">
      <c r="B17" s="200" t="s">
        <v>629</v>
      </c>
      <c r="C17" s="34" t="s">
        <v>1297</v>
      </c>
      <c r="D17" s="166">
        <f t="shared" ref="D17:I17" si="1">SUM(D8:D15)</f>
        <v>0</v>
      </c>
      <c r="E17" s="166">
        <f t="shared" si="1"/>
        <v>0</v>
      </c>
      <c r="F17" s="166">
        <f t="shared" si="1"/>
        <v>0</v>
      </c>
      <c r="G17" s="166">
        <f t="shared" si="1"/>
        <v>0</v>
      </c>
      <c r="H17" s="166">
        <f t="shared" si="1"/>
        <v>0</v>
      </c>
      <c r="I17" s="166">
        <f t="shared" si="1"/>
        <v>0</v>
      </c>
    </row>
    <row r="18" spans="1:10" ht="12" thickTop="1" thickBot="1" x14ac:dyDescent="0.2">
      <c r="C18" s="149"/>
      <c r="D18" s="167"/>
      <c r="E18" s="167"/>
      <c r="F18" s="167"/>
      <c r="G18" s="167"/>
      <c r="I18" s="164"/>
    </row>
    <row r="19" spans="1:10" ht="11.25" thickBot="1" x14ac:dyDescent="0.2">
      <c r="A19" s="34" t="s">
        <v>568</v>
      </c>
      <c r="D19" s="168">
        <f t="shared" ref="D19:I19" si="2">D7+D17</f>
        <v>0</v>
      </c>
      <c r="E19" s="168">
        <f t="shared" si="2"/>
        <v>0</v>
      </c>
      <c r="F19" s="168">
        <f t="shared" si="2"/>
        <v>0</v>
      </c>
      <c r="G19" s="168">
        <f t="shared" si="2"/>
        <v>0</v>
      </c>
      <c r="H19" s="168">
        <f t="shared" si="2"/>
        <v>0</v>
      </c>
      <c r="I19" s="168">
        <f t="shared" si="2"/>
        <v>0</v>
      </c>
    </row>
    <row r="20" spans="1:10" x14ac:dyDescent="0.15">
      <c r="E20" s="156"/>
      <c r="F20" s="156"/>
      <c r="G20" s="156"/>
      <c r="I20" s="164"/>
    </row>
    <row r="21" spans="1:10" x14ac:dyDescent="0.15">
      <c r="A21" s="563" t="s">
        <v>290</v>
      </c>
      <c r="B21" s="413"/>
      <c r="C21" s="427" t="s">
        <v>286</v>
      </c>
      <c r="D21" s="412"/>
      <c r="E21" s="412"/>
      <c r="F21" s="412"/>
      <c r="G21" s="412"/>
      <c r="H21" s="412"/>
      <c r="I21" s="176"/>
    </row>
    <row r="22" spans="1:10" x14ac:dyDescent="0.15">
      <c r="A22" s="417" t="s">
        <v>1043</v>
      </c>
      <c r="B22" s="433" t="s">
        <v>766</v>
      </c>
      <c r="C22" s="2" t="s">
        <v>984</v>
      </c>
      <c r="D22" s="40">
        <v>0</v>
      </c>
      <c r="E22" s="40">
        <v>0</v>
      </c>
      <c r="F22" s="40">
        <v>0</v>
      </c>
      <c r="G22" s="40">
        <v>0</v>
      </c>
      <c r="H22" s="463">
        <v>0</v>
      </c>
      <c r="I22" s="464">
        <f>SUM(G22+H22)</f>
        <v>0</v>
      </c>
    </row>
    <row r="23" spans="1:10" x14ac:dyDescent="0.15">
      <c r="A23" s="423"/>
      <c r="B23" s="413"/>
      <c r="C23" s="412"/>
      <c r="D23" s="412"/>
      <c r="E23" s="412"/>
      <c r="F23" s="412"/>
      <c r="G23" s="412"/>
      <c r="H23" s="412"/>
      <c r="I23" s="412"/>
    </row>
    <row r="24" spans="1:10" s="302" customFormat="1" x14ac:dyDescent="0.15">
      <c r="A24" s="155"/>
      <c r="B24" s="155"/>
      <c r="C24" s="155"/>
      <c r="D24" s="155"/>
      <c r="E24" s="156"/>
      <c r="F24" s="156"/>
      <c r="G24" s="156"/>
      <c r="H24" s="155"/>
      <c r="I24" s="164"/>
    </row>
    <row r="25" spans="1:10" s="302" customFormat="1" x14ac:dyDescent="0.15">
      <c r="A25" s="155"/>
      <c r="B25" s="155"/>
      <c r="C25" s="206" t="s">
        <v>1136</v>
      </c>
      <c r="D25" s="155"/>
      <c r="E25" s="156"/>
      <c r="F25" s="156"/>
      <c r="G25" s="156"/>
      <c r="H25" s="155"/>
      <c r="I25" s="164"/>
    </row>
    <row r="26" spans="1:10" s="302" customFormat="1" x14ac:dyDescent="0.15">
      <c r="A26" s="35" t="s">
        <v>1135</v>
      </c>
      <c r="B26" s="155"/>
      <c r="C26" s="155" t="s">
        <v>554</v>
      </c>
      <c r="D26" s="155"/>
      <c r="E26" s="156"/>
      <c r="F26" s="156"/>
      <c r="G26" s="156"/>
      <c r="H26" s="155"/>
      <c r="I26" s="164"/>
    </row>
    <row r="27" spans="1:10" x14ac:dyDescent="0.15">
      <c r="A27" s="34" t="s">
        <v>1007</v>
      </c>
      <c r="B27" s="34"/>
      <c r="C27" s="34"/>
      <c r="E27" s="156"/>
      <c r="F27" s="156"/>
      <c r="G27" s="156"/>
      <c r="I27" s="164"/>
      <c r="J27" s="302"/>
    </row>
    <row r="28" spans="1:10" hidden="1" x14ac:dyDescent="0.15">
      <c r="A28" s="304" t="s">
        <v>880</v>
      </c>
      <c r="B28" s="511" t="s">
        <v>637</v>
      </c>
      <c r="C28" s="305" t="s">
        <v>1164</v>
      </c>
      <c r="D28" s="308">
        <v>0</v>
      </c>
      <c r="E28" s="308">
        <v>0</v>
      </c>
      <c r="F28" s="308">
        <v>0</v>
      </c>
      <c r="G28" s="459"/>
      <c r="H28" s="512">
        <v>0</v>
      </c>
      <c r="I28" s="503">
        <f>SUM(G28+H28)</f>
        <v>0</v>
      </c>
    </row>
    <row r="29" spans="1:10" x14ac:dyDescent="0.15">
      <c r="A29" s="304" t="s">
        <v>880</v>
      </c>
      <c r="B29" s="511" t="s">
        <v>637</v>
      </c>
      <c r="C29" s="305" t="s">
        <v>337</v>
      </c>
      <c r="D29" s="308">
        <v>0</v>
      </c>
      <c r="E29" s="308">
        <v>0</v>
      </c>
      <c r="F29" s="308">
        <v>0</v>
      </c>
      <c r="G29" s="308">
        <v>0</v>
      </c>
      <c r="H29" s="512">
        <v>0</v>
      </c>
      <c r="I29" s="503">
        <f>SUM(G29+H29)</f>
        <v>0</v>
      </c>
    </row>
    <row r="30" spans="1:10" hidden="1" x14ac:dyDescent="0.15">
      <c r="A30" s="304" t="s">
        <v>881</v>
      </c>
      <c r="B30" s="511" t="s">
        <v>641</v>
      </c>
      <c r="C30" s="305" t="s">
        <v>382</v>
      </c>
      <c r="D30" s="308">
        <v>0</v>
      </c>
      <c r="E30" s="308">
        <v>0</v>
      </c>
      <c r="F30" s="308">
        <v>0</v>
      </c>
      <c r="G30" s="459"/>
      <c r="H30" s="512">
        <v>0</v>
      </c>
      <c r="I30" s="503">
        <f>SUM(G30+H30)</f>
        <v>0</v>
      </c>
    </row>
    <row r="31" spans="1:10" x14ac:dyDescent="0.15">
      <c r="A31" s="149" t="s">
        <v>881</v>
      </c>
      <c r="B31" s="157" t="s">
        <v>641</v>
      </c>
      <c r="C31" s="114" t="s">
        <v>338</v>
      </c>
      <c r="D31" s="144">
        <v>0</v>
      </c>
      <c r="E31" s="144">
        <v>0</v>
      </c>
      <c r="F31" s="144">
        <v>0</v>
      </c>
      <c r="G31" s="144">
        <v>0</v>
      </c>
      <c r="H31" s="513">
        <v>0</v>
      </c>
      <c r="I31" s="514">
        <f>SUM(G31+H31)</f>
        <v>0</v>
      </c>
    </row>
    <row r="32" spans="1:10" x14ac:dyDescent="0.15">
      <c r="A32" s="149" t="s">
        <v>882</v>
      </c>
      <c r="B32" s="157" t="s">
        <v>642</v>
      </c>
      <c r="C32" s="114" t="s">
        <v>1058</v>
      </c>
      <c r="D32" s="144">
        <v>0</v>
      </c>
      <c r="E32" s="144">
        <v>0</v>
      </c>
      <c r="F32" s="144">
        <v>0</v>
      </c>
      <c r="G32" s="144">
        <v>0</v>
      </c>
      <c r="H32" s="144">
        <v>0</v>
      </c>
      <c r="I32" s="465">
        <f t="shared" ref="I32:I58" si="3">G32+H32</f>
        <v>0</v>
      </c>
    </row>
    <row r="33" spans="1:9" x14ac:dyDescent="0.15">
      <c r="A33" s="149" t="s">
        <v>883</v>
      </c>
      <c r="B33" s="157" t="s">
        <v>638</v>
      </c>
      <c r="C33" s="114" t="s">
        <v>1059</v>
      </c>
      <c r="D33" s="144">
        <v>0</v>
      </c>
      <c r="E33" s="144">
        <v>0</v>
      </c>
      <c r="F33" s="144">
        <v>0</v>
      </c>
      <c r="G33" s="144">
        <v>0</v>
      </c>
      <c r="H33" s="144">
        <v>0</v>
      </c>
      <c r="I33" s="465">
        <f t="shared" si="3"/>
        <v>0</v>
      </c>
    </row>
    <row r="34" spans="1:9" x14ac:dyDescent="0.15">
      <c r="A34" s="149" t="s">
        <v>1060</v>
      </c>
      <c r="B34" s="157" t="s">
        <v>639</v>
      </c>
      <c r="C34" s="114" t="s">
        <v>1061</v>
      </c>
      <c r="D34" s="144">
        <v>0</v>
      </c>
      <c r="E34" s="144">
        <v>0</v>
      </c>
      <c r="F34" s="144">
        <v>0</v>
      </c>
      <c r="G34" s="144">
        <v>0</v>
      </c>
      <c r="H34" s="144">
        <v>0</v>
      </c>
      <c r="I34" s="465">
        <f t="shared" si="3"/>
        <v>0</v>
      </c>
    </row>
    <row r="35" spans="1:9" x14ac:dyDescent="0.15">
      <c r="A35" s="149" t="s">
        <v>1062</v>
      </c>
      <c r="B35" s="157" t="s">
        <v>644</v>
      </c>
      <c r="C35" s="114" t="s">
        <v>1063</v>
      </c>
      <c r="D35" s="144">
        <v>0</v>
      </c>
      <c r="E35" s="144">
        <v>0</v>
      </c>
      <c r="F35" s="144">
        <v>0</v>
      </c>
      <c r="G35" s="144">
        <v>0</v>
      </c>
      <c r="H35" s="144">
        <v>0</v>
      </c>
      <c r="I35" s="465">
        <f t="shared" si="3"/>
        <v>0</v>
      </c>
    </row>
    <row r="36" spans="1:9" x14ac:dyDescent="0.15">
      <c r="A36" s="149" t="s">
        <v>884</v>
      </c>
      <c r="B36" s="157" t="s">
        <v>645</v>
      </c>
      <c r="C36" s="114" t="s">
        <v>1064</v>
      </c>
      <c r="D36" s="144">
        <v>0</v>
      </c>
      <c r="E36" s="144">
        <v>0</v>
      </c>
      <c r="F36" s="144">
        <v>0</v>
      </c>
      <c r="G36" s="144">
        <v>0</v>
      </c>
      <c r="H36" s="144">
        <v>0</v>
      </c>
      <c r="I36" s="465">
        <f t="shared" si="3"/>
        <v>0</v>
      </c>
    </row>
    <row r="37" spans="1:9" x14ac:dyDescent="0.15">
      <c r="A37" s="149" t="s">
        <v>1067</v>
      </c>
      <c r="B37" s="157" t="s">
        <v>646</v>
      </c>
      <c r="C37" s="114" t="s">
        <v>1074</v>
      </c>
      <c r="D37" s="144">
        <v>0</v>
      </c>
      <c r="E37" s="144">
        <v>0</v>
      </c>
      <c r="F37" s="144">
        <v>0</v>
      </c>
      <c r="G37" s="144">
        <v>0</v>
      </c>
      <c r="H37" s="144">
        <v>0</v>
      </c>
      <c r="I37" s="465">
        <f t="shared" si="3"/>
        <v>0</v>
      </c>
    </row>
    <row r="38" spans="1:9" x14ac:dyDescent="0.15">
      <c r="A38" s="149" t="s">
        <v>1072</v>
      </c>
      <c r="B38" s="157" t="s">
        <v>647</v>
      </c>
      <c r="C38" s="114" t="s">
        <v>920</v>
      </c>
      <c r="D38" s="144">
        <v>0</v>
      </c>
      <c r="E38" s="144">
        <v>0</v>
      </c>
      <c r="F38" s="144">
        <v>0</v>
      </c>
      <c r="G38" s="144">
        <v>0</v>
      </c>
      <c r="H38" s="144">
        <v>0</v>
      </c>
      <c r="I38" s="465">
        <f t="shared" si="3"/>
        <v>0</v>
      </c>
    </row>
    <row r="39" spans="1:9" x14ac:dyDescent="0.15">
      <c r="A39" s="149" t="s">
        <v>921</v>
      </c>
      <c r="B39" s="157" t="s">
        <v>648</v>
      </c>
      <c r="C39" s="114" t="s">
        <v>955</v>
      </c>
      <c r="D39" s="144">
        <v>0</v>
      </c>
      <c r="E39" s="144">
        <v>0</v>
      </c>
      <c r="F39" s="144">
        <v>0</v>
      </c>
      <c r="G39" s="144">
        <v>0</v>
      </c>
      <c r="H39" s="144">
        <v>0</v>
      </c>
      <c r="I39" s="465">
        <f t="shared" si="3"/>
        <v>0</v>
      </c>
    </row>
    <row r="40" spans="1:9" x14ac:dyDescent="0.15">
      <c r="A40" s="149" t="s">
        <v>922</v>
      </c>
      <c r="B40" s="157" t="s">
        <v>649</v>
      </c>
      <c r="C40" s="114" t="s">
        <v>1123</v>
      </c>
      <c r="D40" s="144">
        <v>0</v>
      </c>
      <c r="E40" s="144">
        <v>0</v>
      </c>
      <c r="F40" s="144">
        <v>0</v>
      </c>
      <c r="G40" s="144">
        <v>0</v>
      </c>
      <c r="H40" s="144">
        <v>0</v>
      </c>
      <c r="I40" s="465">
        <f t="shared" si="3"/>
        <v>0</v>
      </c>
    </row>
    <row r="41" spans="1:9" x14ac:dyDescent="0.15">
      <c r="A41" s="149" t="s">
        <v>923</v>
      </c>
      <c r="B41" s="157" t="s">
        <v>650</v>
      </c>
      <c r="C41" s="114" t="s">
        <v>957</v>
      </c>
      <c r="D41" s="144">
        <v>0</v>
      </c>
      <c r="E41" s="144">
        <v>0</v>
      </c>
      <c r="F41" s="144">
        <v>0</v>
      </c>
      <c r="G41" s="144">
        <v>0</v>
      </c>
      <c r="H41" s="144">
        <v>0</v>
      </c>
      <c r="I41" s="465">
        <f t="shared" si="3"/>
        <v>0</v>
      </c>
    </row>
    <row r="42" spans="1:9" x14ac:dyDescent="0.15">
      <c r="A42" s="149" t="s">
        <v>924</v>
      </c>
      <c r="B42" s="157" t="s">
        <v>651</v>
      </c>
      <c r="C42" s="114" t="s">
        <v>958</v>
      </c>
      <c r="D42" s="144">
        <v>0</v>
      </c>
      <c r="E42" s="144">
        <v>0</v>
      </c>
      <c r="F42" s="144">
        <v>0</v>
      </c>
      <c r="G42" s="144">
        <v>0</v>
      </c>
      <c r="H42" s="144">
        <v>0</v>
      </c>
      <c r="I42" s="465">
        <f t="shared" si="3"/>
        <v>0</v>
      </c>
    </row>
    <row r="43" spans="1:9" x14ac:dyDescent="0.15">
      <c r="A43" s="149" t="s">
        <v>925</v>
      </c>
      <c r="B43" s="157" t="s">
        <v>652</v>
      </c>
      <c r="C43" s="114" t="s">
        <v>1128</v>
      </c>
      <c r="D43" s="144">
        <v>0</v>
      </c>
      <c r="E43" s="144">
        <v>0</v>
      </c>
      <c r="F43" s="144">
        <v>0</v>
      </c>
      <c r="G43" s="144">
        <v>0</v>
      </c>
      <c r="H43" s="144">
        <v>0</v>
      </c>
      <c r="I43" s="465">
        <f t="shared" si="3"/>
        <v>0</v>
      </c>
    </row>
    <row r="44" spans="1:9" x14ac:dyDescent="0.15">
      <c r="A44" s="149" t="s">
        <v>927</v>
      </c>
      <c r="B44" s="157" t="s">
        <v>657</v>
      </c>
      <c r="C44" s="114" t="s">
        <v>959</v>
      </c>
      <c r="D44" s="144">
        <v>0</v>
      </c>
      <c r="E44" s="144">
        <v>0</v>
      </c>
      <c r="F44" s="144">
        <v>0</v>
      </c>
      <c r="G44" s="144">
        <v>0</v>
      </c>
      <c r="H44" s="144">
        <v>0</v>
      </c>
      <c r="I44" s="465">
        <f t="shared" si="3"/>
        <v>0</v>
      </c>
    </row>
    <row r="45" spans="1:9" x14ac:dyDescent="0.15">
      <c r="A45" s="149" t="s">
        <v>928</v>
      </c>
      <c r="B45" s="157" t="s">
        <v>658</v>
      </c>
      <c r="C45" s="114" t="s">
        <v>961</v>
      </c>
      <c r="D45" s="144">
        <v>0</v>
      </c>
      <c r="E45" s="144">
        <v>0</v>
      </c>
      <c r="F45" s="144">
        <v>0</v>
      </c>
      <c r="G45" s="144">
        <v>0</v>
      </c>
      <c r="H45" s="144">
        <v>0</v>
      </c>
      <c r="I45" s="465">
        <f t="shared" si="3"/>
        <v>0</v>
      </c>
    </row>
    <row r="46" spans="1:9" x14ac:dyDescent="0.15">
      <c r="A46" s="149" t="s">
        <v>962</v>
      </c>
      <c r="B46" s="157" t="s">
        <v>659</v>
      </c>
      <c r="C46" s="114" t="s">
        <v>967</v>
      </c>
      <c r="D46" s="144">
        <v>0</v>
      </c>
      <c r="E46" s="144">
        <v>0</v>
      </c>
      <c r="F46" s="144">
        <v>0</v>
      </c>
      <c r="G46" s="144">
        <v>0</v>
      </c>
      <c r="H46" s="144">
        <v>0</v>
      </c>
      <c r="I46" s="465">
        <f t="shared" si="3"/>
        <v>0</v>
      </c>
    </row>
    <row r="47" spans="1:9" x14ac:dyDescent="0.15">
      <c r="A47" s="149" t="s">
        <v>963</v>
      </c>
      <c r="B47" s="157" t="s">
        <v>660</v>
      </c>
      <c r="C47" s="114" t="s">
        <v>1124</v>
      </c>
      <c r="D47" s="144">
        <v>0</v>
      </c>
      <c r="E47" s="144">
        <v>0</v>
      </c>
      <c r="F47" s="144">
        <v>0</v>
      </c>
      <c r="G47" s="144">
        <v>0</v>
      </c>
      <c r="H47" s="144">
        <v>0</v>
      </c>
      <c r="I47" s="465">
        <f t="shared" si="3"/>
        <v>0</v>
      </c>
    </row>
    <row r="48" spans="1:9" x14ac:dyDescent="0.15">
      <c r="A48" s="149" t="s">
        <v>964</v>
      </c>
      <c r="B48" s="157" t="s">
        <v>662</v>
      </c>
      <c r="C48" s="114" t="s">
        <v>1094</v>
      </c>
      <c r="D48" s="144">
        <v>0</v>
      </c>
      <c r="E48" s="144">
        <v>0</v>
      </c>
      <c r="F48" s="144">
        <v>0</v>
      </c>
      <c r="G48" s="144">
        <v>0</v>
      </c>
      <c r="H48" s="144">
        <v>0</v>
      </c>
      <c r="I48" s="465">
        <f t="shared" si="3"/>
        <v>0</v>
      </c>
    </row>
    <row r="49" spans="1:9" x14ac:dyDescent="0.15">
      <c r="A49" s="149" t="s">
        <v>965</v>
      </c>
      <c r="B49" s="157" t="s">
        <v>663</v>
      </c>
      <c r="C49" s="114" t="s">
        <v>1095</v>
      </c>
      <c r="D49" s="144">
        <v>0</v>
      </c>
      <c r="E49" s="144">
        <v>0</v>
      </c>
      <c r="F49" s="144">
        <v>0</v>
      </c>
      <c r="G49" s="144">
        <v>0</v>
      </c>
      <c r="H49" s="144">
        <v>0</v>
      </c>
      <c r="I49" s="465">
        <f t="shared" si="3"/>
        <v>0</v>
      </c>
    </row>
    <row r="50" spans="1:9" x14ac:dyDescent="0.15">
      <c r="A50" s="149" t="s">
        <v>885</v>
      </c>
      <c r="B50" s="157" t="s">
        <v>664</v>
      </c>
      <c r="C50" s="114" t="s">
        <v>1096</v>
      </c>
      <c r="D50" s="144">
        <v>0</v>
      </c>
      <c r="E50" s="144">
        <v>0</v>
      </c>
      <c r="F50" s="144">
        <v>0</v>
      </c>
      <c r="G50" s="144">
        <v>0</v>
      </c>
      <c r="H50" s="144">
        <v>0</v>
      </c>
      <c r="I50" s="465">
        <f t="shared" si="3"/>
        <v>0</v>
      </c>
    </row>
    <row r="51" spans="1:9" x14ac:dyDescent="0.15">
      <c r="A51" s="149" t="s">
        <v>966</v>
      </c>
      <c r="B51" s="157" t="s">
        <v>665</v>
      </c>
      <c r="C51" s="114" t="s">
        <v>1097</v>
      </c>
      <c r="D51" s="144">
        <v>0</v>
      </c>
      <c r="E51" s="144">
        <v>0</v>
      </c>
      <c r="F51" s="144">
        <v>0</v>
      </c>
      <c r="G51" s="144">
        <v>0</v>
      </c>
      <c r="H51" s="144">
        <v>0</v>
      </c>
      <c r="I51" s="465">
        <f t="shared" si="3"/>
        <v>0</v>
      </c>
    </row>
    <row r="52" spans="1:9" x14ac:dyDescent="0.15">
      <c r="A52" s="149" t="s">
        <v>886</v>
      </c>
      <c r="B52" s="157" t="s">
        <v>666</v>
      </c>
      <c r="C52" s="114" t="s">
        <v>1100</v>
      </c>
      <c r="D52" s="144">
        <v>0</v>
      </c>
      <c r="E52" s="144">
        <v>0</v>
      </c>
      <c r="F52" s="144">
        <v>0</v>
      </c>
      <c r="G52" s="144">
        <v>0</v>
      </c>
      <c r="H52" s="144">
        <v>0</v>
      </c>
      <c r="I52" s="465">
        <f t="shared" si="3"/>
        <v>0</v>
      </c>
    </row>
    <row r="53" spans="1:9" x14ac:dyDescent="0.15">
      <c r="A53" s="149" t="s">
        <v>116</v>
      </c>
      <c r="B53" s="157" t="s">
        <v>667</v>
      </c>
      <c r="C53" s="114" t="s">
        <v>1105</v>
      </c>
      <c r="D53" s="144">
        <v>0</v>
      </c>
      <c r="E53" s="144">
        <v>0</v>
      </c>
      <c r="F53" s="144">
        <v>0</v>
      </c>
      <c r="G53" s="144">
        <v>0</v>
      </c>
      <c r="H53" s="144">
        <v>0</v>
      </c>
      <c r="I53" s="465">
        <f t="shared" si="3"/>
        <v>0</v>
      </c>
    </row>
    <row r="54" spans="1:9" x14ac:dyDescent="0.15">
      <c r="A54" s="149" t="s">
        <v>112</v>
      </c>
      <c r="B54" s="157" t="s">
        <v>668</v>
      </c>
      <c r="C54" s="114" t="s">
        <v>1110</v>
      </c>
      <c r="D54" s="144">
        <v>0</v>
      </c>
      <c r="E54" s="144">
        <v>0</v>
      </c>
      <c r="F54" s="144">
        <v>0</v>
      </c>
      <c r="G54" s="144">
        <v>0</v>
      </c>
      <c r="H54" s="144">
        <v>0</v>
      </c>
      <c r="I54" s="465">
        <f t="shared" si="3"/>
        <v>0</v>
      </c>
    </row>
    <row r="55" spans="1:9" x14ac:dyDescent="0.15">
      <c r="A55" s="149" t="s">
        <v>887</v>
      </c>
      <c r="B55" s="157" t="s">
        <v>670</v>
      </c>
      <c r="C55" s="114" t="s">
        <v>1116</v>
      </c>
      <c r="D55" s="144">
        <v>0</v>
      </c>
      <c r="E55" s="144">
        <v>0</v>
      </c>
      <c r="F55" s="144">
        <v>0</v>
      </c>
      <c r="G55" s="144">
        <v>0</v>
      </c>
      <c r="H55" s="144">
        <v>0</v>
      </c>
      <c r="I55" s="465">
        <f t="shared" si="3"/>
        <v>0</v>
      </c>
    </row>
    <row r="56" spans="1:9" x14ac:dyDescent="0.15">
      <c r="A56" s="149" t="s">
        <v>1112</v>
      </c>
      <c r="B56" s="157" t="s">
        <v>671</v>
      </c>
      <c r="C56" s="114" t="s">
        <v>1117</v>
      </c>
      <c r="D56" s="144">
        <v>0</v>
      </c>
      <c r="E56" s="144">
        <v>0</v>
      </c>
      <c r="F56" s="144">
        <v>0</v>
      </c>
      <c r="G56" s="144">
        <v>0</v>
      </c>
      <c r="H56" s="144">
        <v>0</v>
      </c>
      <c r="I56" s="465">
        <f t="shared" si="3"/>
        <v>0</v>
      </c>
    </row>
    <row r="57" spans="1:9" x14ac:dyDescent="0.15">
      <c r="A57" s="149" t="s">
        <v>1113</v>
      </c>
      <c r="B57" s="157" t="s">
        <v>1187</v>
      </c>
      <c r="C57" s="114" t="s">
        <v>1118</v>
      </c>
      <c r="D57" s="144">
        <v>0</v>
      </c>
      <c r="E57" s="144">
        <v>0</v>
      </c>
      <c r="F57" s="144">
        <v>0</v>
      </c>
      <c r="G57" s="144">
        <v>0</v>
      </c>
      <c r="H57" s="144">
        <v>0</v>
      </c>
      <c r="I57" s="465">
        <f t="shared" si="3"/>
        <v>0</v>
      </c>
    </row>
    <row r="58" spans="1:9" x14ac:dyDescent="0.15">
      <c r="A58" s="149" t="s">
        <v>1114</v>
      </c>
      <c r="B58" s="157" t="s">
        <v>1188</v>
      </c>
      <c r="C58" s="114" t="s">
        <v>1119</v>
      </c>
      <c r="D58" s="144">
        <v>0</v>
      </c>
      <c r="E58" s="144">
        <v>0</v>
      </c>
      <c r="F58" s="144">
        <v>0</v>
      </c>
      <c r="G58" s="144">
        <v>0</v>
      </c>
      <c r="H58" s="144">
        <v>0</v>
      </c>
      <c r="I58" s="465">
        <f t="shared" si="3"/>
        <v>0</v>
      </c>
    </row>
    <row r="59" spans="1:9" ht="11.25" thickBot="1" x14ac:dyDescent="0.2">
      <c r="A59" s="149"/>
      <c r="C59" s="114"/>
      <c r="D59" s="175"/>
      <c r="E59" s="14"/>
      <c r="F59" s="175"/>
      <c r="G59" s="167"/>
      <c r="I59" s="164"/>
    </row>
    <row r="60" spans="1:9" ht="12" thickTop="1" thickBot="1" x14ac:dyDescent="0.2">
      <c r="A60" s="149"/>
      <c r="B60" s="157" t="s">
        <v>673</v>
      </c>
      <c r="C60" s="114" t="s">
        <v>99</v>
      </c>
      <c r="D60" s="166">
        <f t="shared" ref="D60:I60" si="4">SUM(D28:D58)</f>
        <v>0</v>
      </c>
      <c r="E60" s="166">
        <f t="shared" si="4"/>
        <v>0</v>
      </c>
      <c r="F60" s="166">
        <f t="shared" si="4"/>
        <v>0</v>
      </c>
      <c r="G60" s="166">
        <f t="shared" si="4"/>
        <v>0</v>
      </c>
      <c r="H60" s="166">
        <f t="shared" si="4"/>
        <v>0</v>
      </c>
      <c r="I60" s="166">
        <f t="shared" si="4"/>
        <v>0</v>
      </c>
    </row>
    <row r="61" spans="1:9" ht="11.25" thickTop="1" x14ac:dyDescent="0.15">
      <c r="A61" s="149"/>
      <c r="E61" s="156"/>
      <c r="F61" s="156"/>
      <c r="G61" s="156"/>
      <c r="I61" s="164"/>
    </row>
    <row r="62" spans="1:9" x14ac:dyDescent="0.15">
      <c r="A62" s="149"/>
      <c r="C62" s="169" t="s">
        <v>555</v>
      </c>
      <c r="E62" s="156"/>
      <c r="F62" s="156"/>
      <c r="G62" s="156"/>
      <c r="I62" s="164"/>
    </row>
    <row r="63" spans="1:9" x14ac:dyDescent="0.15">
      <c r="A63" s="34" t="s">
        <v>123</v>
      </c>
      <c r="C63" s="169"/>
      <c r="E63" s="156"/>
      <c r="F63" s="156"/>
      <c r="G63" s="156"/>
      <c r="I63" s="164"/>
    </row>
    <row r="64" spans="1:9" x14ac:dyDescent="0.15">
      <c r="A64" s="34" t="s">
        <v>124</v>
      </c>
      <c r="C64" s="169"/>
      <c r="E64" s="156"/>
      <c r="F64" s="156"/>
      <c r="G64" s="156"/>
      <c r="I64" s="164"/>
    </row>
    <row r="65" spans="1:9" x14ac:dyDescent="0.15">
      <c r="A65" s="34" t="s">
        <v>1197</v>
      </c>
      <c r="C65" s="169"/>
      <c r="E65" s="156"/>
      <c r="F65" s="156"/>
      <c r="G65" s="156"/>
      <c r="I65" s="164"/>
    </row>
    <row r="66" spans="1:9" x14ac:dyDescent="0.15">
      <c r="A66" s="34" t="s">
        <v>127</v>
      </c>
      <c r="C66" s="169"/>
      <c r="E66" s="156"/>
      <c r="F66" s="156"/>
      <c r="G66" s="156"/>
      <c r="I66" s="164"/>
    </row>
    <row r="67" spans="1:9" x14ac:dyDescent="0.15">
      <c r="A67" s="34" t="s">
        <v>1587</v>
      </c>
      <c r="C67" s="169"/>
      <c r="E67" s="156"/>
      <c r="F67" s="156"/>
      <c r="G67" s="156"/>
      <c r="I67" s="164"/>
    </row>
    <row r="68" spans="1:9" x14ac:dyDescent="0.15">
      <c r="A68" s="34" t="s">
        <v>1588</v>
      </c>
      <c r="C68" s="169"/>
      <c r="E68" s="156"/>
      <c r="F68" s="156"/>
      <c r="G68" s="156"/>
      <c r="I68" s="164"/>
    </row>
    <row r="69" spans="1:9" x14ac:dyDescent="0.15">
      <c r="A69" s="34" t="s">
        <v>104</v>
      </c>
      <c r="C69" s="169"/>
      <c r="E69" s="156"/>
      <c r="F69" s="156"/>
      <c r="G69" s="156"/>
      <c r="I69" s="164"/>
    </row>
    <row r="70" spans="1:9" x14ac:dyDescent="0.15">
      <c r="A70" s="34" t="s">
        <v>106</v>
      </c>
      <c r="C70" s="169"/>
      <c r="E70" s="156"/>
      <c r="F70" s="156"/>
      <c r="G70" s="156"/>
      <c r="I70" s="164"/>
    </row>
    <row r="71" spans="1:9" x14ac:dyDescent="0.15">
      <c r="A71" s="34" t="s">
        <v>1589</v>
      </c>
      <c r="C71" s="169"/>
      <c r="E71" s="156"/>
      <c r="F71" s="156"/>
      <c r="G71" s="156"/>
      <c r="I71" s="164"/>
    </row>
    <row r="72" spans="1:9" x14ac:dyDescent="0.15">
      <c r="A72" s="34" t="s">
        <v>136</v>
      </c>
      <c r="C72" s="169"/>
      <c r="E72" s="156"/>
      <c r="F72" s="156"/>
      <c r="G72" s="156"/>
      <c r="I72" s="164"/>
    </row>
    <row r="73" spans="1:9" s="302" customFormat="1" x14ac:dyDescent="0.15">
      <c r="A73" s="34" t="s">
        <v>138</v>
      </c>
      <c r="B73" s="155"/>
      <c r="C73" s="169"/>
      <c r="D73" s="155"/>
      <c r="E73" s="156"/>
      <c r="F73" s="156"/>
      <c r="G73" s="156"/>
      <c r="H73" s="155"/>
      <c r="I73" s="164"/>
    </row>
    <row r="74" spans="1:9" s="302" customFormat="1" x14ac:dyDescent="0.15">
      <c r="A74" s="34" t="s">
        <v>140</v>
      </c>
      <c r="B74" s="155"/>
      <c r="C74" s="169"/>
      <c r="D74" s="155"/>
      <c r="E74" s="156"/>
      <c r="F74" s="156"/>
      <c r="G74" s="156"/>
      <c r="H74" s="155"/>
      <c r="I74" s="164"/>
    </row>
    <row r="75" spans="1:9" s="302" customFormat="1" x14ac:dyDescent="0.15">
      <c r="A75" s="34" t="s">
        <v>1590</v>
      </c>
      <c r="B75" s="155"/>
      <c r="C75" s="169"/>
      <c r="D75" s="155"/>
      <c r="E75" s="156"/>
      <c r="F75" s="156"/>
      <c r="G75" s="156"/>
      <c r="H75" s="155"/>
      <c r="I75" s="164"/>
    </row>
    <row r="76" spans="1:9" s="302" customFormat="1" x14ac:dyDescent="0.15">
      <c r="A76" s="34" t="s">
        <v>142</v>
      </c>
      <c r="B76" s="155"/>
      <c r="C76" s="169"/>
      <c r="D76" s="155"/>
      <c r="E76" s="156"/>
      <c r="F76" s="156"/>
      <c r="G76" s="156"/>
      <c r="H76" s="155"/>
      <c r="I76" s="164"/>
    </row>
    <row r="77" spans="1:9" s="302" customFormat="1" x14ac:dyDescent="0.15">
      <c r="A77" s="34" t="s">
        <v>147</v>
      </c>
      <c r="B77" s="18"/>
      <c r="C77" s="169"/>
      <c r="D77" s="155"/>
      <c r="E77" s="156"/>
      <c r="F77" s="156"/>
      <c r="G77" s="156"/>
      <c r="H77" s="155"/>
      <c r="I77" s="164"/>
    </row>
    <row r="78" spans="1:9" hidden="1" x14ac:dyDescent="0.15">
      <c r="A78" s="304" t="s">
        <v>880</v>
      </c>
      <c r="B78" s="511" t="s">
        <v>637</v>
      </c>
      <c r="C78" s="305" t="s">
        <v>1164</v>
      </c>
      <c r="D78" s="308">
        <v>0</v>
      </c>
      <c r="E78" s="308">
        <v>0</v>
      </c>
      <c r="F78" s="308">
        <v>0</v>
      </c>
      <c r="G78" s="459"/>
      <c r="H78" s="512">
        <v>0</v>
      </c>
      <c r="I78" s="503">
        <f>SUM(G78+H78)</f>
        <v>0</v>
      </c>
    </row>
    <row r="79" spans="1:9" x14ac:dyDescent="0.15">
      <c r="A79" s="304" t="s">
        <v>880</v>
      </c>
      <c r="B79" s="511" t="s">
        <v>637</v>
      </c>
      <c r="C79" s="305" t="s">
        <v>337</v>
      </c>
      <c r="D79" s="308">
        <v>0</v>
      </c>
      <c r="E79" s="308">
        <v>0</v>
      </c>
      <c r="F79" s="308">
        <v>0</v>
      </c>
      <c r="G79" s="308">
        <v>0</v>
      </c>
      <c r="H79" s="512">
        <v>0</v>
      </c>
      <c r="I79" s="503">
        <f>SUM(G79+H79)</f>
        <v>0</v>
      </c>
    </row>
    <row r="80" spans="1:9" hidden="1" x14ac:dyDescent="0.15">
      <c r="A80" s="304" t="s">
        <v>881</v>
      </c>
      <c r="B80" s="511" t="s">
        <v>641</v>
      </c>
      <c r="C80" s="305" t="s">
        <v>72</v>
      </c>
      <c r="D80" s="308">
        <v>0</v>
      </c>
      <c r="E80" s="308">
        <v>0</v>
      </c>
      <c r="F80" s="308">
        <v>0</v>
      </c>
      <c r="G80" s="459"/>
      <c r="H80" s="512">
        <v>0</v>
      </c>
      <c r="I80" s="503">
        <f>SUM(G80+H80)</f>
        <v>0</v>
      </c>
    </row>
    <row r="81" spans="1:9" x14ac:dyDescent="0.15">
      <c r="A81" s="304" t="s">
        <v>881</v>
      </c>
      <c r="B81" s="511" t="s">
        <v>641</v>
      </c>
      <c r="C81" s="305" t="s">
        <v>338</v>
      </c>
      <c r="D81" s="308">
        <v>0</v>
      </c>
      <c r="E81" s="308">
        <v>0</v>
      </c>
      <c r="F81" s="308">
        <v>0</v>
      </c>
      <c r="G81" s="308">
        <v>0</v>
      </c>
      <c r="H81" s="512">
        <v>0</v>
      </c>
      <c r="I81" s="515">
        <f>SUM(G81+H81)</f>
        <v>0</v>
      </c>
    </row>
    <row r="82" spans="1:9" x14ac:dyDescent="0.15">
      <c r="A82" s="149" t="s">
        <v>882</v>
      </c>
      <c r="B82" s="157" t="s">
        <v>676</v>
      </c>
      <c r="C82" s="114" t="s">
        <v>1058</v>
      </c>
      <c r="D82" s="144">
        <v>0</v>
      </c>
      <c r="E82" s="144">
        <v>0</v>
      </c>
      <c r="F82" s="144">
        <v>0</v>
      </c>
      <c r="G82" s="144">
        <v>0</v>
      </c>
      <c r="H82" s="144">
        <v>0</v>
      </c>
      <c r="I82" s="465">
        <f t="shared" ref="I82:I111" si="5">G82+H82</f>
        <v>0</v>
      </c>
    </row>
    <row r="83" spans="1:9" x14ac:dyDescent="0.15">
      <c r="A83" s="149" t="s">
        <v>883</v>
      </c>
      <c r="B83" s="157" t="s">
        <v>677</v>
      </c>
      <c r="C83" s="114" t="s">
        <v>1059</v>
      </c>
      <c r="D83" s="144">
        <v>0</v>
      </c>
      <c r="E83" s="144">
        <v>0</v>
      </c>
      <c r="F83" s="144">
        <v>0</v>
      </c>
      <c r="G83" s="144">
        <v>0</v>
      </c>
      <c r="H83" s="144">
        <v>0</v>
      </c>
      <c r="I83" s="465">
        <f t="shared" si="5"/>
        <v>0</v>
      </c>
    </row>
    <row r="84" spans="1:9" x14ac:dyDescent="0.15">
      <c r="A84" s="149" t="s">
        <v>1060</v>
      </c>
      <c r="B84" s="157" t="s">
        <v>678</v>
      </c>
      <c r="C84" s="114" t="s">
        <v>1061</v>
      </c>
      <c r="D84" s="144">
        <v>0</v>
      </c>
      <c r="E84" s="144">
        <v>0</v>
      </c>
      <c r="F84" s="144">
        <v>0</v>
      </c>
      <c r="G84" s="144">
        <v>0</v>
      </c>
      <c r="H84" s="144">
        <v>0</v>
      </c>
      <c r="I84" s="465">
        <f t="shared" si="5"/>
        <v>0</v>
      </c>
    </row>
    <row r="85" spans="1:9" x14ac:dyDescent="0.15">
      <c r="A85" s="149" t="s">
        <v>1062</v>
      </c>
      <c r="B85" s="157" t="s">
        <v>679</v>
      </c>
      <c r="C85" s="114" t="s">
        <v>1063</v>
      </c>
      <c r="D85" s="144">
        <v>0</v>
      </c>
      <c r="E85" s="144">
        <v>0</v>
      </c>
      <c r="F85" s="144">
        <v>0</v>
      </c>
      <c r="G85" s="144">
        <v>0</v>
      </c>
      <c r="H85" s="144">
        <v>0</v>
      </c>
      <c r="I85" s="465">
        <f t="shared" si="5"/>
        <v>0</v>
      </c>
    </row>
    <row r="86" spans="1:9" x14ac:dyDescent="0.15">
      <c r="A86" s="149" t="s">
        <v>884</v>
      </c>
      <c r="B86" s="157" t="s">
        <v>684</v>
      </c>
      <c r="C86" s="114" t="s">
        <v>1064</v>
      </c>
      <c r="D86" s="144">
        <v>0</v>
      </c>
      <c r="E86" s="144">
        <v>0</v>
      </c>
      <c r="F86" s="144">
        <v>0</v>
      </c>
      <c r="G86" s="144">
        <v>0</v>
      </c>
      <c r="H86" s="144">
        <v>0</v>
      </c>
      <c r="I86" s="465">
        <f t="shared" si="5"/>
        <v>0</v>
      </c>
    </row>
    <row r="87" spans="1:9" x14ac:dyDescent="0.15">
      <c r="A87" s="149" t="s">
        <v>1065</v>
      </c>
      <c r="B87" s="157" t="s">
        <v>685</v>
      </c>
      <c r="C87" s="114" t="s">
        <v>1073</v>
      </c>
      <c r="D87" s="144">
        <v>0</v>
      </c>
      <c r="E87" s="144">
        <v>0</v>
      </c>
      <c r="F87" s="144">
        <v>0</v>
      </c>
      <c r="G87" s="144">
        <v>0</v>
      </c>
      <c r="H87" s="144">
        <v>0</v>
      </c>
      <c r="I87" s="465">
        <f t="shared" si="5"/>
        <v>0</v>
      </c>
    </row>
    <row r="88" spans="1:9" x14ac:dyDescent="0.15">
      <c r="A88" s="149" t="s">
        <v>1066</v>
      </c>
      <c r="B88" s="157" t="s">
        <v>686</v>
      </c>
      <c r="C88" s="114" t="s">
        <v>1125</v>
      </c>
      <c r="D88" s="144">
        <v>0</v>
      </c>
      <c r="E88" s="144">
        <v>0</v>
      </c>
      <c r="F88" s="144">
        <v>0</v>
      </c>
      <c r="G88" s="144">
        <v>0</v>
      </c>
      <c r="H88" s="144">
        <v>0</v>
      </c>
      <c r="I88" s="465">
        <f t="shared" si="5"/>
        <v>0</v>
      </c>
    </row>
    <row r="89" spans="1:9" x14ac:dyDescent="0.15">
      <c r="A89" s="149" t="s">
        <v>1067</v>
      </c>
      <c r="B89" s="157" t="s">
        <v>687</v>
      </c>
      <c r="C89" s="114" t="s">
        <v>1074</v>
      </c>
      <c r="D89" s="144">
        <v>0</v>
      </c>
      <c r="E89" s="144">
        <v>0</v>
      </c>
      <c r="F89" s="144">
        <v>0</v>
      </c>
      <c r="G89" s="144">
        <v>0</v>
      </c>
      <c r="H89" s="144">
        <v>0</v>
      </c>
      <c r="I89" s="465">
        <f t="shared" si="5"/>
        <v>0</v>
      </c>
    </row>
    <row r="90" spans="1:9" x14ac:dyDescent="0.15">
      <c r="A90" s="149" t="s">
        <v>1068</v>
      </c>
      <c r="B90" s="157" t="s">
        <v>688</v>
      </c>
      <c r="C90" s="114" t="s">
        <v>1075</v>
      </c>
      <c r="D90" s="144">
        <v>0</v>
      </c>
      <c r="E90" s="144">
        <v>0</v>
      </c>
      <c r="F90" s="144">
        <v>0</v>
      </c>
      <c r="G90" s="144">
        <v>0</v>
      </c>
      <c r="H90" s="144">
        <v>0</v>
      </c>
      <c r="I90" s="465">
        <f t="shared" si="5"/>
        <v>0</v>
      </c>
    </row>
    <row r="91" spans="1:9" x14ac:dyDescent="0.15">
      <c r="A91" s="149" t="s">
        <v>1069</v>
      </c>
      <c r="B91" s="157" t="s">
        <v>689</v>
      </c>
      <c r="C91" s="114" t="s">
        <v>1076</v>
      </c>
      <c r="D91" s="144">
        <v>0</v>
      </c>
      <c r="E91" s="144">
        <v>0</v>
      </c>
      <c r="F91" s="144">
        <v>0</v>
      </c>
      <c r="G91" s="144">
        <v>0</v>
      </c>
      <c r="H91" s="144">
        <v>0</v>
      </c>
      <c r="I91" s="465">
        <f t="shared" si="5"/>
        <v>0</v>
      </c>
    </row>
    <row r="92" spans="1:9" x14ac:dyDescent="0.15">
      <c r="A92" s="149" t="s">
        <v>1071</v>
      </c>
      <c r="B92" s="157" t="s">
        <v>690</v>
      </c>
      <c r="C92" s="114" t="s">
        <v>1077</v>
      </c>
      <c r="D92" s="144">
        <v>0</v>
      </c>
      <c r="E92" s="144">
        <v>0</v>
      </c>
      <c r="F92" s="144">
        <v>0</v>
      </c>
      <c r="G92" s="144">
        <v>0</v>
      </c>
      <c r="H92" s="144">
        <v>0</v>
      </c>
      <c r="I92" s="465">
        <f t="shared" si="5"/>
        <v>0</v>
      </c>
    </row>
    <row r="93" spans="1:9" x14ac:dyDescent="0.15">
      <c r="A93" s="149" t="s">
        <v>1072</v>
      </c>
      <c r="B93" s="157" t="s">
        <v>691</v>
      </c>
      <c r="C93" s="114" t="s">
        <v>920</v>
      </c>
      <c r="D93" s="144">
        <v>0</v>
      </c>
      <c r="E93" s="144">
        <v>0</v>
      </c>
      <c r="F93" s="144">
        <v>0</v>
      </c>
      <c r="G93" s="144">
        <v>0</v>
      </c>
      <c r="H93" s="144">
        <v>0</v>
      </c>
      <c r="I93" s="465">
        <f t="shared" si="5"/>
        <v>0</v>
      </c>
    </row>
    <row r="94" spans="1:9" x14ac:dyDescent="0.15">
      <c r="A94" s="149" t="s">
        <v>927</v>
      </c>
      <c r="B94" s="157" t="s">
        <v>692</v>
      </c>
      <c r="C94" s="114" t="s">
        <v>959</v>
      </c>
      <c r="D94" s="144">
        <v>0</v>
      </c>
      <c r="E94" s="144">
        <v>0</v>
      </c>
      <c r="F94" s="144">
        <v>0</v>
      </c>
      <c r="G94" s="144">
        <v>0</v>
      </c>
      <c r="H94" s="144">
        <v>0</v>
      </c>
      <c r="I94" s="465">
        <f t="shared" si="5"/>
        <v>0</v>
      </c>
    </row>
    <row r="95" spans="1:9" x14ac:dyDescent="0.15">
      <c r="A95" s="149" t="s">
        <v>928</v>
      </c>
      <c r="B95" s="157" t="s">
        <v>693</v>
      </c>
      <c r="C95" s="114" t="s">
        <v>961</v>
      </c>
      <c r="D95" s="144">
        <v>0</v>
      </c>
      <c r="E95" s="144">
        <v>0</v>
      </c>
      <c r="F95" s="144">
        <v>0</v>
      </c>
      <c r="G95" s="144">
        <v>0</v>
      </c>
      <c r="H95" s="144">
        <v>0</v>
      </c>
      <c r="I95" s="465">
        <f t="shared" si="5"/>
        <v>0</v>
      </c>
    </row>
    <row r="96" spans="1:9" x14ac:dyDescent="0.15">
      <c r="A96" s="149" t="s">
        <v>962</v>
      </c>
      <c r="B96" s="157" t="s">
        <v>694</v>
      </c>
      <c r="C96" s="114" t="s">
        <v>967</v>
      </c>
      <c r="D96" s="144">
        <v>0</v>
      </c>
      <c r="E96" s="144">
        <v>0</v>
      </c>
      <c r="F96" s="144">
        <v>0</v>
      </c>
      <c r="G96" s="144">
        <v>0</v>
      </c>
      <c r="H96" s="144">
        <v>0</v>
      </c>
      <c r="I96" s="465">
        <f t="shared" si="5"/>
        <v>0</v>
      </c>
    </row>
    <row r="97" spans="1:9" x14ac:dyDescent="0.15">
      <c r="A97" s="149" t="s">
        <v>963</v>
      </c>
      <c r="B97" s="157" t="s">
        <v>695</v>
      </c>
      <c r="C97" s="114" t="s">
        <v>1124</v>
      </c>
      <c r="D97" s="144">
        <v>0</v>
      </c>
      <c r="E97" s="144">
        <v>0</v>
      </c>
      <c r="F97" s="144">
        <v>0</v>
      </c>
      <c r="G97" s="144">
        <v>0</v>
      </c>
      <c r="H97" s="144">
        <v>0</v>
      </c>
      <c r="I97" s="465">
        <f t="shared" si="5"/>
        <v>0</v>
      </c>
    </row>
    <row r="98" spans="1:9" x14ac:dyDescent="0.15">
      <c r="A98" s="149" t="s">
        <v>964</v>
      </c>
      <c r="B98" s="157" t="s">
        <v>696</v>
      </c>
      <c r="C98" s="114" t="s">
        <v>1094</v>
      </c>
      <c r="D98" s="144">
        <v>0</v>
      </c>
      <c r="E98" s="144">
        <v>0</v>
      </c>
      <c r="F98" s="144">
        <v>0</v>
      </c>
      <c r="G98" s="144">
        <v>0</v>
      </c>
      <c r="H98" s="144">
        <v>0</v>
      </c>
      <c r="I98" s="465">
        <f t="shared" si="5"/>
        <v>0</v>
      </c>
    </row>
    <row r="99" spans="1:9" x14ac:dyDescent="0.15">
      <c r="A99" s="149" t="s">
        <v>965</v>
      </c>
      <c r="B99" s="157" t="s">
        <v>697</v>
      </c>
      <c r="C99" s="114" t="s">
        <v>1095</v>
      </c>
      <c r="D99" s="144">
        <v>0</v>
      </c>
      <c r="E99" s="144">
        <v>0</v>
      </c>
      <c r="F99" s="144">
        <v>0</v>
      </c>
      <c r="G99" s="144">
        <v>0</v>
      </c>
      <c r="H99" s="144">
        <v>0</v>
      </c>
      <c r="I99" s="465">
        <f t="shared" si="5"/>
        <v>0</v>
      </c>
    </row>
    <row r="100" spans="1:9" x14ac:dyDescent="0.15">
      <c r="A100" s="149" t="s">
        <v>885</v>
      </c>
      <c r="B100" s="157" t="s">
        <v>698</v>
      </c>
      <c r="C100" s="114" t="s">
        <v>1096</v>
      </c>
      <c r="D100" s="144">
        <v>0</v>
      </c>
      <c r="E100" s="144">
        <v>0</v>
      </c>
      <c r="F100" s="144">
        <v>0</v>
      </c>
      <c r="G100" s="144">
        <v>0</v>
      </c>
      <c r="H100" s="144">
        <v>0</v>
      </c>
      <c r="I100" s="465">
        <f t="shared" si="5"/>
        <v>0</v>
      </c>
    </row>
    <row r="101" spans="1:9" x14ac:dyDescent="0.15">
      <c r="A101" s="149" t="s">
        <v>966</v>
      </c>
      <c r="B101" s="157" t="s">
        <v>699</v>
      </c>
      <c r="C101" s="114" t="s">
        <v>1097</v>
      </c>
      <c r="D101" s="144">
        <v>0</v>
      </c>
      <c r="E101" s="144">
        <v>0</v>
      </c>
      <c r="F101" s="144">
        <v>0</v>
      </c>
      <c r="G101" s="144">
        <v>0</v>
      </c>
      <c r="H101" s="144">
        <v>0</v>
      </c>
      <c r="I101" s="465">
        <f t="shared" si="5"/>
        <v>0</v>
      </c>
    </row>
    <row r="102" spans="1:9" x14ac:dyDescent="0.15">
      <c r="A102" s="149" t="s">
        <v>886</v>
      </c>
      <c r="B102" s="157" t="s">
        <v>700</v>
      </c>
      <c r="C102" s="114" t="s">
        <v>1100</v>
      </c>
      <c r="D102" s="144">
        <v>0</v>
      </c>
      <c r="E102" s="144">
        <v>0</v>
      </c>
      <c r="F102" s="144">
        <v>0</v>
      </c>
      <c r="G102" s="144">
        <v>0</v>
      </c>
      <c r="H102" s="144">
        <v>0</v>
      </c>
      <c r="I102" s="465">
        <f t="shared" si="5"/>
        <v>0</v>
      </c>
    </row>
    <row r="103" spans="1:9" x14ac:dyDescent="0.15">
      <c r="A103" s="149" t="s">
        <v>116</v>
      </c>
      <c r="B103" s="157" t="s">
        <v>701</v>
      </c>
      <c r="C103" s="114" t="s">
        <v>1105</v>
      </c>
      <c r="D103" s="144">
        <v>0</v>
      </c>
      <c r="E103" s="144">
        <v>0</v>
      </c>
      <c r="F103" s="144">
        <v>0</v>
      </c>
      <c r="G103" s="144">
        <v>0</v>
      </c>
      <c r="H103" s="144">
        <v>0</v>
      </c>
      <c r="I103" s="465">
        <f t="shared" si="5"/>
        <v>0</v>
      </c>
    </row>
    <row r="104" spans="1:9" x14ac:dyDescent="0.15">
      <c r="A104" s="149" t="s">
        <v>1139</v>
      </c>
      <c r="B104" s="157" t="s">
        <v>702</v>
      </c>
      <c r="C104" s="114" t="s">
        <v>1109</v>
      </c>
      <c r="D104" s="144">
        <v>0</v>
      </c>
      <c r="E104" s="144">
        <v>0</v>
      </c>
      <c r="F104" s="144">
        <v>0</v>
      </c>
      <c r="G104" s="144">
        <v>0</v>
      </c>
      <c r="H104" s="144">
        <v>0</v>
      </c>
      <c r="I104" s="465">
        <f t="shared" si="5"/>
        <v>0</v>
      </c>
    </row>
    <row r="105" spans="1:9" x14ac:dyDescent="0.15">
      <c r="A105" s="149" t="s">
        <v>112</v>
      </c>
      <c r="B105" s="157" t="s">
        <v>703</v>
      </c>
      <c r="C105" s="114" t="s">
        <v>1110</v>
      </c>
      <c r="D105" s="144">
        <v>0</v>
      </c>
      <c r="E105" s="144">
        <v>0</v>
      </c>
      <c r="F105" s="144">
        <v>0</v>
      </c>
      <c r="G105" s="144">
        <v>0</v>
      </c>
      <c r="H105" s="144">
        <v>0</v>
      </c>
      <c r="I105" s="465">
        <f t="shared" si="5"/>
        <v>0</v>
      </c>
    </row>
    <row r="106" spans="1:9" x14ac:dyDescent="0.15">
      <c r="A106" s="149" t="s">
        <v>887</v>
      </c>
      <c r="B106" s="157" t="s">
        <v>705</v>
      </c>
      <c r="C106" s="114" t="s">
        <v>1116</v>
      </c>
      <c r="D106" s="144">
        <v>0</v>
      </c>
      <c r="E106" s="144">
        <v>0</v>
      </c>
      <c r="F106" s="144">
        <v>0</v>
      </c>
      <c r="G106" s="144">
        <v>0</v>
      </c>
      <c r="H106" s="144">
        <v>0</v>
      </c>
      <c r="I106" s="465">
        <f t="shared" si="5"/>
        <v>0</v>
      </c>
    </row>
    <row r="107" spans="1:9" x14ac:dyDescent="0.15">
      <c r="A107" s="149" t="s">
        <v>1112</v>
      </c>
      <c r="B107" s="157" t="s">
        <v>706</v>
      </c>
      <c r="C107" s="114" t="s">
        <v>1117</v>
      </c>
      <c r="D107" s="144">
        <v>0</v>
      </c>
      <c r="E107" s="144">
        <v>0</v>
      </c>
      <c r="F107" s="144">
        <v>0</v>
      </c>
      <c r="G107" s="144">
        <v>0</v>
      </c>
      <c r="H107" s="144">
        <v>0</v>
      </c>
      <c r="I107" s="465">
        <f t="shared" si="5"/>
        <v>0</v>
      </c>
    </row>
    <row r="108" spans="1:9" x14ac:dyDescent="0.15">
      <c r="A108" s="149" t="s">
        <v>1113</v>
      </c>
      <c r="B108" s="157" t="s">
        <v>707</v>
      </c>
      <c r="C108" s="114" t="s">
        <v>1118</v>
      </c>
      <c r="D108" s="144">
        <v>0</v>
      </c>
      <c r="E108" s="144">
        <v>0</v>
      </c>
      <c r="F108" s="144">
        <v>0</v>
      </c>
      <c r="G108" s="144">
        <v>0</v>
      </c>
      <c r="H108" s="144">
        <v>0</v>
      </c>
      <c r="I108" s="465">
        <f t="shared" si="5"/>
        <v>0</v>
      </c>
    </row>
    <row r="109" spans="1:9" x14ac:dyDescent="0.15">
      <c r="A109" s="149" t="s">
        <v>1114</v>
      </c>
      <c r="B109" s="157" t="s">
        <v>708</v>
      </c>
      <c r="C109" s="114" t="s">
        <v>1119</v>
      </c>
      <c r="D109" s="144">
        <v>0</v>
      </c>
      <c r="E109" s="144">
        <v>0</v>
      </c>
      <c r="F109" s="144">
        <v>0</v>
      </c>
      <c r="G109" s="144">
        <v>0</v>
      </c>
      <c r="H109" s="144">
        <v>0</v>
      </c>
      <c r="I109" s="465">
        <f t="shared" si="5"/>
        <v>0</v>
      </c>
    </row>
    <row r="110" spans="1:9" x14ac:dyDescent="0.15">
      <c r="A110" s="149" t="s">
        <v>1115</v>
      </c>
      <c r="B110" s="157" t="s">
        <v>709</v>
      </c>
      <c r="C110" s="114" t="s">
        <v>1120</v>
      </c>
      <c r="D110" s="144">
        <v>0</v>
      </c>
      <c r="E110" s="144">
        <v>0</v>
      </c>
      <c r="F110" s="144">
        <v>0</v>
      </c>
      <c r="G110" s="144">
        <v>0</v>
      </c>
      <c r="H110" s="144">
        <v>0</v>
      </c>
      <c r="I110" s="465">
        <f t="shared" si="5"/>
        <v>0</v>
      </c>
    </row>
    <row r="111" spans="1:9" x14ac:dyDescent="0.15">
      <c r="A111" s="149" t="s">
        <v>114</v>
      </c>
      <c r="B111" s="157" t="s">
        <v>710</v>
      </c>
      <c r="C111" s="114" t="s">
        <v>1121</v>
      </c>
      <c r="D111" s="144">
        <v>0</v>
      </c>
      <c r="E111" s="144">
        <v>0</v>
      </c>
      <c r="F111" s="144">
        <v>0</v>
      </c>
      <c r="G111" s="144">
        <v>0</v>
      </c>
      <c r="H111" s="144">
        <v>0</v>
      </c>
      <c r="I111" s="465">
        <f t="shared" si="5"/>
        <v>0</v>
      </c>
    </row>
    <row r="112" spans="1:9" ht="11.25" thickBot="1" x14ac:dyDescent="0.2">
      <c r="A112" s="149"/>
      <c r="B112" s="114"/>
      <c r="G112" s="156"/>
      <c r="I112" s="164"/>
    </row>
    <row r="113" spans="1:9" ht="12" thickTop="1" thickBot="1" x14ac:dyDescent="0.2">
      <c r="A113" s="149"/>
      <c r="B113" s="149" t="s">
        <v>711</v>
      </c>
      <c r="C113" s="169" t="s">
        <v>476</v>
      </c>
      <c r="D113" s="177">
        <f t="shared" ref="D113:I113" si="6">SUM(D78:D111)</f>
        <v>0</v>
      </c>
      <c r="E113" s="177">
        <f t="shared" si="6"/>
        <v>0</v>
      </c>
      <c r="F113" s="177">
        <f t="shared" si="6"/>
        <v>0</v>
      </c>
      <c r="G113" s="177">
        <f t="shared" si="6"/>
        <v>0</v>
      </c>
      <c r="H113" s="177">
        <f t="shared" si="6"/>
        <v>0</v>
      </c>
      <c r="I113" s="177">
        <f t="shared" si="6"/>
        <v>0</v>
      </c>
    </row>
    <row r="114" spans="1:9" ht="11.25" thickTop="1" x14ac:dyDescent="0.15">
      <c r="A114" s="149"/>
      <c r="B114" s="114"/>
      <c r="G114" s="156"/>
      <c r="I114" s="164"/>
    </row>
    <row r="115" spans="1:9" x14ac:dyDescent="0.15">
      <c r="A115" s="149" t="s">
        <v>826</v>
      </c>
      <c r="B115" s="149" t="s">
        <v>712</v>
      </c>
      <c r="C115" s="169" t="s">
        <v>556</v>
      </c>
      <c r="D115" s="144">
        <v>0</v>
      </c>
      <c r="E115" s="144">
        <v>0</v>
      </c>
      <c r="F115" s="144">
        <v>0</v>
      </c>
      <c r="G115" s="144">
        <v>0</v>
      </c>
      <c r="H115" s="144">
        <v>0</v>
      </c>
      <c r="I115" s="465">
        <f>G115+H115</f>
        <v>0</v>
      </c>
    </row>
    <row r="116" spans="1:9" x14ac:dyDescent="0.15">
      <c r="A116" s="149"/>
      <c r="B116" s="149" t="s">
        <v>985</v>
      </c>
      <c r="C116" s="568" t="s">
        <v>304</v>
      </c>
      <c r="D116" s="459">
        <f t="shared" ref="D116:I116" si="7">+D22</f>
        <v>0</v>
      </c>
      <c r="E116" s="459">
        <f t="shared" si="7"/>
        <v>0</v>
      </c>
      <c r="F116" s="459">
        <f t="shared" si="7"/>
        <v>0</v>
      </c>
      <c r="G116" s="459">
        <f t="shared" si="7"/>
        <v>0</v>
      </c>
      <c r="H116" s="459">
        <f t="shared" si="7"/>
        <v>0</v>
      </c>
      <c r="I116" s="459">
        <f t="shared" si="7"/>
        <v>0</v>
      </c>
    </row>
    <row r="117" spans="1:9" ht="11.25" thickBot="1" x14ac:dyDescent="0.2">
      <c r="A117" s="149"/>
      <c r="B117" s="114"/>
      <c r="G117" s="156"/>
      <c r="I117" s="164"/>
    </row>
    <row r="118" spans="1:9" ht="12" thickTop="1" thickBot="1" x14ac:dyDescent="0.2">
      <c r="B118" s="157" t="s">
        <v>713</v>
      </c>
      <c r="C118" s="18" t="s">
        <v>986</v>
      </c>
      <c r="D118" s="177">
        <f t="shared" ref="D118:I118" si="8">D60+D113+D115+D116</f>
        <v>0</v>
      </c>
      <c r="E118" s="177">
        <f t="shared" si="8"/>
        <v>0</v>
      </c>
      <c r="F118" s="177">
        <f t="shared" si="8"/>
        <v>0</v>
      </c>
      <c r="G118" s="177">
        <f t="shared" si="8"/>
        <v>0</v>
      </c>
      <c r="H118" s="177">
        <f t="shared" si="8"/>
        <v>0</v>
      </c>
      <c r="I118" s="177">
        <f t="shared" si="8"/>
        <v>0</v>
      </c>
    </row>
    <row r="119" spans="1:9" ht="11.25" thickTop="1" x14ac:dyDescent="0.15">
      <c r="A119" s="149"/>
      <c r="B119" s="114"/>
      <c r="G119" s="156"/>
      <c r="I119" s="164"/>
    </row>
    <row r="120" spans="1:9" x14ac:dyDescent="0.15">
      <c r="A120" s="149"/>
      <c r="B120" s="114"/>
      <c r="G120" s="156"/>
      <c r="I120" s="164"/>
    </row>
    <row r="121" spans="1:9" x14ac:dyDescent="0.15">
      <c r="A121" s="152" t="s">
        <v>1048</v>
      </c>
      <c r="C121" s="206" t="s">
        <v>211</v>
      </c>
      <c r="D121" s="156"/>
      <c r="E121" s="156"/>
      <c r="F121" s="156"/>
      <c r="G121" s="156"/>
      <c r="I121" s="164"/>
    </row>
    <row r="122" spans="1:9" x14ac:dyDescent="0.15">
      <c r="A122" s="486" t="s">
        <v>827</v>
      </c>
      <c r="B122" s="157" t="s">
        <v>714</v>
      </c>
      <c r="C122" s="135" t="s">
        <v>821</v>
      </c>
      <c r="D122" s="40">
        <v>0</v>
      </c>
      <c r="E122" s="40">
        <v>0</v>
      </c>
      <c r="F122" s="40">
        <v>0</v>
      </c>
      <c r="G122" s="40">
        <v>0</v>
      </c>
      <c r="H122" s="144">
        <v>0</v>
      </c>
      <c r="I122" s="465">
        <f>G122+H122</f>
        <v>0</v>
      </c>
    </row>
    <row r="123" spans="1:9" x14ac:dyDescent="0.15">
      <c r="A123" s="627" t="s">
        <v>1394</v>
      </c>
      <c r="B123" s="157" t="s">
        <v>715</v>
      </c>
      <c r="C123" s="135" t="s">
        <v>822</v>
      </c>
      <c r="D123" s="40">
        <v>0</v>
      </c>
      <c r="E123" s="40">
        <v>0</v>
      </c>
      <c r="F123" s="40">
        <v>0</v>
      </c>
      <c r="G123" s="40">
        <v>0</v>
      </c>
      <c r="H123" s="144">
        <v>0</v>
      </c>
      <c r="I123" s="465">
        <f>G123+H123</f>
        <v>0</v>
      </c>
    </row>
    <row r="124" spans="1:9" s="173" customFormat="1" x14ac:dyDescent="0.15">
      <c r="A124" s="627" t="s">
        <v>1395</v>
      </c>
      <c r="B124" s="157" t="s">
        <v>716</v>
      </c>
      <c r="C124" s="135" t="s">
        <v>823</v>
      </c>
      <c r="D124" s="40">
        <v>0</v>
      </c>
      <c r="E124" s="40">
        <v>0</v>
      </c>
      <c r="F124" s="40">
        <v>0</v>
      </c>
      <c r="G124" s="40">
        <v>0</v>
      </c>
      <c r="H124" s="144">
        <v>0</v>
      </c>
      <c r="I124" s="465">
        <f>G124+H124</f>
        <v>0</v>
      </c>
    </row>
    <row r="125" spans="1:9" x14ac:dyDescent="0.15">
      <c r="A125" s="627" t="s">
        <v>1396</v>
      </c>
      <c r="B125" s="157" t="s">
        <v>717</v>
      </c>
      <c r="C125" s="625" t="s">
        <v>1397</v>
      </c>
      <c r="D125" s="40">
        <v>0</v>
      </c>
      <c r="E125" s="40">
        <v>0</v>
      </c>
      <c r="F125" s="40">
        <v>0</v>
      </c>
      <c r="G125" s="40">
        <v>0</v>
      </c>
      <c r="H125" s="144">
        <v>0</v>
      </c>
      <c r="I125" s="465">
        <f>G125+H125</f>
        <v>0</v>
      </c>
    </row>
    <row r="126" spans="1:9" ht="11.25" thickBot="1" x14ac:dyDescent="0.2">
      <c r="A126" s="486" t="s">
        <v>831</v>
      </c>
      <c r="B126" s="157" t="s">
        <v>268</v>
      </c>
      <c r="C126" s="135" t="s">
        <v>825</v>
      </c>
      <c r="D126" s="147">
        <v>0</v>
      </c>
      <c r="E126" s="147">
        <v>0</v>
      </c>
      <c r="F126" s="147">
        <v>0</v>
      </c>
      <c r="G126" s="147">
        <v>0</v>
      </c>
      <c r="H126" s="144">
        <v>0</v>
      </c>
      <c r="I126" s="465">
        <f>G126+H126</f>
        <v>0</v>
      </c>
    </row>
    <row r="127" spans="1:9" ht="12" thickTop="1" thickBot="1" x14ac:dyDescent="0.2">
      <c r="A127" s="146"/>
      <c r="B127" s="157" t="s">
        <v>277</v>
      </c>
      <c r="C127" s="114" t="s">
        <v>477</v>
      </c>
      <c r="D127" s="148">
        <f t="shared" ref="D127:I127" si="9">SUM(D122:D126)</f>
        <v>0</v>
      </c>
      <c r="E127" s="148">
        <f t="shared" si="9"/>
        <v>0</v>
      </c>
      <c r="F127" s="148">
        <f t="shared" si="9"/>
        <v>0</v>
      </c>
      <c r="G127" s="148">
        <f t="shared" si="9"/>
        <v>0</v>
      </c>
      <c r="H127" s="148">
        <f t="shared" si="9"/>
        <v>0</v>
      </c>
      <c r="I127" s="166">
        <f t="shared" si="9"/>
        <v>0</v>
      </c>
    </row>
    <row r="128" spans="1:9" ht="12" thickTop="1" thickBot="1" x14ac:dyDescent="0.2">
      <c r="A128" s="146"/>
      <c r="C128" s="114"/>
      <c r="D128" s="156"/>
      <c r="E128" s="156"/>
      <c r="F128" s="156"/>
      <c r="G128" s="156"/>
      <c r="I128" s="164"/>
    </row>
    <row r="129" spans="1:9" ht="11.25" thickBot="1" x14ac:dyDescent="0.2">
      <c r="A129" s="728" t="s">
        <v>478</v>
      </c>
      <c r="B129" s="728"/>
      <c r="C129" s="729"/>
      <c r="D129" s="168">
        <f t="shared" ref="D129:I129" si="10">D118+D127</f>
        <v>0</v>
      </c>
      <c r="E129" s="168">
        <f>E118+E127</f>
        <v>0</v>
      </c>
      <c r="F129" s="168">
        <f t="shared" si="10"/>
        <v>0</v>
      </c>
      <c r="G129" s="168">
        <f t="shared" si="10"/>
        <v>0</v>
      </c>
      <c r="H129" s="168">
        <f t="shared" si="10"/>
        <v>0</v>
      </c>
      <c r="I129" s="168">
        <f t="shared" si="10"/>
        <v>0</v>
      </c>
    </row>
    <row r="130" spans="1:9" x14ac:dyDescent="0.15">
      <c r="A130" s="146"/>
      <c r="C130" s="114" t="s">
        <v>203</v>
      </c>
      <c r="D130" s="156"/>
      <c r="E130" s="156"/>
      <c r="F130" s="156"/>
      <c r="G130" s="156"/>
      <c r="I130" s="164"/>
    </row>
    <row r="131" spans="1:9" ht="11.25" thickBot="1" x14ac:dyDescent="0.2">
      <c r="A131" s="146"/>
      <c r="C131" s="114"/>
      <c r="D131" s="156"/>
      <c r="E131" s="156"/>
      <c r="F131" s="156"/>
      <c r="G131" s="156"/>
      <c r="I131" s="164"/>
    </row>
    <row r="132" spans="1:9" ht="12" thickTop="1" thickBot="1" x14ac:dyDescent="0.2">
      <c r="C132" s="169" t="s">
        <v>204</v>
      </c>
      <c r="D132" s="170">
        <f t="shared" ref="D132:I132" si="11">D19</f>
        <v>0</v>
      </c>
      <c r="E132" s="170">
        <f t="shared" si="11"/>
        <v>0</v>
      </c>
      <c r="F132" s="170">
        <f t="shared" si="11"/>
        <v>0</v>
      </c>
      <c r="G132" s="170">
        <f t="shared" si="11"/>
        <v>0</v>
      </c>
      <c r="H132" s="170">
        <f t="shared" si="11"/>
        <v>0</v>
      </c>
      <c r="I132" s="170">
        <f t="shared" si="11"/>
        <v>0</v>
      </c>
    </row>
    <row r="133" spans="1:9" ht="11.25" thickTop="1" x14ac:dyDescent="0.15">
      <c r="I133" s="164"/>
    </row>
    <row r="134" spans="1:9" x14ac:dyDescent="0.15">
      <c r="C134" s="169" t="s">
        <v>205</v>
      </c>
      <c r="D134" s="155">
        <f t="shared" ref="D134:I134" si="12">D129-D132</f>
        <v>0</v>
      </c>
      <c r="E134" s="155">
        <f t="shared" si="12"/>
        <v>0</v>
      </c>
      <c r="F134" s="155">
        <f t="shared" si="12"/>
        <v>0</v>
      </c>
      <c r="G134" s="155">
        <f t="shared" si="12"/>
        <v>0</v>
      </c>
      <c r="H134" s="155">
        <f t="shared" si="12"/>
        <v>0</v>
      </c>
      <c r="I134" s="164">
        <f t="shared" si="12"/>
        <v>0</v>
      </c>
    </row>
    <row r="135" spans="1:9" x14ac:dyDescent="0.15">
      <c r="I135" s="164"/>
    </row>
    <row r="136" spans="1:9" x14ac:dyDescent="0.15">
      <c r="I136" s="164"/>
    </row>
    <row r="137" spans="1:9" x14ac:dyDescent="0.15">
      <c r="A137" s="155" t="s">
        <v>475</v>
      </c>
    </row>
    <row r="138" spans="1:9" x14ac:dyDescent="0.15">
      <c r="A138" s="155" t="s">
        <v>983</v>
      </c>
    </row>
    <row r="139" spans="1:9" x14ac:dyDescent="0.15">
      <c r="A139" s="719" t="s">
        <v>1553</v>
      </c>
    </row>
  </sheetData>
  <sheetProtection password="CB03" sheet="1" objects="1" scenarios="1" formatCells="0" formatColumns="0" formatRows="0"/>
  <mergeCells count="1">
    <mergeCell ref="A129:C129"/>
  </mergeCells>
  <phoneticPr fontId="0" type="noConversion"/>
  <pageMargins left="0.75" right="0.75" top="1" bottom="1" header="0.5" footer="0.5"/>
  <pageSetup scale="58" firstPageNumber="27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indexed="43"/>
  </sheetPr>
  <dimension ref="A1:Y119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3" sqref="D3"/>
    </sheetView>
  </sheetViews>
  <sheetFormatPr defaultRowHeight="10.5" x14ac:dyDescent="0.15"/>
  <cols>
    <col min="1" max="1" width="9.33203125" style="283"/>
    <col min="3" max="3" width="61.33203125" customWidth="1"/>
    <col min="4" max="4" width="11.5" customWidth="1"/>
    <col min="5" max="5" width="10.83203125" customWidth="1"/>
    <col min="6" max="6" width="11.83203125" customWidth="1"/>
    <col min="7" max="7" width="11.6640625" customWidth="1"/>
    <col min="8" max="8" width="11" customWidth="1"/>
    <col min="9" max="9" width="11.5" customWidth="1"/>
    <col min="10" max="10" width="12.6640625" customWidth="1"/>
    <col min="11" max="12" width="11.5" customWidth="1"/>
    <col min="13" max="21" width="13.83203125" customWidth="1"/>
    <col min="22" max="22" width="13.83203125" style="283" customWidth="1"/>
    <col min="23" max="23" width="13.83203125" customWidth="1"/>
    <col min="24" max="24" width="12.6640625" customWidth="1"/>
    <col min="25" max="25" width="12" customWidth="1"/>
  </cols>
  <sheetData>
    <row r="1" spans="1:25" ht="15.75" customHeight="1" x14ac:dyDescent="0.25">
      <c r="A1" s="316"/>
      <c r="C1" s="316"/>
      <c r="D1" s="372">
        <f t="shared" ref="D1:W1" si="0">IF(D3&gt;4000,300,IF(D3&gt;3000,200,100))</f>
        <v>100</v>
      </c>
      <c r="E1" s="372">
        <f t="shared" si="0"/>
        <v>100</v>
      </c>
      <c r="F1" s="372">
        <f t="shared" si="0"/>
        <v>100</v>
      </c>
      <c r="G1" s="372">
        <f t="shared" si="0"/>
        <v>100</v>
      </c>
      <c r="H1" s="372">
        <f t="shared" si="0"/>
        <v>100</v>
      </c>
      <c r="I1" s="372">
        <f t="shared" si="0"/>
        <v>100</v>
      </c>
      <c r="J1" s="372">
        <f t="shared" si="0"/>
        <v>100</v>
      </c>
      <c r="K1" s="372">
        <f t="shared" si="0"/>
        <v>100</v>
      </c>
      <c r="L1" s="372">
        <f t="shared" si="0"/>
        <v>100</v>
      </c>
      <c r="M1" s="372">
        <f t="shared" si="0"/>
        <v>100</v>
      </c>
      <c r="N1" s="372">
        <f t="shared" si="0"/>
        <v>100</v>
      </c>
      <c r="O1" s="372">
        <f t="shared" si="0"/>
        <v>100</v>
      </c>
      <c r="P1" s="372">
        <f t="shared" si="0"/>
        <v>100</v>
      </c>
      <c r="Q1" s="372">
        <f t="shared" si="0"/>
        <v>100</v>
      </c>
      <c r="R1" s="372">
        <f t="shared" si="0"/>
        <v>100</v>
      </c>
      <c r="S1" s="372">
        <f t="shared" si="0"/>
        <v>100</v>
      </c>
      <c r="T1" s="372">
        <f t="shared" si="0"/>
        <v>100</v>
      </c>
      <c r="U1" s="372">
        <f t="shared" si="0"/>
        <v>100</v>
      </c>
      <c r="V1" s="372">
        <f t="shared" si="0"/>
        <v>100</v>
      </c>
      <c r="W1" s="372">
        <f t="shared" si="0"/>
        <v>100</v>
      </c>
      <c r="X1" s="319"/>
    </row>
    <row r="2" spans="1:25" ht="15" x14ac:dyDescent="0.25">
      <c r="A2" s="363" t="s">
        <v>411</v>
      </c>
      <c r="C2" s="320"/>
      <c r="D2" s="372">
        <f>D1+COUNTIF($D$1:D$1,D1)</f>
        <v>101</v>
      </c>
      <c r="E2" s="372">
        <f>E1+COUNTIF($D$1:E$1,E1)</f>
        <v>102</v>
      </c>
      <c r="F2" s="372">
        <f>F1+COUNTIF($D$1:F$1,F1)</f>
        <v>103</v>
      </c>
      <c r="G2" s="372">
        <f>G1+COUNTIF($D$1:G$1,G1)</f>
        <v>104</v>
      </c>
      <c r="H2" s="372">
        <f>H1+COUNTIF($D$1:H$1,H1)</f>
        <v>105</v>
      </c>
      <c r="I2" s="372">
        <f>I1+COUNTIF($D$1:I$1,I1)</f>
        <v>106</v>
      </c>
      <c r="J2" s="372">
        <f>J1+COUNTIF($D$1:J$1,J1)</f>
        <v>107</v>
      </c>
      <c r="K2" s="372">
        <f>K1+COUNTIF($D$1:K$1,K1)</f>
        <v>108</v>
      </c>
      <c r="L2" s="372">
        <f>L1+COUNTIF($D$1:L$1,L1)</f>
        <v>109</v>
      </c>
      <c r="M2" s="372">
        <f>M1+COUNTIF($D$1:M$1,M1)</f>
        <v>110</v>
      </c>
      <c r="N2" s="372">
        <f>N1+COUNTIF($D$1:N$1,N1)</f>
        <v>111</v>
      </c>
      <c r="O2" s="372">
        <f>O1+COUNTIF($D$1:O$1,O1)</f>
        <v>112</v>
      </c>
      <c r="P2" s="372">
        <f>P1+COUNTIF($D$1:P$1,P1)</f>
        <v>113</v>
      </c>
      <c r="Q2" s="372">
        <f>Q1+COUNTIF($D$1:Q$1,Q1)</f>
        <v>114</v>
      </c>
      <c r="R2" s="372">
        <f>R1+COUNTIF($D$1:R$1,R1)</f>
        <v>115</v>
      </c>
      <c r="S2" s="372">
        <f>S1+COUNTIF($D$1:S$1,S1)</f>
        <v>116</v>
      </c>
      <c r="T2" s="372">
        <f>T1+COUNTIF($D$1:T$1,T1)</f>
        <v>117</v>
      </c>
      <c r="U2" s="372">
        <f>U1+COUNTIF($D$1:U$1,U1)</f>
        <v>118</v>
      </c>
      <c r="V2" s="372">
        <f>V1+COUNTIF($D$1:V$1,V1)</f>
        <v>119</v>
      </c>
      <c r="W2" s="372">
        <f>W1+COUNTIF($D$1:W$1,W1)</f>
        <v>120</v>
      </c>
      <c r="X2" s="319"/>
    </row>
    <row r="3" spans="1:25" s="132" customFormat="1" ht="12.75" x14ac:dyDescent="0.2">
      <c r="A3" s="358"/>
      <c r="C3" s="544" t="s">
        <v>1222</v>
      </c>
      <c r="D3" s="575"/>
      <c r="E3" s="576"/>
      <c r="F3" s="576"/>
      <c r="G3" s="575"/>
      <c r="H3" s="577"/>
      <c r="I3" s="576"/>
      <c r="J3" s="576"/>
      <c r="K3" s="575"/>
      <c r="L3" s="577"/>
      <c r="M3" s="577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359"/>
    </row>
    <row r="4" spans="1:25" ht="11.25" x14ac:dyDescent="0.15">
      <c r="A4" s="321" t="s">
        <v>1202</v>
      </c>
      <c r="B4" s="321" t="s">
        <v>1135</v>
      </c>
      <c r="C4" s="322" t="s">
        <v>608</v>
      </c>
      <c r="D4" s="541"/>
      <c r="E4" s="541"/>
      <c r="F4" s="541"/>
      <c r="G4" s="541"/>
      <c r="H4" s="541"/>
      <c r="I4" s="541"/>
      <c r="J4" s="542"/>
      <c r="K4" s="541"/>
      <c r="L4" s="543"/>
      <c r="M4" s="543"/>
      <c r="N4" s="543"/>
      <c r="O4" s="543"/>
      <c r="P4" s="543"/>
      <c r="Q4" s="543"/>
      <c r="R4" s="543"/>
      <c r="S4" s="543"/>
      <c r="T4" s="543"/>
      <c r="U4" s="543"/>
      <c r="V4" s="543"/>
      <c r="W4" s="543"/>
      <c r="X4" s="323" t="s">
        <v>611</v>
      </c>
      <c r="Y4" s="324"/>
    </row>
    <row r="5" spans="1:25" ht="11.25" x14ac:dyDescent="0.15">
      <c r="A5" s="325"/>
      <c r="C5" s="326"/>
      <c r="D5" s="327"/>
      <c r="E5" s="327"/>
      <c r="F5" s="327"/>
      <c r="G5" s="327"/>
      <c r="H5" s="327"/>
      <c r="I5" s="327"/>
      <c r="J5" s="327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9"/>
    </row>
    <row r="6" spans="1:25" ht="11.25" x14ac:dyDescent="0.15">
      <c r="A6" s="325"/>
      <c r="C6" s="326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30"/>
    </row>
    <row r="7" spans="1:25" ht="11.25" x14ac:dyDescent="0.2">
      <c r="A7" s="331">
        <v>1</v>
      </c>
      <c r="C7" s="320" t="s">
        <v>1203</v>
      </c>
      <c r="D7" s="517">
        <v>0</v>
      </c>
      <c r="E7" s="517">
        <v>0</v>
      </c>
      <c r="F7" s="517">
        <v>0</v>
      </c>
      <c r="G7" s="517">
        <v>0</v>
      </c>
      <c r="H7" s="517">
        <v>0</v>
      </c>
      <c r="I7" s="517">
        <v>0</v>
      </c>
      <c r="J7" s="517">
        <v>0</v>
      </c>
      <c r="K7" s="517">
        <v>0</v>
      </c>
      <c r="L7" s="517">
        <v>0</v>
      </c>
      <c r="M7" s="517">
        <v>0</v>
      </c>
      <c r="N7" s="517">
        <v>0</v>
      </c>
      <c r="O7" s="517">
        <v>0</v>
      </c>
      <c r="P7" s="517">
        <v>0</v>
      </c>
      <c r="Q7" s="517">
        <v>0</v>
      </c>
      <c r="R7" s="517">
        <v>0</v>
      </c>
      <c r="S7" s="517">
        <v>0</v>
      </c>
      <c r="T7" s="517">
        <v>0</v>
      </c>
      <c r="U7" s="517">
        <v>0</v>
      </c>
      <c r="V7" s="517">
        <v>0</v>
      </c>
      <c r="W7" s="517">
        <v>0</v>
      </c>
      <c r="X7" s="332">
        <f>SUM(D7:W7)</f>
        <v>0</v>
      </c>
      <c r="Y7" s="333"/>
    </row>
    <row r="8" spans="1:25" ht="11.25" x14ac:dyDescent="0.2">
      <c r="A8" s="331" t="s">
        <v>1204</v>
      </c>
      <c r="C8" s="334" t="s">
        <v>987</v>
      </c>
      <c r="D8" s="569">
        <v>0</v>
      </c>
      <c r="E8" s="569">
        <v>0</v>
      </c>
      <c r="F8" s="569">
        <v>0</v>
      </c>
      <c r="G8" s="569">
        <v>0</v>
      </c>
      <c r="H8" s="569">
        <v>0</v>
      </c>
      <c r="I8" s="569">
        <v>0</v>
      </c>
      <c r="J8" s="569">
        <v>0</v>
      </c>
      <c r="K8" s="569">
        <v>0</v>
      </c>
      <c r="L8" s="569">
        <v>0</v>
      </c>
      <c r="M8" s="569">
        <v>0</v>
      </c>
      <c r="N8" s="569">
        <v>0</v>
      </c>
      <c r="O8" s="569">
        <v>0</v>
      </c>
      <c r="P8" s="569">
        <v>0</v>
      </c>
      <c r="Q8" s="569">
        <v>0</v>
      </c>
      <c r="R8" s="569">
        <v>0</v>
      </c>
      <c r="S8" s="569">
        <v>0</v>
      </c>
      <c r="T8" s="569">
        <v>0</v>
      </c>
      <c r="U8" s="569">
        <v>0</v>
      </c>
      <c r="V8" s="569">
        <v>0</v>
      </c>
      <c r="W8" s="569">
        <v>0</v>
      </c>
      <c r="X8" s="332">
        <f>SUM(D8:W8)</f>
        <v>0</v>
      </c>
    </row>
    <row r="9" spans="1:25" ht="11.25" x14ac:dyDescent="0.2">
      <c r="A9" s="331" t="s">
        <v>1205</v>
      </c>
      <c r="C9" s="334" t="s">
        <v>994</v>
      </c>
      <c r="D9" s="569">
        <v>0</v>
      </c>
      <c r="E9" s="569">
        <v>0</v>
      </c>
      <c r="F9" s="569">
        <v>0</v>
      </c>
      <c r="G9" s="569">
        <v>0</v>
      </c>
      <c r="H9" s="569">
        <v>0</v>
      </c>
      <c r="I9" s="569">
        <v>0</v>
      </c>
      <c r="J9" s="569">
        <v>0</v>
      </c>
      <c r="K9" s="569">
        <v>0</v>
      </c>
      <c r="L9" s="569">
        <v>0</v>
      </c>
      <c r="M9" s="569">
        <v>0</v>
      </c>
      <c r="N9" s="569">
        <v>0</v>
      </c>
      <c r="O9" s="569">
        <v>0</v>
      </c>
      <c r="P9" s="569">
        <v>0</v>
      </c>
      <c r="Q9" s="569">
        <v>0</v>
      </c>
      <c r="R9" s="569">
        <v>0</v>
      </c>
      <c r="S9" s="569">
        <v>0</v>
      </c>
      <c r="T9" s="569">
        <v>0</v>
      </c>
      <c r="U9" s="569">
        <v>0</v>
      </c>
      <c r="V9" s="569">
        <v>0</v>
      </c>
      <c r="W9" s="569">
        <v>0</v>
      </c>
      <c r="X9" s="332">
        <f>SUM(D9:W9)</f>
        <v>0</v>
      </c>
    </row>
    <row r="10" spans="1:25" ht="11.25" x14ac:dyDescent="0.2">
      <c r="A10" s="331">
        <v>3</v>
      </c>
      <c r="C10" s="320" t="s">
        <v>1206</v>
      </c>
      <c r="D10" s="517">
        <v>0</v>
      </c>
      <c r="E10" s="517">
        <v>0</v>
      </c>
      <c r="F10" s="517">
        <v>0</v>
      </c>
      <c r="G10" s="517">
        <v>0</v>
      </c>
      <c r="H10" s="517">
        <v>0</v>
      </c>
      <c r="I10" s="517">
        <v>0</v>
      </c>
      <c r="J10" s="517">
        <v>0</v>
      </c>
      <c r="K10" s="517">
        <v>0</v>
      </c>
      <c r="L10" s="517">
        <v>0</v>
      </c>
      <c r="M10" s="517">
        <v>0</v>
      </c>
      <c r="N10" s="517">
        <v>0</v>
      </c>
      <c r="O10" s="517">
        <v>0</v>
      </c>
      <c r="P10" s="517">
        <v>0</v>
      </c>
      <c r="Q10" s="517">
        <v>0</v>
      </c>
      <c r="R10" s="517">
        <v>0</v>
      </c>
      <c r="S10" s="517">
        <v>0</v>
      </c>
      <c r="T10" s="517">
        <v>0</v>
      </c>
      <c r="U10" s="517">
        <v>0</v>
      </c>
      <c r="V10" s="517">
        <v>0</v>
      </c>
      <c r="W10" s="517">
        <v>0</v>
      </c>
      <c r="X10" s="332">
        <f>SUM(D10:W10)</f>
        <v>0</v>
      </c>
    </row>
    <row r="11" spans="1:25" ht="11.25" x14ac:dyDescent="0.2">
      <c r="A11" s="331" t="s">
        <v>1207</v>
      </c>
      <c r="C11" s="320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2"/>
    </row>
    <row r="12" spans="1:25" ht="11.25" x14ac:dyDescent="0.2">
      <c r="A12" s="331">
        <v>4</v>
      </c>
      <c r="C12" s="337" t="s">
        <v>1229</v>
      </c>
      <c r="D12" s="338">
        <f>SUM(D7:D10)</f>
        <v>0</v>
      </c>
      <c r="E12" s="338">
        <f>SUM(E7:E10)</f>
        <v>0</v>
      </c>
      <c r="F12" s="338">
        <f>SUM(F7:F10)</f>
        <v>0</v>
      </c>
      <c r="G12" s="338">
        <f>SUM(G7:G10)</f>
        <v>0</v>
      </c>
      <c r="H12" s="338">
        <f t="shared" ref="H12:W12" si="1">SUM(H7:H10)</f>
        <v>0</v>
      </c>
      <c r="I12" s="338">
        <f t="shared" si="1"/>
        <v>0</v>
      </c>
      <c r="J12" s="338">
        <f t="shared" si="1"/>
        <v>0</v>
      </c>
      <c r="K12" s="338">
        <f t="shared" si="1"/>
        <v>0</v>
      </c>
      <c r="L12" s="338">
        <f t="shared" si="1"/>
        <v>0</v>
      </c>
      <c r="M12" s="338">
        <f t="shared" si="1"/>
        <v>0</v>
      </c>
      <c r="N12" s="338">
        <f t="shared" si="1"/>
        <v>0</v>
      </c>
      <c r="O12" s="338">
        <f t="shared" si="1"/>
        <v>0</v>
      </c>
      <c r="P12" s="338">
        <f t="shared" si="1"/>
        <v>0</v>
      </c>
      <c r="Q12" s="338">
        <f t="shared" si="1"/>
        <v>0</v>
      </c>
      <c r="R12" s="338">
        <f t="shared" si="1"/>
        <v>0</v>
      </c>
      <c r="S12" s="338">
        <f t="shared" si="1"/>
        <v>0</v>
      </c>
      <c r="T12" s="338">
        <f t="shared" si="1"/>
        <v>0</v>
      </c>
      <c r="U12" s="338">
        <f t="shared" si="1"/>
        <v>0</v>
      </c>
      <c r="V12" s="338">
        <f t="shared" si="1"/>
        <v>0</v>
      </c>
      <c r="W12" s="338">
        <f t="shared" si="1"/>
        <v>0</v>
      </c>
      <c r="X12" s="332">
        <f>SUM(D12:W12)</f>
        <v>0</v>
      </c>
    </row>
    <row r="13" spans="1:25" ht="11.25" x14ac:dyDescent="0.2">
      <c r="A13" s="362" t="s">
        <v>761</v>
      </c>
      <c r="B13" s="360"/>
      <c r="C13" s="339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</row>
    <row r="14" spans="1:25" ht="11.25" hidden="1" x14ac:dyDescent="0.2">
      <c r="A14" s="331">
        <v>5</v>
      </c>
      <c r="B14" s="516" t="s">
        <v>880</v>
      </c>
      <c r="C14" s="305" t="s">
        <v>1164</v>
      </c>
      <c r="D14" s="458"/>
      <c r="E14" s="458"/>
      <c r="F14" s="458"/>
      <c r="G14" s="458"/>
      <c r="H14" s="458"/>
      <c r="I14" s="458"/>
      <c r="J14" s="458"/>
      <c r="K14" s="458"/>
      <c r="L14" s="458"/>
      <c r="M14" s="458"/>
      <c r="N14" s="458"/>
      <c r="O14" s="458"/>
      <c r="P14" s="458"/>
      <c r="Q14" s="458"/>
      <c r="R14" s="458"/>
      <c r="S14" s="458"/>
      <c r="T14" s="458"/>
      <c r="U14" s="458"/>
      <c r="V14" s="458"/>
      <c r="W14" s="458"/>
      <c r="X14" s="338">
        <f t="shared" ref="X14:X22" si="2">SUM(D14:W14)</f>
        <v>0</v>
      </c>
    </row>
    <row r="15" spans="1:25" ht="11.25" x14ac:dyDescent="0.2">
      <c r="A15" s="331" t="s">
        <v>766</v>
      </c>
      <c r="B15" s="516" t="s">
        <v>880</v>
      </c>
      <c r="C15" s="305" t="s">
        <v>340</v>
      </c>
      <c r="D15" s="144">
        <v>0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44">
        <v>0</v>
      </c>
      <c r="S15" s="144">
        <v>0</v>
      </c>
      <c r="T15" s="144">
        <v>0</v>
      </c>
      <c r="U15" s="144">
        <v>0</v>
      </c>
      <c r="V15" s="144">
        <v>0</v>
      </c>
      <c r="W15" s="144">
        <v>0</v>
      </c>
      <c r="X15" s="332">
        <f t="shared" si="2"/>
        <v>0</v>
      </c>
    </row>
    <row r="16" spans="1:25" ht="11.25" hidden="1" x14ac:dyDescent="0.2">
      <c r="A16" s="331">
        <v>6</v>
      </c>
      <c r="B16" s="516" t="s">
        <v>881</v>
      </c>
      <c r="C16" s="305" t="s">
        <v>1015</v>
      </c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58"/>
      <c r="U16" s="458"/>
      <c r="V16" s="458"/>
      <c r="W16" s="458"/>
      <c r="X16" s="332">
        <f t="shared" si="2"/>
        <v>0</v>
      </c>
    </row>
    <row r="17" spans="1:24" ht="11.25" x14ac:dyDescent="0.2">
      <c r="A17" s="331" t="s">
        <v>767</v>
      </c>
      <c r="B17" s="516" t="s">
        <v>881</v>
      </c>
      <c r="C17" s="305" t="s">
        <v>338</v>
      </c>
      <c r="D17" s="518">
        <v>0</v>
      </c>
      <c r="E17" s="518">
        <v>0</v>
      </c>
      <c r="F17" s="518">
        <v>0</v>
      </c>
      <c r="G17" s="518">
        <v>0</v>
      </c>
      <c r="H17" s="518">
        <v>0</v>
      </c>
      <c r="I17" s="518">
        <v>0</v>
      </c>
      <c r="J17" s="518">
        <v>0</v>
      </c>
      <c r="K17" s="518">
        <v>0</v>
      </c>
      <c r="L17" s="518">
        <v>0</v>
      </c>
      <c r="M17" s="518">
        <v>0</v>
      </c>
      <c r="N17" s="518">
        <v>0</v>
      </c>
      <c r="O17" s="518">
        <v>0</v>
      </c>
      <c r="P17" s="518">
        <v>0</v>
      </c>
      <c r="Q17" s="518">
        <v>0</v>
      </c>
      <c r="R17" s="518">
        <v>0</v>
      </c>
      <c r="S17" s="518">
        <v>0</v>
      </c>
      <c r="T17" s="518">
        <v>0</v>
      </c>
      <c r="U17" s="518">
        <v>0</v>
      </c>
      <c r="V17" s="518">
        <v>0</v>
      </c>
      <c r="W17" s="518">
        <v>0</v>
      </c>
      <c r="X17" s="332">
        <f t="shared" si="2"/>
        <v>0</v>
      </c>
    </row>
    <row r="18" spans="1:24" ht="11.25" x14ac:dyDescent="0.2">
      <c r="A18" s="331">
        <v>7</v>
      </c>
      <c r="B18" s="185" t="s">
        <v>882</v>
      </c>
      <c r="C18" s="320" t="s">
        <v>1208</v>
      </c>
      <c r="D18" s="518">
        <v>0</v>
      </c>
      <c r="E18" s="518">
        <v>0</v>
      </c>
      <c r="F18" s="518">
        <v>0</v>
      </c>
      <c r="G18" s="518">
        <v>0</v>
      </c>
      <c r="H18" s="518">
        <v>0</v>
      </c>
      <c r="I18" s="518">
        <v>0</v>
      </c>
      <c r="J18" s="518">
        <v>0</v>
      </c>
      <c r="K18" s="518">
        <v>0</v>
      </c>
      <c r="L18" s="519">
        <v>0</v>
      </c>
      <c r="M18" s="519">
        <v>0</v>
      </c>
      <c r="N18" s="519">
        <v>0</v>
      </c>
      <c r="O18" s="519">
        <v>0</v>
      </c>
      <c r="P18" s="519">
        <v>0</v>
      </c>
      <c r="Q18" s="519">
        <v>0</v>
      </c>
      <c r="R18" s="519">
        <v>0</v>
      </c>
      <c r="S18" s="519">
        <v>0</v>
      </c>
      <c r="T18" s="519">
        <v>0</v>
      </c>
      <c r="U18" s="519">
        <v>0</v>
      </c>
      <c r="V18" s="519">
        <v>0</v>
      </c>
      <c r="W18" s="519">
        <v>0</v>
      </c>
      <c r="X18" s="332">
        <f t="shared" si="2"/>
        <v>0</v>
      </c>
    </row>
    <row r="19" spans="1:24" ht="11.25" x14ac:dyDescent="0.2">
      <c r="A19" s="331">
        <v>8</v>
      </c>
      <c r="B19" s="185" t="s">
        <v>884</v>
      </c>
      <c r="C19" s="320" t="s">
        <v>1209</v>
      </c>
      <c r="D19" s="518">
        <v>0</v>
      </c>
      <c r="E19" s="518">
        <v>0</v>
      </c>
      <c r="F19" s="518">
        <v>0</v>
      </c>
      <c r="G19" s="518">
        <v>0</v>
      </c>
      <c r="H19" s="518">
        <v>0</v>
      </c>
      <c r="I19" s="518">
        <v>0</v>
      </c>
      <c r="J19" s="518">
        <v>0</v>
      </c>
      <c r="K19" s="518">
        <v>0</v>
      </c>
      <c r="L19" s="519">
        <v>0</v>
      </c>
      <c r="M19" s="519">
        <v>0</v>
      </c>
      <c r="N19" s="519">
        <v>0</v>
      </c>
      <c r="O19" s="519">
        <v>0</v>
      </c>
      <c r="P19" s="519">
        <v>0</v>
      </c>
      <c r="Q19" s="519">
        <v>0</v>
      </c>
      <c r="R19" s="519">
        <v>0</v>
      </c>
      <c r="S19" s="519">
        <v>0</v>
      </c>
      <c r="T19" s="519">
        <v>0</v>
      </c>
      <c r="U19" s="519">
        <v>0</v>
      </c>
      <c r="V19" s="519">
        <v>0</v>
      </c>
      <c r="W19" s="519">
        <v>0</v>
      </c>
      <c r="X19" s="332">
        <f t="shared" si="2"/>
        <v>0</v>
      </c>
    </row>
    <row r="20" spans="1:24" ht="11.25" x14ac:dyDescent="0.2">
      <c r="A20" s="331">
        <v>9</v>
      </c>
      <c r="B20" s="185" t="s">
        <v>885</v>
      </c>
      <c r="C20" s="320" t="s">
        <v>1210</v>
      </c>
      <c r="D20" s="518">
        <v>0</v>
      </c>
      <c r="E20" s="518">
        <v>0</v>
      </c>
      <c r="F20" s="518">
        <v>0</v>
      </c>
      <c r="G20" s="518">
        <v>0</v>
      </c>
      <c r="H20" s="518">
        <v>0</v>
      </c>
      <c r="I20" s="518">
        <v>0</v>
      </c>
      <c r="J20" s="518">
        <v>0</v>
      </c>
      <c r="K20" s="518">
        <v>0</v>
      </c>
      <c r="L20" s="519">
        <v>0</v>
      </c>
      <c r="M20" s="519">
        <v>0</v>
      </c>
      <c r="N20" s="519">
        <v>0</v>
      </c>
      <c r="O20" s="519">
        <v>0</v>
      </c>
      <c r="P20" s="519">
        <v>0</v>
      </c>
      <c r="Q20" s="519">
        <v>0</v>
      </c>
      <c r="R20" s="519">
        <v>0</v>
      </c>
      <c r="S20" s="519">
        <v>0</v>
      </c>
      <c r="T20" s="519">
        <v>0</v>
      </c>
      <c r="U20" s="519">
        <v>0</v>
      </c>
      <c r="V20" s="519">
        <v>0</v>
      </c>
      <c r="W20" s="519">
        <v>0</v>
      </c>
      <c r="X20" s="332">
        <f t="shared" si="2"/>
        <v>0</v>
      </c>
    </row>
    <row r="21" spans="1:24" ht="11.25" x14ac:dyDescent="0.2">
      <c r="A21" s="341">
        <v>10</v>
      </c>
      <c r="B21" s="185" t="s">
        <v>887</v>
      </c>
      <c r="C21" s="318" t="s">
        <v>1211</v>
      </c>
      <c r="D21" s="518">
        <v>0</v>
      </c>
      <c r="E21" s="518">
        <v>0</v>
      </c>
      <c r="F21" s="518">
        <v>0</v>
      </c>
      <c r="G21" s="518">
        <v>0</v>
      </c>
      <c r="H21" s="518">
        <v>0</v>
      </c>
      <c r="I21" s="518">
        <v>0</v>
      </c>
      <c r="J21" s="518">
        <v>0</v>
      </c>
      <c r="K21" s="518">
        <v>0</v>
      </c>
      <c r="L21" s="519">
        <v>0</v>
      </c>
      <c r="M21" s="519">
        <v>0</v>
      </c>
      <c r="N21" s="519">
        <v>0</v>
      </c>
      <c r="O21" s="519">
        <v>0</v>
      </c>
      <c r="P21" s="519">
        <v>0</v>
      </c>
      <c r="Q21" s="519">
        <v>0</v>
      </c>
      <c r="R21" s="519">
        <v>0</v>
      </c>
      <c r="S21" s="519">
        <v>0</v>
      </c>
      <c r="T21" s="519">
        <v>0</v>
      </c>
      <c r="U21" s="519">
        <v>0</v>
      </c>
      <c r="V21" s="519">
        <v>0</v>
      </c>
      <c r="W21" s="519">
        <v>0</v>
      </c>
      <c r="X21" s="332">
        <f t="shared" si="2"/>
        <v>0</v>
      </c>
    </row>
    <row r="22" spans="1:24" ht="11.25" x14ac:dyDescent="0.2">
      <c r="A22" s="331">
        <v>11</v>
      </c>
      <c r="C22" s="337" t="s">
        <v>929</v>
      </c>
      <c r="D22" s="338">
        <f>SUM(D14:D21)</f>
        <v>0</v>
      </c>
      <c r="E22" s="338">
        <f t="shared" ref="E22:W22" si="3">SUM(E14:E21)</f>
        <v>0</v>
      </c>
      <c r="F22" s="338">
        <f t="shared" si="3"/>
        <v>0</v>
      </c>
      <c r="G22" s="338">
        <f t="shared" si="3"/>
        <v>0</v>
      </c>
      <c r="H22" s="338">
        <f t="shared" si="3"/>
        <v>0</v>
      </c>
      <c r="I22" s="338">
        <f t="shared" si="3"/>
        <v>0</v>
      </c>
      <c r="J22" s="338">
        <f t="shared" si="3"/>
        <v>0</v>
      </c>
      <c r="K22" s="338">
        <f t="shared" si="3"/>
        <v>0</v>
      </c>
      <c r="L22" s="338">
        <f t="shared" si="3"/>
        <v>0</v>
      </c>
      <c r="M22" s="338">
        <f t="shared" si="3"/>
        <v>0</v>
      </c>
      <c r="N22" s="338">
        <f t="shared" si="3"/>
        <v>0</v>
      </c>
      <c r="O22" s="338">
        <f t="shared" si="3"/>
        <v>0</v>
      </c>
      <c r="P22" s="338">
        <f t="shared" si="3"/>
        <v>0</v>
      </c>
      <c r="Q22" s="338">
        <f t="shared" si="3"/>
        <v>0</v>
      </c>
      <c r="R22" s="338">
        <f t="shared" si="3"/>
        <v>0</v>
      </c>
      <c r="S22" s="338">
        <f t="shared" si="3"/>
        <v>0</v>
      </c>
      <c r="T22" s="338">
        <f t="shared" si="3"/>
        <v>0</v>
      </c>
      <c r="U22" s="338">
        <f t="shared" si="3"/>
        <v>0</v>
      </c>
      <c r="V22" s="338">
        <f t="shared" si="3"/>
        <v>0</v>
      </c>
      <c r="W22" s="338">
        <f t="shared" si="3"/>
        <v>0</v>
      </c>
      <c r="X22" s="332">
        <f t="shared" si="2"/>
        <v>0</v>
      </c>
    </row>
    <row r="23" spans="1:24" ht="11.25" x14ac:dyDescent="0.2">
      <c r="A23" s="362" t="s">
        <v>762</v>
      </c>
      <c r="B23" s="360"/>
      <c r="C23" s="339"/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</row>
    <row r="24" spans="1:24" ht="11.25" hidden="1" x14ac:dyDescent="0.2">
      <c r="A24" s="331">
        <v>5</v>
      </c>
      <c r="B24" s="516" t="s">
        <v>880</v>
      </c>
      <c r="C24" s="305" t="s">
        <v>1164</v>
      </c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8"/>
      <c r="P24" s="458"/>
      <c r="Q24" s="458"/>
      <c r="R24" s="458"/>
      <c r="S24" s="458"/>
      <c r="T24" s="458"/>
      <c r="U24" s="458"/>
      <c r="V24" s="458"/>
      <c r="W24" s="458"/>
      <c r="X24" s="338">
        <f t="shared" ref="X24:X32" si="4">SUM(D24:W24)</f>
        <v>0</v>
      </c>
    </row>
    <row r="25" spans="1:24" ht="11.25" x14ac:dyDescent="0.2">
      <c r="A25" s="331" t="s">
        <v>766</v>
      </c>
      <c r="B25" s="516" t="s">
        <v>880</v>
      </c>
      <c r="C25" s="305" t="s">
        <v>340</v>
      </c>
      <c r="D25" s="144">
        <v>0</v>
      </c>
      <c r="E25" s="144">
        <v>0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44">
        <v>0</v>
      </c>
      <c r="M25" s="144">
        <v>0</v>
      </c>
      <c r="N25" s="144">
        <v>0</v>
      </c>
      <c r="O25" s="144">
        <v>0</v>
      </c>
      <c r="P25" s="144">
        <v>0</v>
      </c>
      <c r="Q25" s="144">
        <v>0</v>
      </c>
      <c r="R25" s="144">
        <v>0</v>
      </c>
      <c r="S25" s="144">
        <v>0</v>
      </c>
      <c r="T25" s="144">
        <v>0</v>
      </c>
      <c r="U25" s="144">
        <v>0</v>
      </c>
      <c r="V25" s="144">
        <v>0</v>
      </c>
      <c r="W25" s="144">
        <v>0</v>
      </c>
      <c r="X25" s="332">
        <f t="shared" si="4"/>
        <v>0</v>
      </c>
    </row>
    <row r="26" spans="1:24" ht="11.25" hidden="1" x14ac:dyDescent="0.2">
      <c r="A26" s="331">
        <v>6</v>
      </c>
      <c r="B26" s="516" t="s">
        <v>881</v>
      </c>
      <c r="C26" s="305" t="s">
        <v>1015</v>
      </c>
      <c r="D26" s="458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458"/>
      <c r="R26" s="458"/>
      <c r="S26" s="458"/>
      <c r="T26" s="458"/>
      <c r="U26" s="458"/>
      <c r="V26" s="458"/>
      <c r="W26" s="458"/>
      <c r="X26" s="332">
        <f t="shared" si="4"/>
        <v>0</v>
      </c>
    </row>
    <row r="27" spans="1:24" ht="11.25" x14ac:dyDescent="0.2">
      <c r="A27" s="331" t="s">
        <v>767</v>
      </c>
      <c r="B27" s="516" t="s">
        <v>881</v>
      </c>
      <c r="C27" s="305" t="s">
        <v>341</v>
      </c>
      <c r="D27" s="518">
        <v>0</v>
      </c>
      <c r="E27" s="518">
        <v>0</v>
      </c>
      <c r="F27" s="518">
        <v>0</v>
      </c>
      <c r="G27" s="518">
        <v>0</v>
      </c>
      <c r="H27" s="518">
        <v>0</v>
      </c>
      <c r="I27" s="518">
        <v>0</v>
      </c>
      <c r="J27" s="518">
        <v>0</v>
      </c>
      <c r="K27" s="518">
        <v>0</v>
      </c>
      <c r="L27" s="518">
        <v>0</v>
      </c>
      <c r="M27" s="518">
        <v>0</v>
      </c>
      <c r="N27" s="518">
        <v>0</v>
      </c>
      <c r="O27" s="518">
        <v>0</v>
      </c>
      <c r="P27" s="518">
        <v>0</v>
      </c>
      <c r="Q27" s="518">
        <v>0</v>
      </c>
      <c r="R27" s="518">
        <v>0</v>
      </c>
      <c r="S27" s="518">
        <v>0</v>
      </c>
      <c r="T27" s="518">
        <v>0</v>
      </c>
      <c r="U27" s="518">
        <v>0</v>
      </c>
      <c r="V27" s="518">
        <v>0</v>
      </c>
      <c r="W27" s="518">
        <v>0</v>
      </c>
      <c r="X27" s="332">
        <f t="shared" si="4"/>
        <v>0</v>
      </c>
    </row>
    <row r="28" spans="1:24" ht="11.25" x14ac:dyDescent="0.2">
      <c r="A28" s="331">
        <v>7</v>
      </c>
      <c r="B28" s="185" t="s">
        <v>882</v>
      </c>
      <c r="C28" s="320" t="s">
        <v>1208</v>
      </c>
      <c r="D28" s="518">
        <v>0</v>
      </c>
      <c r="E28" s="518">
        <v>0</v>
      </c>
      <c r="F28" s="518">
        <v>0</v>
      </c>
      <c r="G28" s="518">
        <v>0</v>
      </c>
      <c r="H28" s="518">
        <v>0</v>
      </c>
      <c r="I28" s="518">
        <v>0</v>
      </c>
      <c r="J28" s="518">
        <v>0</v>
      </c>
      <c r="K28" s="518">
        <v>0</v>
      </c>
      <c r="L28" s="519">
        <v>0</v>
      </c>
      <c r="M28" s="519">
        <v>0</v>
      </c>
      <c r="N28" s="519">
        <v>0</v>
      </c>
      <c r="O28" s="519">
        <v>0</v>
      </c>
      <c r="P28" s="519">
        <v>0</v>
      </c>
      <c r="Q28" s="519">
        <v>0</v>
      </c>
      <c r="R28" s="519">
        <v>0</v>
      </c>
      <c r="S28" s="519">
        <v>0</v>
      </c>
      <c r="T28" s="519">
        <v>0</v>
      </c>
      <c r="U28" s="519">
        <v>0</v>
      </c>
      <c r="V28" s="519">
        <v>0</v>
      </c>
      <c r="W28" s="519">
        <v>0</v>
      </c>
      <c r="X28" s="332">
        <f t="shared" si="4"/>
        <v>0</v>
      </c>
    </row>
    <row r="29" spans="1:24" ht="11.25" x14ac:dyDescent="0.2">
      <c r="A29" s="331">
        <v>8</v>
      </c>
      <c r="B29" s="185" t="s">
        <v>884</v>
      </c>
      <c r="C29" s="320" t="s">
        <v>1209</v>
      </c>
      <c r="D29" s="518">
        <v>0</v>
      </c>
      <c r="E29" s="518">
        <v>0</v>
      </c>
      <c r="F29" s="518">
        <v>0</v>
      </c>
      <c r="G29" s="518">
        <v>0</v>
      </c>
      <c r="H29" s="518">
        <v>0</v>
      </c>
      <c r="I29" s="518">
        <v>0</v>
      </c>
      <c r="J29" s="518">
        <v>0</v>
      </c>
      <c r="K29" s="518">
        <v>0</v>
      </c>
      <c r="L29" s="519">
        <v>0</v>
      </c>
      <c r="M29" s="519">
        <v>0</v>
      </c>
      <c r="N29" s="519">
        <v>0</v>
      </c>
      <c r="O29" s="519">
        <v>0</v>
      </c>
      <c r="P29" s="519">
        <v>0</v>
      </c>
      <c r="Q29" s="519">
        <v>0</v>
      </c>
      <c r="R29" s="519">
        <v>0</v>
      </c>
      <c r="S29" s="519">
        <v>0</v>
      </c>
      <c r="T29" s="519">
        <v>0</v>
      </c>
      <c r="U29" s="519">
        <v>0</v>
      </c>
      <c r="V29" s="519">
        <v>0</v>
      </c>
      <c r="W29" s="519">
        <v>0</v>
      </c>
      <c r="X29" s="332">
        <f t="shared" si="4"/>
        <v>0</v>
      </c>
    </row>
    <row r="30" spans="1:24" ht="11.25" x14ac:dyDescent="0.2">
      <c r="A30" s="331">
        <v>9</v>
      </c>
      <c r="B30" s="185" t="s">
        <v>885</v>
      </c>
      <c r="C30" s="320" t="s">
        <v>1210</v>
      </c>
      <c r="D30" s="518">
        <v>0</v>
      </c>
      <c r="E30" s="518">
        <v>0</v>
      </c>
      <c r="F30" s="518">
        <v>0</v>
      </c>
      <c r="G30" s="518">
        <v>0</v>
      </c>
      <c r="H30" s="518">
        <v>0</v>
      </c>
      <c r="I30" s="518">
        <v>0</v>
      </c>
      <c r="J30" s="518">
        <v>0</v>
      </c>
      <c r="K30" s="518">
        <v>0</v>
      </c>
      <c r="L30" s="519">
        <v>0</v>
      </c>
      <c r="M30" s="519">
        <v>0</v>
      </c>
      <c r="N30" s="519">
        <v>0</v>
      </c>
      <c r="O30" s="519">
        <v>0</v>
      </c>
      <c r="P30" s="519">
        <v>0</v>
      </c>
      <c r="Q30" s="519">
        <v>0</v>
      </c>
      <c r="R30" s="519">
        <v>0</v>
      </c>
      <c r="S30" s="519">
        <v>0</v>
      </c>
      <c r="T30" s="519">
        <v>0</v>
      </c>
      <c r="U30" s="519">
        <v>0</v>
      </c>
      <c r="V30" s="519">
        <v>0</v>
      </c>
      <c r="W30" s="519">
        <v>0</v>
      </c>
      <c r="X30" s="332">
        <f t="shared" si="4"/>
        <v>0</v>
      </c>
    </row>
    <row r="31" spans="1:24" ht="11.25" x14ac:dyDescent="0.2">
      <c r="A31" s="341">
        <v>10</v>
      </c>
      <c r="B31" s="185" t="s">
        <v>887</v>
      </c>
      <c r="C31" s="318" t="s">
        <v>1211</v>
      </c>
      <c r="D31" s="518">
        <v>0</v>
      </c>
      <c r="E31" s="518">
        <v>0</v>
      </c>
      <c r="F31" s="518">
        <v>0</v>
      </c>
      <c r="G31" s="518">
        <v>0</v>
      </c>
      <c r="H31" s="518">
        <v>0</v>
      </c>
      <c r="I31" s="518">
        <v>0</v>
      </c>
      <c r="J31" s="518">
        <v>0</v>
      </c>
      <c r="K31" s="518">
        <v>0</v>
      </c>
      <c r="L31" s="519">
        <v>0</v>
      </c>
      <c r="M31" s="519">
        <v>0</v>
      </c>
      <c r="N31" s="519">
        <v>0</v>
      </c>
      <c r="O31" s="519">
        <v>0</v>
      </c>
      <c r="P31" s="519">
        <v>0</v>
      </c>
      <c r="Q31" s="519">
        <v>0</v>
      </c>
      <c r="R31" s="519">
        <v>0</v>
      </c>
      <c r="S31" s="519">
        <v>0</v>
      </c>
      <c r="T31" s="519">
        <v>0</v>
      </c>
      <c r="U31" s="519">
        <v>0</v>
      </c>
      <c r="V31" s="519">
        <v>0</v>
      </c>
      <c r="W31" s="519">
        <v>0</v>
      </c>
      <c r="X31" s="332">
        <f t="shared" si="4"/>
        <v>0</v>
      </c>
    </row>
    <row r="32" spans="1:24" ht="11.25" x14ac:dyDescent="0.2">
      <c r="A32" s="331">
        <v>11</v>
      </c>
      <c r="C32" s="337" t="s">
        <v>930</v>
      </c>
      <c r="D32" s="338">
        <f>SUM(D24:D31)</f>
        <v>0</v>
      </c>
      <c r="E32" s="338">
        <f t="shared" ref="E32:W32" si="5">SUM(E24:E31)</f>
        <v>0</v>
      </c>
      <c r="F32" s="338">
        <f t="shared" si="5"/>
        <v>0</v>
      </c>
      <c r="G32" s="338">
        <f t="shared" si="5"/>
        <v>0</v>
      </c>
      <c r="H32" s="338">
        <f t="shared" si="5"/>
        <v>0</v>
      </c>
      <c r="I32" s="338">
        <f t="shared" si="5"/>
        <v>0</v>
      </c>
      <c r="J32" s="338">
        <f t="shared" si="5"/>
        <v>0</v>
      </c>
      <c r="K32" s="338">
        <f t="shared" si="5"/>
        <v>0</v>
      </c>
      <c r="L32" s="338">
        <f t="shared" si="5"/>
        <v>0</v>
      </c>
      <c r="M32" s="338">
        <f t="shared" si="5"/>
        <v>0</v>
      </c>
      <c r="N32" s="338">
        <f t="shared" si="5"/>
        <v>0</v>
      </c>
      <c r="O32" s="338">
        <f t="shared" si="5"/>
        <v>0</v>
      </c>
      <c r="P32" s="338">
        <f t="shared" si="5"/>
        <v>0</v>
      </c>
      <c r="Q32" s="338">
        <f t="shared" si="5"/>
        <v>0</v>
      </c>
      <c r="R32" s="338">
        <f t="shared" si="5"/>
        <v>0</v>
      </c>
      <c r="S32" s="338">
        <f t="shared" si="5"/>
        <v>0</v>
      </c>
      <c r="T32" s="338">
        <f t="shared" si="5"/>
        <v>0</v>
      </c>
      <c r="U32" s="338">
        <f t="shared" si="5"/>
        <v>0</v>
      </c>
      <c r="V32" s="338">
        <f t="shared" si="5"/>
        <v>0</v>
      </c>
      <c r="W32" s="338">
        <f t="shared" si="5"/>
        <v>0</v>
      </c>
      <c r="X32" s="332">
        <f t="shared" si="4"/>
        <v>0</v>
      </c>
    </row>
    <row r="33" spans="1:24" ht="11.25" x14ac:dyDescent="0.2">
      <c r="A33" s="362" t="s">
        <v>499</v>
      </c>
      <c r="B33" s="360"/>
      <c r="C33" s="339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</row>
    <row r="34" spans="1:24" ht="11.25" hidden="1" x14ac:dyDescent="0.2">
      <c r="A34" s="331">
        <v>5</v>
      </c>
      <c r="B34" s="516" t="s">
        <v>880</v>
      </c>
      <c r="C34" s="305" t="s">
        <v>1164</v>
      </c>
      <c r="D34" s="458"/>
      <c r="E34" s="458"/>
      <c r="F34" s="458"/>
      <c r="G34" s="458"/>
      <c r="H34" s="458"/>
      <c r="I34" s="458"/>
      <c r="J34" s="458"/>
      <c r="K34" s="458"/>
      <c r="L34" s="458"/>
      <c r="M34" s="458"/>
      <c r="N34" s="458"/>
      <c r="O34" s="458"/>
      <c r="P34" s="458"/>
      <c r="Q34" s="458"/>
      <c r="R34" s="458"/>
      <c r="S34" s="458"/>
      <c r="T34" s="458"/>
      <c r="U34" s="458"/>
      <c r="V34" s="458"/>
      <c r="W34" s="458"/>
      <c r="X34" s="338">
        <f t="shared" ref="X34:X42" si="6">SUM(D34:W34)</f>
        <v>0</v>
      </c>
    </row>
    <row r="35" spans="1:24" ht="11.25" x14ac:dyDescent="0.2">
      <c r="A35" s="331" t="s">
        <v>766</v>
      </c>
      <c r="B35" s="516" t="s">
        <v>880</v>
      </c>
      <c r="C35" s="305" t="s">
        <v>340</v>
      </c>
      <c r="D35" s="144">
        <v>0</v>
      </c>
      <c r="E35" s="144">
        <v>0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  <c r="M35" s="144">
        <v>0</v>
      </c>
      <c r="N35" s="144">
        <v>0</v>
      </c>
      <c r="O35" s="144">
        <v>0</v>
      </c>
      <c r="P35" s="144">
        <v>0</v>
      </c>
      <c r="Q35" s="144">
        <v>0</v>
      </c>
      <c r="R35" s="144">
        <v>0</v>
      </c>
      <c r="S35" s="144">
        <v>0</v>
      </c>
      <c r="T35" s="144">
        <v>0</v>
      </c>
      <c r="U35" s="144">
        <v>0</v>
      </c>
      <c r="V35" s="144">
        <v>0</v>
      </c>
      <c r="W35" s="144">
        <v>0</v>
      </c>
      <c r="X35" s="332">
        <f t="shared" si="6"/>
        <v>0</v>
      </c>
    </row>
    <row r="36" spans="1:24" ht="11.25" hidden="1" x14ac:dyDescent="0.2">
      <c r="A36" s="331">
        <v>6</v>
      </c>
      <c r="B36" s="516" t="s">
        <v>881</v>
      </c>
      <c r="C36" s="305" t="s">
        <v>1015</v>
      </c>
      <c r="D36" s="458"/>
      <c r="E36" s="458"/>
      <c r="F36" s="458"/>
      <c r="G36" s="458"/>
      <c r="H36" s="458"/>
      <c r="I36" s="458"/>
      <c r="J36" s="458"/>
      <c r="K36" s="458"/>
      <c r="L36" s="458"/>
      <c r="M36" s="458"/>
      <c r="N36" s="458"/>
      <c r="O36" s="458"/>
      <c r="P36" s="458"/>
      <c r="Q36" s="458"/>
      <c r="R36" s="458"/>
      <c r="S36" s="458"/>
      <c r="T36" s="458"/>
      <c r="U36" s="458"/>
      <c r="V36" s="458"/>
      <c r="W36" s="458"/>
      <c r="X36" s="332">
        <f t="shared" si="6"/>
        <v>0</v>
      </c>
    </row>
    <row r="37" spans="1:24" ht="11.25" x14ac:dyDescent="0.2">
      <c r="A37" s="331" t="s">
        <v>767</v>
      </c>
      <c r="B37" s="516" t="s">
        <v>881</v>
      </c>
      <c r="C37" s="305" t="s">
        <v>341</v>
      </c>
      <c r="D37" s="518">
        <v>0</v>
      </c>
      <c r="E37" s="518">
        <v>0</v>
      </c>
      <c r="F37" s="518">
        <v>0</v>
      </c>
      <c r="G37" s="518">
        <v>0</v>
      </c>
      <c r="H37" s="518">
        <v>0</v>
      </c>
      <c r="I37" s="518">
        <v>0</v>
      </c>
      <c r="J37" s="518">
        <v>0</v>
      </c>
      <c r="K37" s="518">
        <v>0</v>
      </c>
      <c r="L37" s="518">
        <v>0</v>
      </c>
      <c r="M37" s="518">
        <v>0</v>
      </c>
      <c r="N37" s="518">
        <v>0</v>
      </c>
      <c r="O37" s="518">
        <v>0</v>
      </c>
      <c r="P37" s="518">
        <v>0</v>
      </c>
      <c r="Q37" s="518">
        <v>0</v>
      </c>
      <c r="R37" s="518">
        <v>0</v>
      </c>
      <c r="S37" s="518">
        <v>0</v>
      </c>
      <c r="T37" s="518">
        <v>0</v>
      </c>
      <c r="U37" s="518">
        <v>0</v>
      </c>
      <c r="V37" s="518">
        <v>0</v>
      </c>
      <c r="W37" s="518">
        <v>0</v>
      </c>
      <c r="X37" s="332">
        <f t="shared" si="6"/>
        <v>0</v>
      </c>
    </row>
    <row r="38" spans="1:24" ht="11.25" x14ac:dyDescent="0.2">
      <c r="A38" s="331">
        <v>7</v>
      </c>
      <c r="B38" s="185" t="s">
        <v>882</v>
      </c>
      <c r="C38" s="320" t="s">
        <v>1208</v>
      </c>
      <c r="D38" s="518">
        <v>0</v>
      </c>
      <c r="E38" s="518">
        <v>0</v>
      </c>
      <c r="F38" s="518">
        <v>0</v>
      </c>
      <c r="G38" s="518">
        <v>0</v>
      </c>
      <c r="H38" s="518">
        <v>0</v>
      </c>
      <c r="I38" s="518">
        <v>0</v>
      </c>
      <c r="J38" s="518">
        <v>0</v>
      </c>
      <c r="K38" s="518">
        <v>0</v>
      </c>
      <c r="L38" s="519">
        <v>0</v>
      </c>
      <c r="M38" s="519">
        <v>0</v>
      </c>
      <c r="N38" s="519">
        <v>0</v>
      </c>
      <c r="O38" s="519">
        <v>0</v>
      </c>
      <c r="P38" s="519">
        <v>0</v>
      </c>
      <c r="Q38" s="519">
        <v>0</v>
      </c>
      <c r="R38" s="519">
        <v>0</v>
      </c>
      <c r="S38" s="519">
        <v>0</v>
      </c>
      <c r="T38" s="519">
        <v>0</v>
      </c>
      <c r="U38" s="519">
        <v>0</v>
      </c>
      <c r="V38" s="519">
        <v>0</v>
      </c>
      <c r="W38" s="519">
        <v>0</v>
      </c>
      <c r="X38" s="332">
        <f t="shared" si="6"/>
        <v>0</v>
      </c>
    </row>
    <row r="39" spans="1:24" ht="11.25" x14ac:dyDescent="0.2">
      <c r="A39" s="331">
        <v>8</v>
      </c>
      <c r="B39" s="185" t="s">
        <v>884</v>
      </c>
      <c r="C39" s="320" t="s">
        <v>1209</v>
      </c>
      <c r="D39" s="518">
        <v>0</v>
      </c>
      <c r="E39" s="518">
        <v>0</v>
      </c>
      <c r="F39" s="518">
        <v>0</v>
      </c>
      <c r="G39" s="518">
        <v>0</v>
      </c>
      <c r="H39" s="518">
        <v>0</v>
      </c>
      <c r="I39" s="518">
        <v>0</v>
      </c>
      <c r="J39" s="518">
        <v>0</v>
      </c>
      <c r="K39" s="518">
        <v>0</v>
      </c>
      <c r="L39" s="519">
        <v>0</v>
      </c>
      <c r="M39" s="519">
        <v>0</v>
      </c>
      <c r="N39" s="519">
        <v>0</v>
      </c>
      <c r="O39" s="519">
        <v>0</v>
      </c>
      <c r="P39" s="519">
        <v>0</v>
      </c>
      <c r="Q39" s="519">
        <v>0</v>
      </c>
      <c r="R39" s="519">
        <v>0</v>
      </c>
      <c r="S39" s="519">
        <v>0</v>
      </c>
      <c r="T39" s="519">
        <v>0</v>
      </c>
      <c r="U39" s="519">
        <v>0</v>
      </c>
      <c r="V39" s="519">
        <v>0</v>
      </c>
      <c r="W39" s="519">
        <v>0</v>
      </c>
      <c r="X39" s="332">
        <f t="shared" si="6"/>
        <v>0</v>
      </c>
    </row>
    <row r="40" spans="1:24" ht="11.25" x14ac:dyDescent="0.2">
      <c r="A40" s="331">
        <v>9</v>
      </c>
      <c r="B40" s="185" t="s">
        <v>885</v>
      </c>
      <c r="C40" s="320" t="s">
        <v>1210</v>
      </c>
      <c r="D40" s="518">
        <v>0</v>
      </c>
      <c r="E40" s="518">
        <v>0</v>
      </c>
      <c r="F40" s="518">
        <v>0</v>
      </c>
      <c r="G40" s="518">
        <v>0</v>
      </c>
      <c r="H40" s="518">
        <v>0</v>
      </c>
      <c r="I40" s="518">
        <v>0</v>
      </c>
      <c r="J40" s="518">
        <v>0</v>
      </c>
      <c r="K40" s="518">
        <v>0</v>
      </c>
      <c r="L40" s="519">
        <v>0</v>
      </c>
      <c r="M40" s="519">
        <v>0</v>
      </c>
      <c r="N40" s="519">
        <v>0</v>
      </c>
      <c r="O40" s="519">
        <v>0</v>
      </c>
      <c r="P40" s="519">
        <v>0</v>
      </c>
      <c r="Q40" s="519">
        <v>0</v>
      </c>
      <c r="R40" s="519">
        <v>0</v>
      </c>
      <c r="S40" s="519">
        <v>0</v>
      </c>
      <c r="T40" s="519">
        <v>0</v>
      </c>
      <c r="U40" s="519">
        <v>0</v>
      </c>
      <c r="V40" s="519">
        <v>0</v>
      </c>
      <c r="W40" s="519">
        <v>0</v>
      </c>
      <c r="X40" s="332">
        <f t="shared" si="6"/>
        <v>0</v>
      </c>
    </row>
    <row r="41" spans="1:24" ht="11.25" x14ac:dyDescent="0.2">
      <c r="A41" s="341">
        <v>10</v>
      </c>
      <c r="B41" s="185" t="s">
        <v>887</v>
      </c>
      <c r="C41" s="318" t="s">
        <v>1211</v>
      </c>
      <c r="D41" s="518">
        <v>0</v>
      </c>
      <c r="E41" s="518">
        <v>0</v>
      </c>
      <c r="F41" s="518">
        <v>0</v>
      </c>
      <c r="G41" s="518">
        <v>0</v>
      </c>
      <c r="H41" s="518">
        <v>0</v>
      </c>
      <c r="I41" s="518">
        <v>0</v>
      </c>
      <c r="J41" s="518">
        <v>0</v>
      </c>
      <c r="K41" s="518">
        <v>0</v>
      </c>
      <c r="L41" s="519">
        <v>0</v>
      </c>
      <c r="M41" s="519">
        <v>0</v>
      </c>
      <c r="N41" s="519">
        <v>0</v>
      </c>
      <c r="O41" s="519">
        <v>0</v>
      </c>
      <c r="P41" s="519">
        <v>0</v>
      </c>
      <c r="Q41" s="519">
        <v>0</v>
      </c>
      <c r="R41" s="519">
        <v>0</v>
      </c>
      <c r="S41" s="519">
        <v>0</v>
      </c>
      <c r="T41" s="519">
        <v>0</v>
      </c>
      <c r="U41" s="519">
        <v>0</v>
      </c>
      <c r="V41" s="519">
        <v>0</v>
      </c>
      <c r="W41" s="519">
        <v>0</v>
      </c>
      <c r="X41" s="332">
        <f t="shared" si="6"/>
        <v>0</v>
      </c>
    </row>
    <row r="42" spans="1:24" ht="11.25" x14ac:dyDescent="0.2">
      <c r="A42" s="331">
        <v>11</v>
      </c>
      <c r="C42" s="337" t="s">
        <v>931</v>
      </c>
      <c r="D42" s="338">
        <f>SUM(D34:D41)</f>
        <v>0</v>
      </c>
      <c r="E42" s="338">
        <f t="shared" ref="E42:W42" si="7">SUM(E34:E41)</f>
        <v>0</v>
      </c>
      <c r="F42" s="338">
        <f t="shared" si="7"/>
        <v>0</v>
      </c>
      <c r="G42" s="338">
        <f t="shared" si="7"/>
        <v>0</v>
      </c>
      <c r="H42" s="338">
        <f t="shared" si="7"/>
        <v>0</v>
      </c>
      <c r="I42" s="338">
        <f t="shared" si="7"/>
        <v>0</v>
      </c>
      <c r="J42" s="338">
        <f t="shared" si="7"/>
        <v>0</v>
      </c>
      <c r="K42" s="338">
        <f t="shared" si="7"/>
        <v>0</v>
      </c>
      <c r="L42" s="338">
        <f t="shared" si="7"/>
        <v>0</v>
      </c>
      <c r="M42" s="338">
        <f t="shared" si="7"/>
        <v>0</v>
      </c>
      <c r="N42" s="338">
        <f t="shared" si="7"/>
        <v>0</v>
      </c>
      <c r="O42" s="338">
        <f t="shared" si="7"/>
        <v>0</v>
      </c>
      <c r="P42" s="338">
        <f t="shared" si="7"/>
        <v>0</v>
      </c>
      <c r="Q42" s="338">
        <f t="shared" si="7"/>
        <v>0</v>
      </c>
      <c r="R42" s="338">
        <f t="shared" si="7"/>
        <v>0</v>
      </c>
      <c r="S42" s="338">
        <f t="shared" si="7"/>
        <v>0</v>
      </c>
      <c r="T42" s="338">
        <f t="shared" si="7"/>
        <v>0</v>
      </c>
      <c r="U42" s="338">
        <f t="shared" si="7"/>
        <v>0</v>
      </c>
      <c r="V42" s="338">
        <f t="shared" si="7"/>
        <v>0</v>
      </c>
      <c r="W42" s="338">
        <f t="shared" si="7"/>
        <v>0</v>
      </c>
      <c r="X42" s="332">
        <f t="shared" si="6"/>
        <v>0</v>
      </c>
    </row>
    <row r="43" spans="1:24" ht="11.25" x14ac:dyDescent="0.2">
      <c r="A43" s="362" t="s">
        <v>763</v>
      </c>
      <c r="B43" s="360"/>
      <c r="C43" s="339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</row>
    <row r="44" spans="1:24" ht="11.25" hidden="1" x14ac:dyDescent="0.2">
      <c r="A44" s="331">
        <v>5</v>
      </c>
      <c r="B44" s="516" t="s">
        <v>880</v>
      </c>
      <c r="C44" s="305" t="s">
        <v>1164</v>
      </c>
      <c r="D44" s="458"/>
      <c r="E44" s="458"/>
      <c r="F44" s="458"/>
      <c r="G44" s="458"/>
      <c r="H44" s="458"/>
      <c r="I44" s="458"/>
      <c r="J44" s="458"/>
      <c r="K44" s="458"/>
      <c r="L44" s="458"/>
      <c r="M44" s="458"/>
      <c r="N44" s="458"/>
      <c r="O44" s="458"/>
      <c r="P44" s="458"/>
      <c r="Q44" s="458"/>
      <c r="R44" s="458"/>
      <c r="S44" s="458"/>
      <c r="T44" s="458"/>
      <c r="U44" s="458"/>
      <c r="V44" s="458"/>
      <c r="W44" s="458"/>
      <c r="X44" s="338">
        <f t="shared" ref="X44:X52" si="8">SUM(D44:W44)</f>
        <v>0</v>
      </c>
    </row>
    <row r="45" spans="1:24" ht="11.25" x14ac:dyDescent="0.2">
      <c r="A45" s="331" t="s">
        <v>766</v>
      </c>
      <c r="B45" s="516" t="s">
        <v>880</v>
      </c>
      <c r="C45" s="305" t="s">
        <v>340</v>
      </c>
      <c r="D45" s="144">
        <v>0</v>
      </c>
      <c r="E45" s="144">
        <v>0</v>
      </c>
      <c r="F45" s="144">
        <v>0</v>
      </c>
      <c r="G45" s="144">
        <v>0</v>
      </c>
      <c r="H45" s="144">
        <v>0</v>
      </c>
      <c r="I45" s="144">
        <v>0</v>
      </c>
      <c r="J45" s="144">
        <v>0</v>
      </c>
      <c r="K45" s="144">
        <v>0</v>
      </c>
      <c r="L45" s="144">
        <v>0</v>
      </c>
      <c r="M45" s="144">
        <v>0</v>
      </c>
      <c r="N45" s="144">
        <v>0</v>
      </c>
      <c r="O45" s="144">
        <v>0</v>
      </c>
      <c r="P45" s="144">
        <v>0</v>
      </c>
      <c r="Q45" s="144">
        <v>0</v>
      </c>
      <c r="R45" s="144">
        <v>0</v>
      </c>
      <c r="S45" s="144">
        <v>0</v>
      </c>
      <c r="T45" s="144">
        <v>0</v>
      </c>
      <c r="U45" s="144">
        <v>0</v>
      </c>
      <c r="V45" s="144">
        <v>0</v>
      </c>
      <c r="W45" s="144">
        <v>0</v>
      </c>
      <c r="X45" s="332">
        <f t="shared" si="8"/>
        <v>0</v>
      </c>
    </row>
    <row r="46" spans="1:24" ht="11.25" hidden="1" x14ac:dyDescent="0.2">
      <c r="A46" s="331">
        <v>6</v>
      </c>
      <c r="B46" s="516" t="s">
        <v>881</v>
      </c>
      <c r="C46" s="305" t="s">
        <v>1015</v>
      </c>
      <c r="D46" s="458"/>
      <c r="E46" s="458"/>
      <c r="F46" s="458"/>
      <c r="G46" s="458"/>
      <c r="H46" s="458"/>
      <c r="I46" s="458"/>
      <c r="J46" s="458"/>
      <c r="K46" s="458"/>
      <c r="L46" s="458"/>
      <c r="M46" s="458"/>
      <c r="N46" s="458"/>
      <c r="O46" s="458"/>
      <c r="P46" s="458"/>
      <c r="Q46" s="458"/>
      <c r="R46" s="458"/>
      <c r="S46" s="458"/>
      <c r="T46" s="458"/>
      <c r="U46" s="458"/>
      <c r="V46" s="458"/>
      <c r="W46" s="458"/>
      <c r="X46" s="332">
        <f t="shared" si="8"/>
        <v>0</v>
      </c>
    </row>
    <row r="47" spans="1:24" ht="11.25" x14ac:dyDescent="0.2">
      <c r="A47" s="331" t="s">
        <v>767</v>
      </c>
      <c r="B47" s="516" t="s">
        <v>881</v>
      </c>
      <c r="C47" s="305" t="s">
        <v>338</v>
      </c>
      <c r="D47" s="518">
        <v>0</v>
      </c>
      <c r="E47" s="518">
        <v>0</v>
      </c>
      <c r="F47" s="518">
        <v>0</v>
      </c>
      <c r="G47" s="518">
        <v>0</v>
      </c>
      <c r="H47" s="518">
        <v>0</v>
      </c>
      <c r="I47" s="518">
        <v>0</v>
      </c>
      <c r="J47" s="518">
        <v>0</v>
      </c>
      <c r="K47" s="518">
        <v>0</v>
      </c>
      <c r="L47" s="518">
        <v>0</v>
      </c>
      <c r="M47" s="518">
        <v>0</v>
      </c>
      <c r="N47" s="518">
        <v>0</v>
      </c>
      <c r="O47" s="518">
        <v>0</v>
      </c>
      <c r="P47" s="518">
        <v>0</v>
      </c>
      <c r="Q47" s="518">
        <v>0</v>
      </c>
      <c r="R47" s="518">
        <v>0</v>
      </c>
      <c r="S47" s="518">
        <v>0</v>
      </c>
      <c r="T47" s="518">
        <v>0</v>
      </c>
      <c r="U47" s="518">
        <v>0</v>
      </c>
      <c r="V47" s="518">
        <v>0</v>
      </c>
      <c r="W47" s="518">
        <v>0</v>
      </c>
      <c r="X47" s="332">
        <f t="shared" si="8"/>
        <v>0</v>
      </c>
    </row>
    <row r="48" spans="1:24" ht="11.25" x14ac:dyDescent="0.2">
      <c r="A48" s="331">
        <v>7</v>
      </c>
      <c r="B48" s="185" t="s">
        <v>882</v>
      </c>
      <c r="C48" s="320" t="s">
        <v>1208</v>
      </c>
      <c r="D48" s="518">
        <v>0</v>
      </c>
      <c r="E48" s="518">
        <v>0</v>
      </c>
      <c r="F48" s="518">
        <v>0</v>
      </c>
      <c r="G48" s="518">
        <v>0</v>
      </c>
      <c r="H48" s="518">
        <v>0</v>
      </c>
      <c r="I48" s="518">
        <v>0</v>
      </c>
      <c r="J48" s="518">
        <v>0</v>
      </c>
      <c r="K48" s="518">
        <v>0</v>
      </c>
      <c r="L48" s="519">
        <v>0</v>
      </c>
      <c r="M48" s="519">
        <v>0</v>
      </c>
      <c r="N48" s="519">
        <v>0</v>
      </c>
      <c r="O48" s="519">
        <v>0</v>
      </c>
      <c r="P48" s="519">
        <v>0</v>
      </c>
      <c r="Q48" s="519">
        <v>0</v>
      </c>
      <c r="R48" s="519">
        <v>0</v>
      </c>
      <c r="S48" s="519">
        <v>0</v>
      </c>
      <c r="T48" s="519">
        <v>0</v>
      </c>
      <c r="U48" s="519">
        <v>0</v>
      </c>
      <c r="V48" s="519">
        <v>0</v>
      </c>
      <c r="W48" s="519">
        <v>0</v>
      </c>
      <c r="X48" s="332">
        <f t="shared" si="8"/>
        <v>0</v>
      </c>
    </row>
    <row r="49" spans="1:24" ht="11.25" x14ac:dyDescent="0.2">
      <c r="A49" s="331">
        <v>8</v>
      </c>
      <c r="B49" s="185" t="s">
        <v>884</v>
      </c>
      <c r="C49" s="320" t="s">
        <v>1209</v>
      </c>
      <c r="D49" s="518">
        <v>0</v>
      </c>
      <c r="E49" s="518">
        <v>0</v>
      </c>
      <c r="F49" s="518">
        <v>0</v>
      </c>
      <c r="G49" s="518">
        <v>0</v>
      </c>
      <c r="H49" s="518">
        <v>0</v>
      </c>
      <c r="I49" s="518">
        <v>0</v>
      </c>
      <c r="J49" s="518">
        <v>0</v>
      </c>
      <c r="K49" s="518">
        <v>0</v>
      </c>
      <c r="L49" s="519">
        <v>0</v>
      </c>
      <c r="M49" s="519">
        <v>0</v>
      </c>
      <c r="N49" s="519">
        <v>0</v>
      </c>
      <c r="O49" s="519">
        <v>0</v>
      </c>
      <c r="P49" s="519">
        <v>0</v>
      </c>
      <c r="Q49" s="519">
        <v>0</v>
      </c>
      <c r="R49" s="519">
        <v>0</v>
      </c>
      <c r="S49" s="519">
        <v>0</v>
      </c>
      <c r="T49" s="519">
        <v>0</v>
      </c>
      <c r="U49" s="519">
        <v>0</v>
      </c>
      <c r="V49" s="519">
        <v>0</v>
      </c>
      <c r="W49" s="519">
        <v>0</v>
      </c>
      <c r="X49" s="332">
        <f t="shared" si="8"/>
        <v>0</v>
      </c>
    </row>
    <row r="50" spans="1:24" ht="11.25" x14ac:dyDescent="0.2">
      <c r="A50" s="331">
        <v>9</v>
      </c>
      <c r="B50" s="185" t="s">
        <v>885</v>
      </c>
      <c r="C50" s="320" t="s">
        <v>1210</v>
      </c>
      <c r="D50" s="518">
        <v>0</v>
      </c>
      <c r="E50" s="518">
        <v>0</v>
      </c>
      <c r="F50" s="518">
        <v>0</v>
      </c>
      <c r="G50" s="518">
        <v>0</v>
      </c>
      <c r="H50" s="518">
        <v>0</v>
      </c>
      <c r="I50" s="518">
        <v>0</v>
      </c>
      <c r="J50" s="518">
        <v>0</v>
      </c>
      <c r="K50" s="518">
        <v>0</v>
      </c>
      <c r="L50" s="519">
        <v>0</v>
      </c>
      <c r="M50" s="519">
        <v>0</v>
      </c>
      <c r="N50" s="519">
        <v>0</v>
      </c>
      <c r="O50" s="519">
        <v>0</v>
      </c>
      <c r="P50" s="519">
        <v>0</v>
      </c>
      <c r="Q50" s="519">
        <v>0</v>
      </c>
      <c r="R50" s="519">
        <v>0</v>
      </c>
      <c r="S50" s="519">
        <v>0</v>
      </c>
      <c r="T50" s="519">
        <v>0</v>
      </c>
      <c r="U50" s="519">
        <v>0</v>
      </c>
      <c r="V50" s="519">
        <v>0</v>
      </c>
      <c r="W50" s="519">
        <v>0</v>
      </c>
      <c r="X50" s="332">
        <f t="shared" si="8"/>
        <v>0</v>
      </c>
    </row>
    <row r="51" spans="1:24" ht="11.25" x14ac:dyDescent="0.2">
      <c r="A51" s="341">
        <v>10</v>
      </c>
      <c r="B51" s="185" t="s">
        <v>887</v>
      </c>
      <c r="C51" s="318" t="s">
        <v>1211</v>
      </c>
      <c r="D51" s="518">
        <v>0</v>
      </c>
      <c r="E51" s="518">
        <v>0</v>
      </c>
      <c r="F51" s="518">
        <v>0</v>
      </c>
      <c r="G51" s="518">
        <v>0</v>
      </c>
      <c r="H51" s="518">
        <v>0</v>
      </c>
      <c r="I51" s="518">
        <v>0</v>
      </c>
      <c r="J51" s="518">
        <v>0</v>
      </c>
      <c r="K51" s="518">
        <v>0</v>
      </c>
      <c r="L51" s="519">
        <v>0</v>
      </c>
      <c r="M51" s="519">
        <v>0</v>
      </c>
      <c r="N51" s="519">
        <v>0</v>
      </c>
      <c r="O51" s="519">
        <v>0</v>
      </c>
      <c r="P51" s="519">
        <v>0</v>
      </c>
      <c r="Q51" s="519">
        <v>0</v>
      </c>
      <c r="R51" s="519">
        <v>0</v>
      </c>
      <c r="S51" s="519">
        <v>0</v>
      </c>
      <c r="T51" s="519">
        <v>0</v>
      </c>
      <c r="U51" s="519">
        <v>0</v>
      </c>
      <c r="V51" s="519">
        <v>0</v>
      </c>
      <c r="W51" s="519">
        <v>0</v>
      </c>
      <c r="X51" s="332">
        <f t="shared" si="8"/>
        <v>0</v>
      </c>
    </row>
    <row r="52" spans="1:24" ht="11.25" x14ac:dyDescent="0.2">
      <c r="A52" s="331">
        <v>11</v>
      </c>
      <c r="C52" s="337" t="s">
        <v>932</v>
      </c>
      <c r="D52" s="338">
        <f>SUM(D44:D51)</f>
        <v>0</v>
      </c>
      <c r="E52" s="338">
        <f t="shared" ref="E52:W52" si="9">SUM(E44:E51)</f>
        <v>0</v>
      </c>
      <c r="F52" s="338">
        <f t="shared" si="9"/>
        <v>0</v>
      </c>
      <c r="G52" s="338">
        <f t="shared" si="9"/>
        <v>0</v>
      </c>
      <c r="H52" s="338">
        <f t="shared" si="9"/>
        <v>0</v>
      </c>
      <c r="I52" s="338">
        <f t="shared" si="9"/>
        <v>0</v>
      </c>
      <c r="J52" s="338">
        <f t="shared" si="9"/>
        <v>0</v>
      </c>
      <c r="K52" s="338">
        <f t="shared" si="9"/>
        <v>0</v>
      </c>
      <c r="L52" s="338">
        <f t="shared" si="9"/>
        <v>0</v>
      </c>
      <c r="M52" s="338">
        <f t="shared" si="9"/>
        <v>0</v>
      </c>
      <c r="N52" s="338">
        <f t="shared" si="9"/>
        <v>0</v>
      </c>
      <c r="O52" s="338">
        <f t="shared" si="9"/>
        <v>0</v>
      </c>
      <c r="P52" s="338">
        <f t="shared" si="9"/>
        <v>0</v>
      </c>
      <c r="Q52" s="338">
        <f t="shared" si="9"/>
        <v>0</v>
      </c>
      <c r="R52" s="338">
        <f t="shared" si="9"/>
        <v>0</v>
      </c>
      <c r="S52" s="338">
        <f t="shared" si="9"/>
        <v>0</v>
      </c>
      <c r="T52" s="338">
        <f t="shared" si="9"/>
        <v>0</v>
      </c>
      <c r="U52" s="338">
        <f t="shared" si="9"/>
        <v>0</v>
      </c>
      <c r="V52" s="338">
        <f t="shared" si="9"/>
        <v>0</v>
      </c>
      <c r="W52" s="338">
        <f t="shared" si="9"/>
        <v>0</v>
      </c>
      <c r="X52" s="332">
        <f t="shared" si="8"/>
        <v>0</v>
      </c>
    </row>
    <row r="53" spans="1:24" ht="11.25" x14ac:dyDescent="0.2">
      <c r="A53" s="362" t="s">
        <v>339</v>
      </c>
      <c r="B53" s="360"/>
      <c r="C53" s="339"/>
      <c r="D53" s="340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</row>
    <row r="54" spans="1:24" ht="11.25" hidden="1" x14ac:dyDescent="0.2">
      <c r="A54" s="331">
        <v>5</v>
      </c>
      <c r="B54" s="516" t="s">
        <v>880</v>
      </c>
      <c r="C54" s="305" t="s">
        <v>1164</v>
      </c>
      <c r="D54" s="458"/>
      <c r="E54" s="458"/>
      <c r="F54" s="458"/>
      <c r="G54" s="458"/>
      <c r="H54" s="458"/>
      <c r="I54" s="458"/>
      <c r="J54" s="458"/>
      <c r="K54" s="458"/>
      <c r="L54" s="458"/>
      <c r="M54" s="458"/>
      <c r="N54" s="458"/>
      <c r="O54" s="458"/>
      <c r="P54" s="458"/>
      <c r="Q54" s="458"/>
      <c r="R54" s="458"/>
      <c r="S54" s="458"/>
      <c r="T54" s="458"/>
      <c r="U54" s="458"/>
      <c r="V54" s="458"/>
      <c r="W54" s="458"/>
      <c r="X54" s="338">
        <f t="shared" ref="X54:X62" si="10">SUM(D54:W54)</f>
        <v>0</v>
      </c>
    </row>
    <row r="55" spans="1:24" ht="11.25" x14ac:dyDescent="0.2">
      <c r="A55" s="331" t="s">
        <v>766</v>
      </c>
      <c r="B55" s="516" t="s">
        <v>880</v>
      </c>
      <c r="C55" s="305" t="s">
        <v>340</v>
      </c>
      <c r="D55" s="144">
        <v>0</v>
      </c>
      <c r="E55" s="144">
        <v>0</v>
      </c>
      <c r="F55" s="144">
        <v>0</v>
      </c>
      <c r="G55" s="144">
        <v>0</v>
      </c>
      <c r="H55" s="144">
        <v>0</v>
      </c>
      <c r="I55" s="144">
        <v>0</v>
      </c>
      <c r="J55" s="144">
        <v>0</v>
      </c>
      <c r="K55" s="144">
        <v>0</v>
      </c>
      <c r="L55" s="144">
        <v>0</v>
      </c>
      <c r="M55" s="144">
        <v>0</v>
      </c>
      <c r="N55" s="144">
        <v>0</v>
      </c>
      <c r="O55" s="144">
        <v>0</v>
      </c>
      <c r="P55" s="144">
        <v>0</v>
      </c>
      <c r="Q55" s="144">
        <v>0</v>
      </c>
      <c r="R55" s="144">
        <v>0</v>
      </c>
      <c r="S55" s="144">
        <v>0</v>
      </c>
      <c r="T55" s="144">
        <v>0</v>
      </c>
      <c r="U55" s="144">
        <v>0</v>
      </c>
      <c r="V55" s="144">
        <v>0</v>
      </c>
      <c r="W55" s="144">
        <v>0</v>
      </c>
      <c r="X55" s="332">
        <f t="shared" si="10"/>
        <v>0</v>
      </c>
    </row>
    <row r="56" spans="1:24" ht="11.25" hidden="1" x14ac:dyDescent="0.2">
      <c r="A56" s="331">
        <v>6</v>
      </c>
      <c r="B56" s="516" t="s">
        <v>881</v>
      </c>
      <c r="C56" s="305" t="s">
        <v>1015</v>
      </c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458"/>
      <c r="R56" s="458"/>
      <c r="S56" s="458"/>
      <c r="T56" s="458"/>
      <c r="U56" s="458"/>
      <c r="V56" s="458"/>
      <c r="W56" s="458"/>
      <c r="X56" s="332">
        <f t="shared" si="10"/>
        <v>0</v>
      </c>
    </row>
    <row r="57" spans="1:24" ht="11.25" x14ac:dyDescent="0.2">
      <c r="A57" s="331" t="s">
        <v>767</v>
      </c>
      <c r="B57" s="516" t="s">
        <v>881</v>
      </c>
      <c r="C57" s="305" t="s">
        <v>338</v>
      </c>
      <c r="D57" s="518">
        <v>0</v>
      </c>
      <c r="E57" s="518">
        <v>0</v>
      </c>
      <c r="F57" s="518">
        <v>0</v>
      </c>
      <c r="G57" s="518">
        <v>0</v>
      </c>
      <c r="H57" s="518">
        <v>0</v>
      </c>
      <c r="I57" s="518">
        <v>0</v>
      </c>
      <c r="J57" s="518">
        <v>0</v>
      </c>
      <c r="K57" s="518">
        <v>0</v>
      </c>
      <c r="L57" s="518">
        <v>0</v>
      </c>
      <c r="M57" s="518">
        <v>0</v>
      </c>
      <c r="N57" s="518">
        <v>0</v>
      </c>
      <c r="O57" s="518">
        <v>0</v>
      </c>
      <c r="P57" s="518">
        <v>0</v>
      </c>
      <c r="Q57" s="518">
        <v>0</v>
      </c>
      <c r="R57" s="518">
        <v>0</v>
      </c>
      <c r="S57" s="518">
        <v>0</v>
      </c>
      <c r="T57" s="518">
        <v>0</v>
      </c>
      <c r="U57" s="518">
        <v>0</v>
      </c>
      <c r="V57" s="518">
        <v>0</v>
      </c>
      <c r="W57" s="518">
        <v>0</v>
      </c>
      <c r="X57" s="332">
        <f t="shared" si="10"/>
        <v>0</v>
      </c>
    </row>
    <row r="58" spans="1:24" ht="11.25" x14ac:dyDescent="0.2">
      <c r="A58" s="331">
        <v>7</v>
      </c>
      <c r="B58" s="185" t="s">
        <v>882</v>
      </c>
      <c r="C58" s="320" t="s">
        <v>1208</v>
      </c>
      <c r="D58" s="518">
        <v>0</v>
      </c>
      <c r="E58" s="518">
        <v>0</v>
      </c>
      <c r="F58" s="518">
        <v>0</v>
      </c>
      <c r="G58" s="518">
        <v>0</v>
      </c>
      <c r="H58" s="518">
        <v>0</v>
      </c>
      <c r="I58" s="518">
        <v>0</v>
      </c>
      <c r="J58" s="518">
        <v>0</v>
      </c>
      <c r="K58" s="518">
        <v>0</v>
      </c>
      <c r="L58" s="519">
        <v>0</v>
      </c>
      <c r="M58" s="519">
        <v>0</v>
      </c>
      <c r="N58" s="519">
        <v>0</v>
      </c>
      <c r="O58" s="519">
        <v>0</v>
      </c>
      <c r="P58" s="519">
        <v>0</v>
      </c>
      <c r="Q58" s="519">
        <v>0</v>
      </c>
      <c r="R58" s="519">
        <v>0</v>
      </c>
      <c r="S58" s="519">
        <v>0</v>
      </c>
      <c r="T58" s="519">
        <v>0</v>
      </c>
      <c r="U58" s="519">
        <v>0</v>
      </c>
      <c r="V58" s="519">
        <v>0</v>
      </c>
      <c r="W58" s="519">
        <v>0</v>
      </c>
      <c r="X58" s="332">
        <f t="shared" si="10"/>
        <v>0</v>
      </c>
    </row>
    <row r="59" spans="1:24" ht="11.25" x14ac:dyDescent="0.2">
      <c r="A59" s="331">
        <v>8</v>
      </c>
      <c r="B59" s="185" t="s">
        <v>884</v>
      </c>
      <c r="C59" s="320" t="s">
        <v>1209</v>
      </c>
      <c r="D59" s="518">
        <v>0</v>
      </c>
      <c r="E59" s="518">
        <v>0</v>
      </c>
      <c r="F59" s="518">
        <v>0</v>
      </c>
      <c r="G59" s="518">
        <v>0</v>
      </c>
      <c r="H59" s="518">
        <v>0</v>
      </c>
      <c r="I59" s="518">
        <v>0</v>
      </c>
      <c r="J59" s="518">
        <v>0</v>
      </c>
      <c r="K59" s="518">
        <v>0</v>
      </c>
      <c r="L59" s="519">
        <v>0</v>
      </c>
      <c r="M59" s="519">
        <v>0</v>
      </c>
      <c r="N59" s="519">
        <v>0</v>
      </c>
      <c r="O59" s="519">
        <v>0</v>
      </c>
      <c r="P59" s="519">
        <v>0</v>
      </c>
      <c r="Q59" s="519">
        <v>0</v>
      </c>
      <c r="R59" s="519">
        <v>0</v>
      </c>
      <c r="S59" s="519">
        <v>0</v>
      </c>
      <c r="T59" s="519">
        <v>0</v>
      </c>
      <c r="U59" s="519">
        <v>0</v>
      </c>
      <c r="V59" s="519">
        <v>0</v>
      </c>
      <c r="W59" s="519">
        <v>0</v>
      </c>
      <c r="X59" s="332">
        <f t="shared" si="10"/>
        <v>0</v>
      </c>
    </row>
    <row r="60" spans="1:24" ht="11.25" x14ac:dyDescent="0.2">
      <c r="A60" s="331">
        <v>9</v>
      </c>
      <c r="B60" s="185" t="s">
        <v>885</v>
      </c>
      <c r="C60" s="320" t="s">
        <v>1210</v>
      </c>
      <c r="D60" s="518">
        <v>0</v>
      </c>
      <c r="E60" s="518">
        <v>0</v>
      </c>
      <c r="F60" s="518">
        <v>0</v>
      </c>
      <c r="G60" s="518">
        <v>0</v>
      </c>
      <c r="H60" s="518">
        <v>0</v>
      </c>
      <c r="I60" s="518">
        <v>0</v>
      </c>
      <c r="J60" s="518">
        <v>0</v>
      </c>
      <c r="K60" s="518">
        <v>0</v>
      </c>
      <c r="L60" s="519">
        <v>0</v>
      </c>
      <c r="M60" s="519">
        <v>0</v>
      </c>
      <c r="N60" s="519">
        <v>0</v>
      </c>
      <c r="O60" s="519">
        <v>0</v>
      </c>
      <c r="P60" s="519">
        <v>0</v>
      </c>
      <c r="Q60" s="519">
        <v>0</v>
      </c>
      <c r="R60" s="519">
        <v>0</v>
      </c>
      <c r="S60" s="519">
        <v>0</v>
      </c>
      <c r="T60" s="519">
        <v>0</v>
      </c>
      <c r="U60" s="519">
        <v>0</v>
      </c>
      <c r="V60" s="519">
        <v>0</v>
      </c>
      <c r="W60" s="519">
        <v>0</v>
      </c>
      <c r="X60" s="332">
        <f t="shared" si="10"/>
        <v>0</v>
      </c>
    </row>
    <row r="61" spans="1:24" ht="11.25" x14ac:dyDescent="0.2">
      <c r="A61" s="341">
        <v>10</v>
      </c>
      <c r="B61" s="185" t="s">
        <v>887</v>
      </c>
      <c r="C61" s="318" t="s">
        <v>1211</v>
      </c>
      <c r="D61" s="518">
        <v>0</v>
      </c>
      <c r="E61" s="518">
        <v>0</v>
      </c>
      <c r="F61" s="518">
        <v>0</v>
      </c>
      <c r="G61" s="518">
        <v>0</v>
      </c>
      <c r="H61" s="518">
        <v>0</v>
      </c>
      <c r="I61" s="518">
        <v>0</v>
      </c>
      <c r="J61" s="518">
        <v>0</v>
      </c>
      <c r="K61" s="518">
        <v>0</v>
      </c>
      <c r="L61" s="519">
        <v>0</v>
      </c>
      <c r="M61" s="519">
        <v>0</v>
      </c>
      <c r="N61" s="519">
        <v>0</v>
      </c>
      <c r="O61" s="519">
        <v>0</v>
      </c>
      <c r="P61" s="519">
        <v>0</v>
      </c>
      <c r="Q61" s="519">
        <v>0</v>
      </c>
      <c r="R61" s="519">
        <v>0</v>
      </c>
      <c r="S61" s="519">
        <v>0</v>
      </c>
      <c r="T61" s="519">
        <v>0</v>
      </c>
      <c r="U61" s="519">
        <v>0</v>
      </c>
      <c r="V61" s="519">
        <v>0</v>
      </c>
      <c r="W61" s="519">
        <v>0</v>
      </c>
      <c r="X61" s="332">
        <f t="shared" si="10"/>
        <v>0</v>
      </c>
    </row>
    <row r="62" spans="1:24" ht="11.25" x14ac:dyDescent="0.2">
      <c r="A62" s="331">
        <v>11</v>
      </c>
      <c r="C62" s="337" t="s">
        <v>933</v>
      </c>
      <c r="D62" s="338">
        <f>SUM(D54:D61)</f>
        <v>0</v>
      </c>
      <c r="E62" s="338">
        <f t="shared" ref="E62:W62" si="11">SUM(E54:E61)</f>
        <v>0</v>
      </c>
      <c r="F62" s="338">
        <f t="shared" si="11"/>
        <v>0</v>
      </c>
      <c r="G62" s="338">
        <f t="shared" si="11"/>
        <v>0</v>
      </c>
      <c r="H62" s="338">
        <f t="shared" si="11"/>
        <v>0</v>
      </c>
      <c r="I62" s="338">
        <f t="shared" si="11"/>
        <v>0</v>
      </c>
      <c r="J62" s="338">
        <f t="shared" si="11"/>
        <v>0</v>
      </c>
      <c r="K62" s="338">
        <f t="shared" si="11"/>
        <v>0</v>
      </c>
      <c r="L62" s="338">
        <f t="shared" si="11"/>
        <v>0</v>
      </c>
      <c r="M62" s="338">
        <f t="shared" si="11"/>
        <v>0</v>
      </c>
      <c r="N62" s="338">
        <f t="shared" si="11"/>
        <v>0</v>
      </c>
      <c r="O62" s="338">
        <f t="shared" si="11"/>
        <v>0</v>
      </c>
      <c r="P62" s="338">
        <f t="shared" si="11"/>
        <v>0</v>
      </c>
      <c r="Q62" s="338">
        <f t="shared" si="11"/>
        <v>0</v>
      </c>
      <c r="R62" s="338">
        <f t="shared" si="11"/>
        <v>0</v>
      </c>
      <c r="S62" s="338">
        <f t="shared" si="11"/>
        <v>0</v>
      </c>
      <c r="T62" s="338">
        <f t="shared" si="11"/>
        <v>0</v>
      </c>
      <c r="U62" s="338">
        <f t="shared" si="11"/>
        <v>0</v>
      </c>
      <c r="V62" s="338">
        <f t="shared" si="11"/>
        <v>0</v>
      </c>
      <c r="W62" s="338">
        <f t="shared" si="11"/>
        <v>0</v>
      </c>
      <c r="X62" s="332">
        <f t="shared" si="10"/>
        <v>0</v>
      </c>
    </row>
    <row r="63" spans="1:24" ht="11.25" x14ac:dyDescent="0.2">
      <c r="A63" s="361" t="s">
        <v>123</v>
      </c>
      <c r="B63" s="360"/>
      <c r="C63" s="339"/>
      <c r="D63" s="340"/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</row>
    <row r="64" spans="1:24" ht="11.25" x14ac:dyDescent="0.2">
      <c r="A64" s="361" t="s">
        <v>124</v>
      </c>
      <c r="B64" s="360"/>
      <c r="C64" s="339"/>
      <c r="D64" s="340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</row>
    <row r="65" spans="1:24" ht="11.25" x14ac:dyDescent="0.2">
      <c r="A65" s="361" t="s">
        <v>136</v>
      </c>
      <c r="B65" s="360"/>
      <c r="C65" s="339"/>
      <c r="D65" s="340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</row>
    <row r="66" spans="1:24" ht="11.25" x14ac:dyDescent="0.2">
      <c r="A66" s="361" t="s">
        <v>138</v>
      </c>
      <c r="B66" s="360"/>
      <c r="C66" s="339"/>
      <c r="D66" s="340"/>
      <c r="E66" s="340"/>
      <c r="F66" s="340"/>
      <c r="G66" s="340"/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S66" s="340"/>
      <c r="T66" s="340"/>
      <c r="U66" s="340"/>
      <c r="V66" s="340"/>
      <c r="W66" s="340"/>
      <c r="X66" s="340"/>
    </row>
    <row r="67" spans="1:24" ht="11.25" x14ac:dyDescent="0.2">
      <c r="A67" s="361" t="s">
        <v>140</v>
      </c>
      <c r="B67" s="360"/>
      <c r="C67" s="339"/>
      <c r="D67" s="340"/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340"/>
      <c r="P67" s="340"/>
      <c r="Q67" s="340"/>
      <c r="R67" s="340"/>
      <c r="S67" s="340"/>
      <c r="T67" s="340"/>
      <c r="U67" s="340"/>
      <c r="V67" s="340"/>
      <c r="W67" s="340"/>
      <c r="X67" s="340"/>
    </row>
    <row r="68" spans="1:24" ht="11.25" x14ac:dyDescent="0.2">
      <c r="A68" s="361" t="s">
        <v>142</v>
      </c>
      <c r="B68" s="360"/>
      <c r="C68" s="339"/>
      <c r="D68" s="340"/>
      <c r="E68" s="340"/>
      <c r="F68" s="340"/>
      <c r="G68" s="340"/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S68" s="340"/>
      <c r="T68" s="340"/>
      <c r="U68" s="340"/>
      <c r="V68" s="340"/>
      <c r="W68" s="340"/>
      <c r="X68" s="340"/>
    </row>
    <row r="69" spans="1:24" ht="11.25" x14ac:dyDescent="0.2">
      <c r="A69" s="361" t="s">
        <v>147</v>
      </c>
      <c r="B69" s="360"/>
      <c r="C69" s="339"/>
      <c r="D69" s="340"/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40"/>
      <c r="W69" s="340"/>
      <c r="X69" s="340"/>
    </row>
    <row r="70" spans="1:24" ht="11.25" hidden="1" x14ac:dyDescent="0.2">
      <c r="A70" s="331">
        <v>12</v>
      </c>
      <c r="B70" s="516" t="s">
        <v>880</v>
      </c>
      <c r="C70" s="305" t="s">
        <v>1164</v>
      </c>
      <c r="D70" s="458"/>
      <c r="E70" s="458"/>
      <c r="F70" s="458"/>
      <c r="G70" s="458"/>
      <c r="H70" s="458"/>
      <c r="I70" s="458"/>
      <c r="J70" s="458"/>
      <c r="K70" s="458"/>
      <c r="L70" s="458"/>
      <c r="M70" s="458"/>
      <c r="N70" s="458"/>
      <c r="O70" s="458"/>
      <c r="P70" s="458"/>
      <c r="Q70" s="458"/>
      <c r="R70" s="458"/>
      <c r="S70" s="458"/>
      <c r="T70" s="458"/>
      <c r="U70" s="458"/>
      <c r="V70" s="458"/>
      <c r="W70" s="458"/>
      <c r="X70" s="338">
        <f t="shared" ref="X70:X79" si="12">SUM(D70:W70)</f>
        <v>0</v>
      </c>
    </row>
    <row r="71" spans="1:24" ht="11.25" x14ac:dyDescent="0.2">
      <c r="A71" s="331" t="s">
        <v>733</v>
      </c>
      <c r="B71" s="516" t="s">
        <v>880</v>
      </c>
      <c r="C71" s="305" t="s">
        <v>337</v>
      </c>
      <c r="D71" s="144">
        <v>0</v>
      </c>
      <c r="E71" s="144">
        <v>0</v>
      </c>
      <c r="F71" s="144">
        <v>0</v>
      </c>
      <c r="G71" s="144">
        <v>0</v>
      </c>
      <c r="H71" s="144">
        <v>0</v>
      </c>
      <c r="I71" s="144">
        <v>0</v>
      </c>
      <c r="J71" s="144">
        <v>0</v>
      </c>
      <c r="K71" s="144">
        <v>0</v>
      </c>
      <c r="L71" s="144">
        <v>0</v>
      </c>
      <c r="M71" s="144">
        <v>0</v>
      </c>
      <c r="N71" s="144">
        <v>0</v>
      </c>
      <c r="O71" s="144">
        <v>0</v>
      </c>
      <c r="P71" s="144">
        <v>0</v>
      </c>
      <c r="Q71" s="144">
        <v>0</v>
      </c>
      <c r="R71" s="144">
        <v>0</v>
      </c>
      <c r="S71" s="144">
        <v>0</v>
      </c>
      <c r="T71" s="144">
        <v>0</v>
      </c>
      <c r="U71" s="144">
        <v>0</v>
      </c>
      <c r="V71" s="144">
        <v>0</v>
      </c>
      <c r="W71" s="144">
        <v>0</v>
      </c>
      <c r="X71" s="332">
        <f t="shared" si="12"/>
        <v>0</v>
      </c>
    </row>
    <row r="72" spans="1:24" ht="11.25" hidden="1" x14ac:dyDescent="0.2">
      <c r="A72" s="341">
        <v>13</v>
      </c>
      <c r="B72" s="516" t="s">
        <v>881</v>
      </c>
      <c r="C72" s="305" t="s">
        <v>1015</v>
      </c>
      <c r="D72" s="458"/>
      <c r="E72" s="458"/>
      <c r="F72" s="458"/>
      <c r="G72" s="458"/>
      <c r="H72" s="458"/>
      <c r="I72" s="458"/>
      <c r="J72" s="458"/>
      <c r="K72" s="458"/>
      <c r="L72" s="458"/>
      <c r="M72" s="458"/>
      <c r="N72" s="458"/>
      <c r="O72" s="458"/>
      <c r="P72" s="458"/>
      <c r="Q72" s="458"/>
      <c r="R72" s="458"/>
      <c r="S72" s="458"/>
      <c r="T72" s="458"/>
      <c r="U72" s="458"/>
      <c r="V72" s="458"/>
      <c r="W72" s="458"/>
      <c r="X72" s="332">
        <f t="shared" si="12"/>
        <v>0</v>
      </c>
    </row>
    <row r="73" spans="1:24" ht="11.25" x14ac:dyDescent="0.2">
      <c r="A73" s="341" t="s">
        <v>768</v>
      </c>
      <c r="B73" s="516" t="s">
        <v>881</v>
      </c>
      <c r="C73" s="305" t="s">
        <v>341</v>
      </c>
      <c r="D73" s="518">
        <v>0</v>
      </c>
      <c r="E73" s="518">
        <v>0</v>
      </c>
      <c r="F73" s="518">
        <v>0</v>
      </c>
      <c r="G73" s="518">
        <v>0</v>
      </c>
      <c r="H73" s="518">
        <v>0</v>
      </c>
      <c r="I73" s="518">
        <v>0</v>
      </c>
      <c r="J73" s="518">
        <v>0</v>
      </c>
      <c r="K73" s="518">
        <v>0</v>
      </c>
      <c r="L73" s="518">
        <v>0</v>
      </c>
      <c r="M73" s="518">
        <v>0</v>
      </c>
      <c r="N73" s="518">
        <v>0</v>
      </c>
      <c r="O73" s="518">
        <v>0</v>
      </c>
      <c r="P73" s="518">
        <v>0</v>
      </c>
      <c r="Q73" s="518">
        <v>0</v>
      </c>
      <c r="R73" s="518">
        <v>0</v>
      </c>
      <c r="S73" s="518">
        <v>0</v>
      </c>
      <c r="T73" s="518">
        <v>0</v>
      </c>
      <c r="U73" s="518">
        <v>0</v>
      </c>
      <c r="V73" s="518">
        <v>0</v>
      </c>
      <c r="W73" s="518">
        <v>0</v>
      </c>
      <c r="X73" s="332">
        <f t="shared" si="12"/>
        <v>0</v>
      </c>
    </row>
    <row r="74" spans="1:24" ht="11.25" x14ac:dyDescent="0.2">
      <c r="A74" s="341">
        <v>14</v>
      </c>
      <c r="B74" s="516" t="s">
        <v>882</v>
      </c>
      <c r="C74" s="320" t="s">
        <v>1208</v>
      </c>
      <c r="D74" s="518">
        <v>0</v>
      </c>
      <c r="E74" s="518">
        <v>0</v>
      </c>
      <c r="F74" s="518">
        <v>0</v>
      </c>
      <c r="G74" s="518">
        <v>0</v>
      </c>
      <c r="H74" s="518">
        <v>0</v>
      </c>
      <c r="I74" s="518">
        <v>0</v>
      </c>
      <c r="J74" s="518">
        <v>0</v>
      </c>
      <c r="K74" s="518">
        <v>0</v>
      </c>
      <c r="L74" s="519">
        <v>0</v>
      </c>
      <c r="M74" s="519">
        <v>0</v>
      </c>
      <c r="N74" s="519">
        <v>0</v>
      </c>
      <c r="O74" s="519">
        <v>0</v>
      </c>
      <c r="P74" s="519">
        <v>0</v>
      </c>
      <c r="Q74" s="519">
        <v>0</v>
      </c>
      <c r="R74" s="519">
        <v>0</v>
      </c>
      <c r="S74" s="519">
        <v>0</v>
      </c>
      <c r="T74" s="519">
        <v>0</v>
      </c>
      <c r="U74" s="519">
        <v>0</v>
      </c>
      <c r="V74" s="519">
        <v>0</v>
      </c>
      <c r="W74" s="519">
        <v>0</v>
      </c>
      <c r="X74" s="332">
        <f t="shared" si="12"/>
        <v>0</v>
      </c>
    </row>
    <row r="75" spans="1:24" ht="11.25" x14ac:dyDescent="0.2">
      <c r="A75" s="341">
        <v>15</v>
      </c>
      <c r="B75" s="516" t="s">
        <v>883</v>
      </c>
      <c r="C75" s="318" t="s">
        <v>1212</v>
      </c>
      <c r="D75" s="518">
        <v>0</v>
      </c>
      <c r="E75" s="518">
        <v>0</v>
      </c>
      <c r="F75" s="518">
        <v>0</v>
      </c>
      <c r="G75" s="518">
        <v>0</v>
      </c>
      <c r="H75" s="518">
        <v>0</v>
      </c>
      <c r="I75" s="518">
        <v>0</v>
      </c>
      <c r="J75" s="518">
        <v>0</v>
      </c>
      <c r="K75" s="518">
        <v>0</v>
      </c>
      <c r="L75" s="519">
        <v>0</v>
      </c>
      <c r="M75" s="519">
        <v>0</v>
      </c>
      <c r="N75" s="519">
        <v>0</v>
      </c>
      <c r="O75" s="519">
        <v>0</v>
      </c>
      <c r="P75" s="519">
        <v>0</v>
      </c>
      <c r="Q75" s="519">
        <v>0</v>
      </c>
      <c r="R75" s="519">
        <v>0</v>
      </c>
      <c r="S75" s="519">
        <v>0</v>
      </c>
      <c r="T75" s="519">
        <v>0</v>
      </c>
      <c r="U75" s="519">
        <v>0</v>
      </c>
      <c r="V75" s="519">
        <v>0</v>
      </c>
      <c r="W75" s="519">
        <v>0</v>
      </c>
      <c r="X75" s="332">
        <f t="shared" si="12"/>
        <v>0</v>
      </c>
    </row>
    <row r="76" spans="1:24" ht="11.25" x14ac:dyDescent="0.2">
      <c r="A76" s="341">
        <v>16</v>
      </c>
      <c r="B76" s="185" t="s">
        <v>884</v>
      </c>
      <c r="C76" s="320" t="s">
        <v>1209</v>
      </c>
      <c r="D76" s="518">
        <v>0</v>
      </c>
      <c r="E76" s="518">
        <v>0</v>
      </c>
      <c r="F76" s="518">
        <v>0</v>
      </c>
      <c r="G76" s="518">
        <v>0</v>
      </c>
      <c r="H76" s="518">
        <v>0</v>
      </c>
      <c r="I76" s="518">
        <v>0</v>
      </c>
      <c r="J76" s="518">
        <v>0</v>
      </c>
      <c r="K76" s="518">
        <v>0</v>
      </c>
      <c r="L76" s="519">
        <v>0</v>
      </c>
      <c r="M76" s="519">
        <v>0</v>
      </c>
      <c r="N76" s="519">
        <v>0</v>
      </c>
      <c r="O76" s="519">
        <v>0</v>
      </c>
      <c r="P76" s="519">
        <v>0</v>
      </c>
      <c r="Q76" s="519">
        <v>0</v>
      </c>
      <c r="R76" s="519">
        <v>0</v>
      </c>
      <c r="S76" s="519">
        <v>0</v>
      </c>
      <c r="T76" s="519">
        <v>0</v>
      </c>
      <c r="U76" s="519">
        <v>0</v>
      </c>
      <c r="V76" s="519">
        <v>0</v>
      </c>
      <c r="W76" s="519">
        <v>0</v>
      </c>
      <c r="X76" s="332">
        <f t="shared" si="12"/>
        <v>0</v>
      </c>
    </row>
    <row r="77" spans="1:24" ht="11.25" x14ac:dyDescent="0.2">
      <c r="A77" s="341">
        <v>17</v>
      </c>
      <c r="B77" s="185" t="s">
        <v>885</v>
      </c>
      <c r="C77" s="318" t="s">
        <v>1210</v>
      </c>
      <c r="D77" s="518">
        <v>0</v>
      </c>
      <c r="E77" s="518">
        <v>0</v>
      </c>
      <c r="F77" s="518">
        <v>0</v>
      </c>
      <c r="G77" s="518">
        <v>0</v>
      </c>
      <c r="H77" s="518">
        <v>0</v>
      </c>
      <c r="I77" s="518">
        <v>0</v>
      </c>
      <c r="J77" s="518">
        <v>0</v>
      </c>
      <c r="K77" s="518">
        <v>0</v>
      </c>
      <c r="L77" s="519">
        <v>0</v>
      </c>
      <c r="M77" s="519">
        <v>0</v>
      </c>
      <c r="N77" s="519">
        <v>0</v>
      </c>
      <c r="O77" s="519">
        <v>0</v>
      </c>
      <c r="P77" s="519">
        <v>0</v>
      </c>
      <c r="Q77" s="519">
        <v>0</v>
      </c>
      <c r="R77" s="519">
        <v>0</v>
      </c>
      <c r="S77" s="519">
        <v>0</v>
      </c>
      <c r="T77" s="519">
        <v>0</v>
      </c>
      <c r="U77" s="519">
        <v>0</v>
      </c>
      <c r="V77" s="519">
        <v>0</v>
      </c>
      <c r="W77" s="519">
        <v>0</v>
      </c>
      <c r="X77" s="332">
        <f t="shared" si="12"/>
        <v>0</v>
      </c>
    </row>
    <row r="78" spans="1:24" ht="11.25" x14ac:dyDescent="0.2">
      <c r="A78" s="341">
        <v>18</v>
      </c>
      <c r="B78" s="185" t="s">
        <v>887</v>
      </c>
      <c r="C78" s="318" t="s">
        <v>1211</v>
      </c>
      <c r="D78" s="518">
        <v>0</v>
      </c>
      <c r="E78" s="518">
        <v>0</v>
      </c>
      <c r="F78" s="518">
        <v>0</v>
      </c>
      <c r="G78" s="518">
        <v>0</v>
      </c>
      <c r="H78" s="518">
        <v>0</v>
      </c>
      <c r="I78" s="518">
        <v>0</v>
      </c>
      <c r="J78" s="518">
        <v>0</v>
      </c>
      <c r="K78" s="518">
        <v>0</v>
      </c>
      <c r="L78" s="519">
        <v>0</v>
      </c>
      <c r="M78" s="519">
        <v>0</v>
      </c>
      <c r="N78" s="519">
        <v>0</v>
      </c>
      <c r="O78" s="519">
        <v>0</v>
      </c>
      <c r="P78" s="519">
        <v>0</v>
      </c>
      <c r="Q78" s="519">
        <v>0</v>
      </c>
      <c r="R78" s="519">
        <v>0</v>
      </c>
      <c r="S78" s="519">
        <v>0</v>
      </c>
      <c r="T78" s="519">
        <v>0</v>
      </c>
      <c r="U78" s="519">
        <v>0</v>
      </c>
      <c r="V78" s="519">
        <v>0</v>
      </c>
      <c r="W78" s="519">
        <v>0</v>
      </c>
      <c r="X78" s="332">
        <f t="shared" si="12"/>
        <v>0</v>
      </c>
    </row>
    <row r="79" spans="1:24" ht="11.25" x14ac:dyDescent="0.2">
      <c r="A79" s="342">
        <v>19</v>
      </c>
      <c r="C79" s="343" t="s">
        <v>1230</v>
      </c>
      <c r="D79" s="338">
        <f>SUM(D70:D78)</f>
        <v>0</v>
      </c>
      <c r="E79" s="338">
        <f t="shared" ref="E79:W79" si="13">SUM(E70:E78)</f>
        <v>0</v>
      </c>
      <c r="F79" s="338">
        <f t="shared" si="13"/>
        <v>0</v>
      </c>
      <c r="G79" s="338">
        <f t="shared" si="13"/>
        <v>0</v>
      </c>
      <c r="H79" s="338">
        <f t="shared" si="13"/>
        <v>0</v>
      </c>
      <c r="I79" s="338">
        <f t="shared" si="13"/>
        <v>0</v>
      </c>
      <c r="J79" s="338">
        <f t="shared" si="13"/>
        <v>0</v>
      </c>
      <c r="K79" s="338">
        <f t="shared" si="13"/>
        <v>0</v>
      </c>
      <c r="L79" s="338">
        <f t="shared" si="13"/>
        <v>0</v>
      </c>
      <c r="M79" s="338">
        <f t="shared" si="13"/>
        <v>0</v>
      </c>
      <c r="N79" s="338">
        <f t="shared" si="13"/>
        <v>0</v>
      </c>
      <c r="O79" s="338">
        <f t="shared" si="13"/>
        <v>0</v>
      </c>
      <c r="P79" s="338">
        <f t="shared" si="13"/>
        <v>0</v>
      </c>
      <c r="Q79" s="338">
        <f t="shared" si="13"/>
        <v>0</v>
      </c>
      <c r="R79" s="338">
        <f t="shared" si="13"/>
        <v>0</v>
      </c>
      <c r="S79" s="338">
        <f t="shared" si="13"/>
        <v>0</v>
      </c>
      <c r="T79" s="338">
        <f t="shared" si="13"/>
        <v>0</v>
      </c>
      <c r="U79" s="338">
        <f t="shared" si="13"/>
        <v>0</v>
      </c>
      <c r="V79" s="338">
        <f t="shared" si="13"/>
        <v>0</v>
      </c>
      <c r="W79" s="338">
        <f t="shared" si="13"/>
        <v>0</v>
      </c>
      <c r="X79" s="332">
        <f t="shared" si="12"/>
        <v>0</v>
      </c>
    </row>
    <row r="80" spans="1:24" ht="11.25" x14ac:dyDescent="0.2">
      <c r="A80" s="362" t="s">
        <v>764</v>
      </c>
      <c r="B80" s="360"/>
      <c r="C80" s="339"/>
      <c r="D80" s="340"/>
      <c r="E80" s="340"/>
      <c r="F80" s="340"/>
      <c r="G80" s="340"/>
      <c r="H80" s="340"/>
      <c r="I80" s="340"/>
      <c r="J80" s="340"/>
      <c r="K80" s="340"/>
      <c r="L80" s="340"/>
      <c r="M80" s="340"/>
      <c r="N80" s="340"/>
      <c r="O80" s="340"/>
      <c r="P80" s="340"/>
      <c r="Q80" s="340"/>
      <c r="R80" s="340"/>
      <c r="S80" s="340"/>
      <c r="T80" s="340"/>
      <c r="U80" s="340"/>
      <c r="V80" s="340"/>
      <c r="W80" s="340"/>
      <c r="X80" s="340"/>
    </row>
    <row r="81" spans="1:24" ht="11.25" hidden="1" x14ac:dyDescent="0.2">
      <c r="A81" s="331">
        <v>20</v>
      </c>
      <c r="B81" s="516" t="s">
        <v>880</v>
      </c>
      <c r="C81" s="305" t="s">
        <v>1164</v>
      </c>
      <c r="D81" s="458"/>
      <c r="E81" s="458"/>
      <c r="F81" s="458"/>
      <c r="G81" s="458"/>
      <c r="H81" s="458"/>
      <c r="I81" s="458"/>
      <c r="J81" s="458"/>
      <c r="K81" s="458"/>
      <c r="L81" s="458"/>
      <c r="M81" s="458"/>
      <c r="N81" s="458"/>
      <c r="O81" s="458"/>
      <c r="P81" s="458"/>
      <c r="Q81" s="458"/>
      <c r="R81" s="458"/>
      <c r="S81" s="458"/>
      <c r="T81" s="458"/>
      <c r="U81" s="458"/>
      <c r="V81" s="458"/>
      <c r="W81" s="458"/>
      <c r="X81" s="338">
        <f t="shared" ref="X81:X89" si="14">SUM(D81:W81)</f>
        <v>0</v>
      </c>
    </row>
    <row r="82" spans="1:24" ht="11.25" x14ac:dyDescent="0.2">
      <c r="A82" s="331" t="s">
        <v>769</v>
      </c>
      <c r="B82" s="516" t="s">
        <v>880</v>
      </c>
      <c r="C82" s="305" t="s">
        <v>337</v>
      </c>
      <c r="D82" s="144">
        <v>0</v>
      </c>
      <c r="E82" s="144">
        <v>0</v>
      </c>
      <c r="F82" s="144">
        <v>0</v>
      </c>
      <c r="G82" s="144">
        <v>0</v>
      </c>
      <c r="H82" s="144">
        <v>0</v>
      </c>
      <c r="I82" s="144">
        <v>0</v>
      </c>
      <c r="J82" s="144">
        <v>0</v>
      </c>
      <c r="K82" s="144">
        <v>0</v>
      </c>
      <c r="L82" s="144">
        <v>0</v>
      </c>
      <c r="M82" s="144">
        <v>0</v>
      </c>
      <c r="N82" s="144">
        <v>0</v>
      </c>
      <c r="O82" s="144">
        <v>0</v>
      </c>
      <c r="P82" s="144">
        <v>0</v>
      </c>
      <c r="Q82" s="144">
        <v>0</v>
      </c>
      <c r="R82" s="144">
        <v>0</v>
      </c>
      <c r="S82" s="144">
        <v>0</v>
      </c>
      <c r="T82" s="144">
        <v>0</v>
      </c>
      <c r="U82" s="144">
        <v>0</v>
      </c>
      <c r="V82" s="144">
        <v>0</v>
      </c>
      <c r="W82" s="144">
        <v>0</v>
      </c>
      <c r="X82" s="332">
        <f t="shared" si="14"/>
        <v>0</v>
      </c>
    </row>
    <row r="83" spans="1:24" ht="11.25" hidden="1" x14ac:dyDescent="0.2">
      <c r="A83" s="331">
        <v>21</v>
      </c>
      <c r="B83" s="516" t="s">
        <v>881</v>
      </c>
      <c r="C83" s="305" t="s">
        <v>1015</v>
      </c>
      <c r="D83" s="458"/>
      <c r="E83" s="458"/>
      <c r="F83" s="458"/>
      <c r="G83" s="458"/>
      <c r="H83" s="458"/>
      <c r="I83" s="458"/>
      <c r="J83" s="458"/>
      <c r="K83" s="458"/>
      <c r="L83" s="458"/>
      <c r="M83" s="458"/>
      <c r="N83" s="458"/>
      <c r="O83" s="458"/>
      <c r="P83" s="458"/>
      <c r="Q83" s="458"/>
      <c r="R83" s="458"/>
      <c r="S83" s="458"/>
      <c r="T83" s="458"/>
      <c r="U83" s="458"/>
      <c r="V83" s="458"/>
      <c r="W83" s="458"/>
      <c r="X83" s="332">
        <f t="shared" si="14"/>
        <v>0</v>
      </c>
    </row>
    <row r="84" spans="1:24" ht="11.25" x14ac:dyDescent="0.2">
      <c r="A84" s="331" t="s">
        <v>770</v>
      </c>
      <c r="B84" s="516" t="s">
        <v>881</v>
      </c>
      <c r="C84" s="305" t="s">
        <v>341</v>
      </c>
      <c r="D84" s="518">
        <v>0</v>
      </c>
      <c r="E84" s="518">
        <v>0</v>
      </c>
      <c r="F84" s="518">
        <v>0</v>
      </c>
      <c r="G84" s="518">
        <v>0</v>
      </c>
      <c r="H84" s="518">
        <v>0</v>
      </c>
      <c r="I84" s="518">
        <v>0</v>
      </c>
      <c r="J84" s="518">
        <v>0</v>
      </c>
      <c r="K84" s="518">
        <v>0</v>
      </c>
      <c r="L84" s="518">
        <v>0</v>
      </c>
      <c r="M84" s="518">
        <v>0</v>
      </c>
      <c r="N84" s="518">
        <v>0</v>
      </c>
      <c r="O84" s="518">
        <v>0</v>
      </c>
      <c r="P84" s="518">
        <v>0</v>
      </c>
      <c r="Q84" s="518">
        <v>0</v>
      </c>
      <c r="R84" s="518">
        <v>0</v>
      </c>
      <c r="S84" s="518">
        <v>0</v>
      </c>
      <c r="T84" s="518">
        <v>0</v>
      </c>
      <c r="U84" s="518">
        <v>0</v>
      </c>
      <c r="V84" s="518">
        <v>0</v>
      </c>
      <c r="W84" s="518">
        <v>0</v>
      </c>
      <c r="X84" s="332">
        <f t="shared" si="14"/>
        <v>0</v>
      </c>
    </row>
    <row r="85" spans="1:24" ht="11.25" x14ac:dyDescent="0.2">
      <c r="A85" s="331">
        <v>22</v>
      </c>
      <c r="B85" s="516" t="s">
        <v>882</v>
      </c>
      <c r="C85" s="320" t="s">
        <v>1208</v>
      </c>
      <c r="D85" s="518">
        <v>0</v>
      </c>
      <c r="E85" s="518">
        <v>0</v>
      </c>
      <c r="F85" s="518">
        <v>0</v>
      </c>
      <c r="G85" s="518">
        <v>0</v>
      </c>
      <c r="H85" s="518">
        <v>0</v>
      </c>
      <c r="I85" s="518">
        <v>0</v>
      </c>
      <c r="J85" s="518">
        <v>0</v>
      </c>
      <c r="K85" s="518">
        <v>0</v>
      </c>
      <c r="L85" s="519">
        <v>0</v>
      </c>
      <c r="M85" s="519">
        <v>0</v>
      </c>
      <c r="N85" s="519">
        <v>0</v>
      </c>
      <c r="O85" s="519">
        <v>0</v>
      </c>
      <c r="P85" s="519">
        <v>0</v>
      </c>
      <c r="Q85" s="519">
        <v>0</v>
      </c>
      <c r="R85" s="519">
        <v>0</v>
      </c>
      <c r="S85" s="519">
        <v>0</v>
      </c>
      <c r="T85" s="519">
        <v>0</v>
      </c>
      <c r="U85" s="519">
        <v>0</v>
      </c>
      <c r="V85" s="519">
        <v>0</v>
      </c>
      <c r="W85" s="519">
        <v>0</v>
      </c>
      <c r="X85" s="332">
        <f t="shared" si="14"/>
        <v>0</v>
      </c>
    </row>
    <row r="86" spans="1:24" ht="11.25" x14ac:dyDescent="0.2">
      <c r="A86" s="331">
        <v>23</v>
      </c>
      <c r="B86" s="185" t="s">
        <v>884</v>
      </c>
      <c r="C86" s="320" t="s">
        <v>1209</v>
      </c>
      <c r="D86" s="518">
        <v>0</v>
      </c>
      <c r="E86" s="518">
        <v>0</v>
      </c>
      <c r="F86" s="518">
        <v>0</v>
      </c>
      <c r="G86" s="518">
        <v>0</v>
      </c>
      <c r="H86" s="518">
        <v>0</v>
      </c>
      <c r="I86" s="518">
        <v>0</v>
      </c>
      <c r="J86" s="518">
        <v>0</v>
      </c>
      <c r="K86" s="518">
        <v>0</v>
      </c>
      <c r="L86" s="519">
        <v>0</v>
      </c>
      <c r="M86" s="519">
        <v>0</v>
      </c>
      <c r="N86" s="519">
        <v>0</v>
      </c>
      <c r="O86" s="519">
        <v>0</v>
      </c>
      <c r="P86" s="519">
        <v>0</v>
      </c>
      <c r="Q86" s="519">
        <v>0</v>
      </c>
      <c r="R86" s="519">
        <v>0</v>
      </c>
      <c r="S86" s="519">
        <v>0</v>
      </c>
      <c r="T86" s="519">
        <v>0</v>
      </c>
      <c r="U86" s="519">
        <v>0</v>
      </c>
      <c r="V86" s="519">
        <v>0</v>
      </c>
      <c r="W86" s="519">
        <v>0</v>
      </c>
      <c r="X86" s="332">
        <f t="shared" si="14"/>
        <v>0</v>
      </c>
    </row>
    <row r="87" spans="1:24" ht="11.25" x14ac:dyDescent="0.2">
      <c r="A87" s="331">
        <v>24</v>
      </c>
      <c r="B87" s="185" t="s">
        <v>885</v>
      </c>
      <c r="C87" s="320" t="s">
        <v>1210</v>
      </c>
      <c r="D87" s="518">
        <v>0</v>
      </c>
      <c r="E87" s="518">
        <v>0</v>
      </c>
      <c r="F87" s="518">
        <v>0</v>
      </c>
      <c r="G87" s="518">
        <v>0</v>
      </c>
      <c r="H87" s="518">
        <v>0</v>
      </c>
      <c r="I87" s="518">
        <v>0</v>
      </c>
      <c r="J87" s="518">
        <v>0</v>
      </c>
      <c r="K87" s="518">
        <v>0</v>
      </c>
      <c r="L87" s="519">
        <v>0</v>
      </c>
      <c r="M87" s="519">
        <v>0</v>
      </c>
      <c r="N87" s="519">
        <v>0</v>
      </c>
      <c r="O87" s="519">
        <v>0</v>
      </c>
      <c r="P87" s="519">
        <v>0</v>
      </c>
      <c r="Q87" s="519">
        <v>0</v>
      </c>
      <c r="R87" s="519">
        <v>0</v>
      </c>
      <c r="S87" s="519">
        <v>0</v>
      </c>
      <c r="T87" s="519">
        <v>0</v>
      </c>
      <c r="U87" s="519">
        <v>0</v>
      </c>
      <c r="V87" s="519">
        <v>0</v>
      </c>
      <c r="W87" s="519">
        <v>0</v>
      </c>
      <c r="X87" s="332">
        <f t="shared" si="14"/>
        <v>0</v>
      </c>
    </row>
    <row r="88" spans="1:24" ht="11.25" x14ac:dyDescent="0.2">
      <c r="A88" s="341">
        <v>25</v>
      </c>
      <c r="B88" s="185" t="s">
        <v>887</v>
      </c>
      <c r="C88" s="318" t="s">
        <v>1211</v>
      </c>
      <c r="D88" s="518">
        <v>0</v>
      </c>
      <c r="E88" s="518">
        <v>0</v>
      </c>
      <c r="F88" s="518">
        <v>0</v>
      </c>
      <c r="G88" s="518">
        <v>0</v>
      </c>
      <c r="H88" s="518">
        <v>0</v>
      </c>
      <c r="I88" s="518">
        <v>0</v>
      </c>
      <c r="J88" s="518">
        <v>0</v>
      </c>
      <c r="K88" s="518">
        <v>0</v>
      </c>
      <c r="L88" s="519">
        <v>0</v>
      </c>
      <c r="M88" s="519">
        <v>0</v>
      </c>
      <c r="N88" s="519">
        <v>0</v>
      </c>
      <c r="O88" s="519">
        <v>0</v>
      </c>
      <c r="P88" s="519">
        <v>0</v>
      </c>
      <c r="Q88" s="519">
        <v>0</v>
      </c>
      <c r="R88" s="519">
        <v>0</v>
      </c>
      <c r="S88" s="519">
        <v>0</v>
      </c>
      <c r="T88" s="519">
        <v>0</v>
      </c>
      <c r="U88" s="519">
        <v>0</v>
      </c>
      <c r="V88" s="519">
        <v>0</v>
      </c>
      <c r="W88" s="519">
        <v>0</v>
      </c>
      <c r="X88" s="332">
        <f t="shared" si="14"/>
        <v>0</v>
      </c>
    </row>
    <row r="89" spans="1:24" ht="11.25" x14ac:dyDescent="0.2">
      <c r="A89" s="331">
        <v>26</v>
      </c>
      <c r="C89" s="337" t="s">
        <v>1231</v>
      </c>
      <c r="D89" s="338">
        <f>SUM(D81:D88)</f>
        <v>0</v>
      </c>
      <c r="E89" s="338">
        <f t="shared" ref="E89:W89" si="15">SUM(E81:E88)</f>
        <v>0</v>
      </c>
      <c r="F89" s="338">
        <f t="shared" si="15"/>
        <v>0</v>
      </c>
      <c r="G89" s="338">
        <f t="shared" si="15"/>
        <v>0</v>
      </c>
      <c r="H89" s="338">
        <f t="shared" si="15"/>
        <v>0</v>
      </c>
      <c r="I89" s="338">
        <f t="shared" si="15"/>
        <v>0</v>
      </c>
      <c r="J89" s="338">
        <f t="shared" si="15"/>
        <v>0</v>
      </c>
      <c r="K89" s="344">
        <f t="shared" si="15"/>
        <v>0</v>
      </c>
      <c r="L89" s="344">
        <f t="shared" si="15"/>
        <v>0</v>
      </c>
      <c r="M89" s="344">
        <f t="shared" si="15"/>
        <v>0</v>
      </c>
      <c r="N89" s="344">
        <f t="shared" si="15"/>
        <v>0</v>
      </c>
      <c r="O89" s="344">
        <f t="shared" si="15"/>
        <v>0</v>
      </c>
      <c r="P89" s="344">
        <f t="shared" si="15"/>
        <v>0</v>
      </c>
      <c r="Q89" s="344">
        <f t="shared" si="15"/>
        <v>0</v>
      </c>
      <c r="R89" s="344">
        <f t="shared" si="15"/>
        <v>0</v>
      </c>
      <c r="S89" s="344">
        <f t="shared" si="15"/>
        <v>0</v>
      </c>
      <c r="T89" s="344">
        <f t="shared" si="15"/>
        <v>0</v>
      </c>
      <c r="U89" s="344">
        <f t="shared" si="15"/>
        <v>0</v>
      </c>
      <c r="V89" s="344">
        <f t="shared" si="15"/>
        <v>0</v>
      </c>
      <c r="W89" s="344">
        <f t="shared" si="15"/>
        <v>0</v>
      </c>
      <c r="X89" s="332">
        <f t="shared" si="14"/>
        <v>0</v>
      </c>
    </row>
    <row r="90" spans="1:24" ht="11.25" x14ac:dyDescent="0.2">
      <c r="A90" s="362" t="s">
        <v>773</v>
      </c>
      <c r="B90" s="360"/>
      <c r="C90" s="339"/>
      <c r="D90" s="340"/>
      <c r="E90" s="340"/>
      <c r="F90" s="340"/>
      <c r="G90" s="340"/>
      <c r="H90" s="340"/>
      <c r="I90" s="340"/>
      <c r="J90" s="340"/>
      <c r="K90" s="340"/>
      <c r="L90" s="340"/>
      <c r="M90" s="340"/>
      <c r="N90" s="340"/>
      <c r="O90" s="340"/>
      <c r="P90" s="340"/>
      <c r="Q90" s="340"/>
      <c r="R90" s="340"/>
      <c r="S90" s="340"/>
      <c r="T90" s="340"/>
      <c r="U90" s="340"/>
      <c r="V90" s="340"/>
      <c r="W90" s="340"/>
      <c r="X90" s="340"/>
    </row>
    <row r="91" spans="1:24" ht="11.25" x14ac:dyDescent="0.2">
      <c r="A91" s="362" t="s">
        <v>765</v>
      </c>
      <c r="B91" s="360"/>
      <c r="C91" s="339"/>
      <c r="D91" s="340"/>
      <c r="E91" s="340"/>
      <c r="F91" s="340"/>
      <c r="G91" s="340"/>
      <c r="H91" s="340"/>
      <c r="I91" s="340"/>
      <c r="J91" s="340"/>
      <c r="K91" s="340"/>
      <c r="L91" s="340"/>
      <c r="M91" s="340"/>
      <c r="N91" s="340"/>
      <c r="O91" s="340"/>
      <c r="P91" s="340"/>
      <c r="Q91" s="340"/>
      <c r="R91" s="340"/>
      <c r="S91" s="340"/>
      <c r="T91" s="340"/>
      <c r="U91" s="340"/>
      <c r="V91" s="340"/>
      <c r="W91" s="340"/>
      <c r="X91" s="340"/>
    </row>
    <row r="92" spans="1:24" ht="11.25" x14ac:dyDescent="0.2">
      <c r="A92" s="362" t="s">
        <v>106</v>
      </c>
      <c r="B92" s="360"/>
      <c r="C92" s="339"/>
      <c r="D92" s="340"/>
      <c r="E92" s="340"/>
      <c r="F92" s="340"/>
      <c r="G92" s="340"/>
      <c r="H92" s="340"/>
      <c r="I92" s="340"/>
      <c r="J92" s="340"/>
      <c r="K92" s="340"/>
      <c r="L92" s="340"/>
      <c r="M92" s="340"/>
      <c r="N92" s="340"/>
      <c r="O92" s="340"/>
      <c r="P92" s="340"/>
      <c r="Q92" s="340"/>
      <c r="R92" s="340"/>
      <c r="S92" s="340"/>
      <c r="T92" s="340"/>
      <c r="U92" s="340"/>
      <c r="V92" s="340"/>
      <c r="W92" s="340"/>
      <c r="X92" s="340"/>
    </row>
    <row r="93" spans="1:24" ht="11.25" hidden="1" x14ac:dyDescent="0.2">
      <c r="A93" s="331">
        <v>27</v>
      </c>
      <c r="B93" s="516" t="s">
        <v>880</v>
      </c>
      <c r="C93" s="305" t="s">
        <v>1164</v>
      </c>
      <c r="D93" s="458"/>
      <c r="E93" s="458"/>
      <c r="F93" s="458"/>
      <c r="G93" s="458"/>
      <c r="H93" s="458"/>
      <c r="I93" s="458"/>
      <c r="J93" s="458"/>
      <c r="K93" s="458"/>
      <c r="L93" s="458"/>
      <c r="M93" s="458"/>
      <c r="N93" s="458"/>
      <c r="O93" s="458"/>
      <c r="P93" s="458"/>
      <c r="Q93" s="458"/>
      <c r="R93" s="458"/>
      <c r="S93" s="458"/>
      <c r="T93" s="458"/>
      <c r="U93" s="458"/>
      <c r="V93" s="458"/>
      <c r="W93" s="458"/>
      <c r="X93" s="338">
        <f t="shared" ref="X93:X102" si="16">SUM(D93:W93)</f>
        <v>0</v>
      </c>
    </row>
    <row r="94" spans="1:24" ht="11.25" x14ac:dyDescent="0.2">
      <c r="A94" s="331" t="s">
        <v>771</v>
      </c>
      <c r="B94" s="516" t="s">
        <v>880</v>
      </c>
      <c r="C94" s="305" t="s">
        <v>337</v>
      </c>
      <c r="D94" s="144">
        <v>0</v>
      </c>
      <c r="E94" s="144">
        <v>0</v>
      </c>
      <c r="F94" s="144">
        <v>0</v>
      </c>
      <c r="G94" s="144">
        <v>0</v>
      </c>
      <c r="H94" s="144">
        <v>0</v>
      </c>
      <c r="I94" s="144">
        <v>0</v>
      </c>
      <c r="J94" s="144">
        <v>0</v>
      </c>
      <c r="K94" s="144">
        <v>0</v>
      </c>
      <c r="L94" s="144">
        <v>0</v>
      </c>
      <c r="M94" s="144">
        <v>0</v>
      </c>
      <c r="N94" s="144">
        <v>0</v>
      </c>
      <c r="O94" s="144">
        <v>0</v>
      </c>
      <c r="P94" s="144">
        <v>0</v>
      </c>
      <c r="Q94" s="144">
        <v>0</v>
      </c>
      <c r="R94" s="144">
        <v>0</v>
      </c>
      <c r="S94" s="144">
        <v>0</v>
      </c>
      <c r="T94" s="144">
        <v>0</v>
      </c>
      <c r="U94" s="144">
        <v>0</v>
      </c>
      <c r="V94" s="144">
        <v>0</v>
      </c>
      <c r="W94" s="144">
        <v>0</v>
      </c>
      <c r="X94" s="332">
        <f t="shared" si="16"/>
        <v>0</v>
      </c>
    </row>
    <row r="95" spans="1:24" ht="11.25" hidden="1" x14ac:dyDescent="0.2">
      <c r="A95" s="331">
        <v>28</v>
      </c>
      <c r="B95" s="516" t="s">
        <v>881</v>
      </c>
      <c r="C95" s="305" t="s">
        <v>1015</v>
      </c>
      <c r="D95" s="458"/>
      <c r="E95" s="458"/>
      <c r="F95" s="458"/>
      <c r="G95" s="458"/>
      <c r="H95" s="458"/>
      <c r="I95" s="458"/>
      <c r="J95" s="458"/>
      <c r="K95" s="458"/>
      <c r="L95" s="458"/>
      <c r="M95" s="458"/>
      <c r="N95" s="458"/>
      <c r="O95" s="458"/>
      <c r="P95" s="458"/>
      <c r="Q95" s="458"/>
      <c r="R95" s="458"/>
      <c r="S95" s="458"/>
      <c r="T95" s="458"/>
      <c r="U95" s="458"/>
      <c r="V95" s="458"/>
      <c r="W95" s="458"/>
      <c r="X95" s="332">
        <f t="shared" si="16"/>
        <v>0</v>
      </c>
    </row>
    <row r="96" spans="1:24" ht="11.25" x14ac:dyDescent="0.2">
      <c r="A96" s="331" t="s">
        <v>772</v>
      </c>
      <c r="B96" s="516" t="s">
        <v>881</v>
      </c>
      <c r="C96" s="305" t="s">
        <v>338</v>
      </c>
      <c r="D96" s="518">
        <v>0</v>
      </c>
      <c r="E96" s="518">
        <v>0</v>
      </c>
      <c r="F96" s="518">
        <v>0</v>
      </c>
      <c r="G96" s="518">
        <v>0</v>
      </c>
      <c r="H96" s="518">
        <v>0</v>
      </c>
      <c r="I96" s="518">
        <v>0</v>
      </c>
      <c r="J96" s="518">
        <v>0</v>
      </c>
      <c r="K96" s="518">
        <v>0</v>
      </c>
      <c r="L96" s="518">
        <v>0</v>
      </c>
      <c r="M96" s="518">
        <v>0</v>
      </c>
      <c r="N96" s="518">
        <v>0</v>
      </c>
      <c r="O96" s="518">
        <v>0</v>
      </c>
      <c r="P96" s="518">
        <v>0</v>
      </c>
      <c r="Q96" s="518">
        <v>0</v>
      </c>
      <c r="R96" s="518">
        <v>0</v>
      </c>
      <c r="S96" s="518">
        <v>0</v>
      </c>
      <c r="T96" s="518">
        <v>0</v>
      </c>
      <c r="U96" s="518">
        <v>0</v>
      </c>
      <c r="V96" s="518">
        <v>0</v>
      </c>
      <c r="W96" s="518">
        <v>0</v>
      </c>
      <c r="X96" s="332">
        <f t="shared" si="16"/>
        <v>0</v>
      </c>
    </row>
    <row r="97" spans="1:24" ht="11.25" x14ac:dyDescent="0.2">
      <c r="A97" s="331">
        <v>29</v>
      </c>
      <c r="B97" s="185" t="s">
        <v>882</v>
      </c>
      <c r="C97" s="320" t="s">
        <v>1208</v>
      </c>
      <c r="D97" s="520">
        <v>0</v>
      </c>
      <c r="E97" s="520">
        <v>0</v>
      </c>
      <c r="F97" s="520">
        <v>0</v>
      </c>
      <c r="G97" s="520">
        <v>0</v>
      </c>
      <c r="H97" s="520">
        <v>0</v>
      </c>
      <c r="I97" s="520">
        <v>0</v>
      </c>
      <c r="J97" s="520">
        <v>0</v>
      </c>
      <c r="K97" s="520">
        <v>0</v>
      </c>
      <c r="L97" s="521">
        <v>0</v>
      </c>
      <c r="M97" s="521">
        <v>0</v>
      </c>
      <c r="N97" s="521">
        <v>0</v>
      </c>
      <c r="O97" s="521">
        <v>0</v>
      </c>
      <c r="P97" s="521">
        <v>0</v>
      </c>
      <c r="Q97" s="521">
        <v>0</v>
      </c>
      <c r="R97" s="521">
        <v>0</v>
      </c>
      <c r="S97" s="521">
        <v>0</v>
      </c>
      <c r="T97" s="521">
        <v>0</v>
      </c>
      <c r="U97" s="521">
        <v>0</v>
      </c>
      <c r="V97" s="521">
        <v>0</v>
      </c>
      <c r="W97" s="521">
        <v>0</v>
      </c>
      <c r="X97" s="332">
        <f t="shared" si="16"/>
        <v>0</v>
      </c>
    </row>
    <row r="98" spans="1:24" ht="11.25" x14ac:dyDescent="0.2">
      <c r="A98" s="331">
        <v>30</v>
      </c>
      <c r="B98" s="185" t="s">
        <v>884</v>
      </c>
      <c r="C98" s="320" t="s">
        <v>1209</v>
      </c>
      <c r="D98" s="520">
        <v>0</v>
      </c>
      <c r="E98" s="520">
        <v>0</v>
      </c>
      <c r="F98" s="520">
        <v>0</v>
      </c>
      <c r="G98" s="520">
        <v>0</v>
      </c>
      <c r="H98" s="520">
        <v>0</v>
      </c>
      <c r="I98" s="520">
        <v>0</v>
      </c>
      <c r="J98" s="520">
        <v>0</v>
      </c>
      <c r="K98" s="520">
        <v>0</v>
      </c>
      <c r="L98" s="521">
        <v>0</v>
      </c>
      <c r="M98" s="521">
        <v>0</v>
      </c>
      <c r="N98" s="521">
        <v>0</v>
      </c>
      <c r="O98" s="521">
        <v>0</v>
      </c>
      <c r="P98" s="521">
        <v>0</v>
      </c>
      <c r="Q98" s="521">
        <v>0</v>
      </c>
      <c r="R98" s="521">
        <v>0</v>
      </c>
      <c r="S98" s="521">
        <v>0</v>
      </c>
      <c r="T98" s="521">
        <v>0</v>
      </c>
      <c r="U98" s="521">
        <v>0</v>
      </c>
      <c r="V98" s="521">
        <v>0</v>
      </c>
      <c r="W98" s="521">
        <v>0</v>
      </c>
      <c r="X98" s="332">
        <f t="shared" si="16"/>
        <v>0</v>
      </c>
    </row>
    <row r="99" spans="1:24" ht="11.25" x14ac:dyDescent="0.2">
      <c r="A99" s="331">
        <v>31</v>
      </c>
      <c r="B99" s="185" t="s">
        <v>885</v>
      </c>
      <c r="C99" s="320" t="s">
        <v>1210</v>
      </c>
      <c r="D99" s="520">
        <v>0</v>
      </c>
      <c r="E99" s="520">
        <v>0</v>
      </c>
      <c r="F99" s="520">
        <v>0</v>
      </c>
      <c r="G99" s="520">
        <v>0</v>
      </c>
      <c r="H99" s="520">
        <v>0</v>
      </c>
      <c r="I99" s="520">
        <v>0</v>
      </c>
      <c r="J99" s="520">
        <v>0</v>
      </c>
      <c r="K99" s="520">
        <v>0</v>
      </c>
      <c r="L99" s="521">
        <v>0</v>
      </c>
      <c r="M99" s="521">
        <v>0</v>
      </c>
      <c r="N99" s="521">
        <v>0</v>
      </c>
      <c r="O99" s="521">
        <v>0</v>
      </c>
      <c r="P99" s="521">
        <v>0</v>
      </c>
      <c r="Q99" s="521">
        <v>0</v>
      </c>
      <c r="R99" s="521">
        <v>0</v>
      </c>
      <c r="S99" s="521">
        <v>0</v>
      </c>
      <c r="T99" s="521">
        <v>0</v>
      </c>
      <c r="U99" s="521">
        <v>0</v>
      </c>
      <c r="V99" s="521">
        <v>0</v>
      </c>
      <c r="W99" s="521">
        <v>0</v>
      </c>
      <c r="X99" s="332">
        <f t="shared" si="16"/>
        <v>0</v>
      </c>
    </row>
    <row r="100" spans="1:24" ht="11.25" x14ac:dyDescent="0.2">
      <c r="A100" s="331" t="s">
        <v>1213</v>
      </c>
      <c r="B100" s="185" t="s">
        <v>116</v>
      </c>
      <c r="C100" s="320" t="s">
        <v>1214</v>
      </c>
      <c r="D100" s="522">
        <v>0</v>
      </c>
      <c r="E100" s="520">
        <v>0</v>
      </c>
      <c r="F100" s="520">
        <v>0</v>
      </c>
      <c r="G100" s="520">
        <v>0</v>
      </c>
      <c r="H100" s="520">
        <v>0</v>
      </c>
      <c r="I100" s="520">
        <v>0</v>
      </c>
      <c r="J100" s="520">
        <v>0</v>
      </c>
      <c r="K100" s="520">
        <v>0</v>
      </c>
      <c r="L100" s="521">
        <v>0</v>
      </c>
      <c r="M100" s="521">
        <v>0</v>
      </c>
      <c r="N100" s="521">
        <v>0</v>
      </c>
      <c r="O100" s="521">
        <v>0</v>
      </c>
      <c r="P100" s="521">
        <v>0</v>
      </c>
      <c r="Q100" s="521">
        <v>0</v>
      </c>
      <c r="R100" s="521">
        <v>0</v>
      </c>
      <c r="S100" s="521">
        <v>0</v>
      </c>
      <c r="T100" s="521">
        <v>0</v>
      </c>
      <c r="U100" s="521">
        <v>0</v>
      </c>
      <c r="V100" s="521">
        <v>0</v>
      </c>
      <c r="W100" s="521">
        <v>0</v>
      </c>
      <c r="X100" s="332">
        <f t="shared" si="16"/>
        <v>0</v>
      </c>
    </row>
    <row r="101" spans="1:24" ht="11.25" x14ac:dyDescent="0.2">
      <c r="A101" s="331" t="s">
        <v>1215</v>
      </c>
      <c r="B101" s="185" t="s">
        <v>112</v>
      </c>
      <c r="C101" s="320" t="s">
        <v>1216</v>
      </c>
      <c r="D101" s="523">
        <v>0</v>
      </c>
      <c r="E101" s="524">
        <v>0</v>
      </c>
      <c r="F101" s="524">
        <v>0</v>
      </c>
      <c r="G101" s="524">
        <v>0</v>
      </c>
      <c r="H101" s="524">
        <v>0</v>
      </c>
      <c r="I101" s="524">
        <v>0</v>
      </c>
      <c r="J101" s="524">
        <v>0</v>
      </c>
      <c r="K101" s="524">
        <v>0</v>
      </c>
      <c r="L101" s="525">
        <v>0</v>
      </c>
      <c r="M101" s="525">
        <v>0</v>
      </c>
      <c r="N101" s="525">
        <v>0</v>
      </c>
      <c r="O101" s="525">
        <v>0</v>
      </c>
      <c r="P101" s="525">
        <v>0</v>
      </c>
      <c r="Q101" s="525">
        <v>0</v>
      </c>
      <c r="R101" s="525">
        <v>0</v>
      </c>
      <c r="S101" s="525">
        <v>0</v>
      </c>
      <c r="T101" s="525">
        <v>0</v>
      </c>
      <c r="U101" s="525">
        <v>0</v>
      </c>
      <c r="V101" s="525">
        <v>0</v>
      </c>
      <c r="W101" s="525">
        <v>0</v>
      </c>
      <c r="X101" s="332">
        <f t="shared" si="16"/>
        <v>0</v>
      </c>
    </row>
    <row r="102" spans="1:24" ht="11.25" x14ac:dyDescent="0.2">
      <c r="A102" s="331">
        <v>33</v>
      </c>
      <c r="C102" s="337" t="s">
        <v>1232</v>
      </c>
      <c r="D102" s="338">
        <f>SUM(D93:D101)</f>
        <v>0</v>
      </c>
      <c r="E102" s="338">
        <f t="shared" ref="E102:W102" si="17">SUM(E93:E101)</f>
        <v>0</v>
      </c>
      <c r="F102" s="338">
        <f t="shared" si="17"/>
        <v>0</v>
      </c>
      <c r="G102" s="338">
        <f t="shared" si="17"/>
        <v>0</v>
      </c>
      <c r="H102" s="338">
        <f t="shared" si="17"/>
        <v>0</v>
      </c>
      <c r="I102" s="338">
        <f t="shared" si="17"/>
        <v>0</v>
      </c>
      <c r="J102" s="338">
        <f t="shared" si="17"/>
        <v>0</v>
      </c>
      <c r="K102" s="338">
        <f t="shared" si="17"/>
        <v>0</v>
      </c>
      <c r="L102" s="338">
        <f t="shared" si="17"/>
        <v>0</v>
      </c>
      <c r="M102" s="338">
        <f t="shared" si="17"/>
        <v>0</v>
      </c>
      <c r="N102" s="338">
        <f t="shared" si="17"/>
        <v>0</v>
      </c>
      <c r="O102" s="338">
        <f t="shared" si="17"/>
        <v>0</v>
      </c>
      <c r="P102" s="338">
        <f t="shared" si="17"/>
        <v>0</v>
      </c>
      <c r="Q102" s="338">
        <f t="shared" si="17"/>
        <v>0</v>
      </c>
      <c r="R102" s="338">
        <f t="shared" si="17"/>
        <v>0</v>
      </c>
      <c r="S102" s="338">
        <f t="shared" si="17"/>
        <v>0</v>
      </c>
      <c r="T102" s="338">
        <f t="shared" si="17"/>
        <v>0</v>
      </c>
      <c r="U102" s="338">
        <f t="shared" si="17"/>
        <v>0</v>
      </c>
      <c r="V102" s="338">
        <f t="shared" si="17"/>
        <v>0</v>
      </c>
      <c r="W102" s="338">
        <f t="shared" si="17"/>
        <v>0</v>
      </c>
      <c r="X102" s="332">
        <f t="shared" si="16"/>
        <v>0</v>
      </c>
    </row>
    <row r="103" spans="1:24" ht="11.25" x14ac:dyDescent="0.2">
      <c r="A103" s="331"/>
      <c r="C103" s="320"/>
      <c r="D103" s="335"/>
      <c r="E103" s="335"/>
      <c r="F103" s="335"/>
      <c r="G103" s="335"/>
      <c r="H103" s="335"/>
      <c r="I103" s="335"/>
      <c r="J103" s="335"/>
      <c r="K103" s="335"/>
      <c r="L103" s="335"/>
      <c r="M103" s="335"/>
      <c r="N103" s="335"/>
      <c r="O103" s="335"/>
      <c r="P103" s="335"/>
      <c r="Q103" s="335"/>
      <c r="R103" s="335"/>
      <c r="S103" s="335"/>
      <c r="T103" s="335"/>
      <c r="U103" s="335"/>
      <c r="V103" s="335"/>
      <c r="W103" s="335"/>
      <c r="X103" s="335"/>
    </row>
    <row r="104" spans="1:24" ht="11.25" x14ac:dyDescent="0.2">
      <c r="A104" s="331">
        <v>34</v>
      </c>
      <c r="C104" s="320" t="s">
        <v>1217</v>
      </c>
      <c r="D104" s="526">
        <v>0</v>
      </c>
      <c r="E104" s="526">
        <v>0</v>
      </c>
      <c r="F104" s="526">
        <v>0</v>
      </c>
      <c r="G104" s="526">
        <v>0</v>
      </c>
      <c r="H104" s="526">
        <v>0</v>
      </c>
      <c r="I104" s="526">
        <v>0</v>
      </c>
      <c r="J104" s="526">
        <v>0</v>
      </c>
      <c r="K104" s="526">
        <v>0</v>
      </c>
      <c r="L104" s="526">
        <v>0</v>
      </c>
      <c r="M104" s="526">
        <v>0</v>
      </c>
      <c r="N104" s="526">
        <v>0</v>
      </c>
      <c r="O104" s="526">
        <v>0</v>
      </c>
      <c r="P104" s="526">
        <v>0</v>
      </c>
      <c r="Q104" s="526">
        <v>0</v>
      </c>
      <c r="R104" s="526">
        <v>0</v>
      </c>
      <c r="S104" s="526">
        <v>0</v>
      </c>
      <c r="T104" s="526">
        <v>0</v>
      </c>
      <c r="U104" s="526">
        <v>0</v>
      </c>
      <c r="V104" s="526">
        <v>0</v>
      </c>
      <c r="W104" s="526">
        <v>0</v>
      </c>
      <c r="X104" s="338">
        <f>SUM(D104:W104)</f>
        <v>0</v>
      </c>
    </row>
    <row r="105" spans="1:24" ht="11.25" x14ac:dyDescent="0.2">
      <c r="A105" s="331" t="s">
        <v>1218</v>
      </c>
      <c r="C105" s="337" t="s">
        <v>1233</v>
      </c>
      <c r="D105" s="346">
        <f t="shared" ref="D105:W105" si="18">+D22+D79+D89+D102+D104+D32+D62+D42+D52</f>
        <v>0</v>
      </c>
      <c r="E105" s="346">
        <f t="shared" si="18"/>
        <v>0</v>
      </c>
      <c r="F105" s="346">
        <f t="shared" si="18"/>
        <v>0</v>
      </c>
      <c r="G105" s="346">
        <f t="shared" si="18"/>
        <v>0</v>
      </c>
      <c r="H105" s="346">
        <f t="shared" si="18"/>
        <v>0</v>
      </c>
      <c r="I105" s="346">
        <f t="shared" si="18"/>
        <v>0</v>
      </c>
      <c r="J105" s="346">
        <f t="shared" si="18"/>
        <v>0</v>
      </c>
      <c r="K105" s="346">
        <f t="shared" si="18"/>
        <v>0</v>
      </c>
      <c r="L105" s="346">
        <f t="shared" si="18"/>
        <v>0</v>
      </c>
      <c r="M105" s="346">
        <f t="shared" si="18"/>
        <v>0</v>
      </c>
      <c r="N105" s="346">
        <f t="shared" si="18"/>
        <v>0</v>
      </c>
      <c r="O105" s="346">
        <f t="shared" si="18"/>
        <v>0</v>
      </c>
      <c r="P105" s="346">
        <f t="shared" si="18"/>
        <v>0</v>
      </c>
      <c r="Q105" s="346">
        <f t="shared" si="18"/>
        <v>0</v>
      </c>
      <c r="R105" s="346">
        <f t="shared" si="18"/>
        <v>0</v>
      </c>
      <c r="S105" s="346">
        <f t="shared" si="18"/>
        <v>0</v>
      </c>
      <c r="T105" s="346">
        <f t="shared" si="18"/>
        <v>0</v>
      </c>
      <c r="U105" s="346">
        <f t="shared" si="18"/>
        <v>0</v>
      </c>
      <c r="V105" s="346">
        <f t="shared" si="18"/>
        <v>0</v>
      </c>
      <c r="W105" s="346">
        <f t="shared" si="18"/>
        <v>0</v>
      </c>
      <c r="X105" s="332">
        <f>SUM(D105:W105)</f>
        <v>0</v>
      </c>
    </row>
    <row r="106" spans="1:24" ht="11.25" x14ac:dyDescent="0.2">
      <c r="A106" s="331" t="s">
        <v>1219</v>
      </c>
      <c r="B106" s="185" t="s">
        <v>112</v>
      </c>
      <c r="C106" s="320" t="s">
        <v>1220</v>
      </c>
      <c r="D106" s="520">
        <v>0</v>
      </c>
      <c r="E106" s="520">
        <v>0</v>
      </c>
      <c r="F106" s="520">
        <v>0</v>
      </c>
      <c r="G106" s="520">
        <v>0</v>
      </c>
      <c r="H106" s="520">
        <v>0</v>
      </c>
      <c r="I106" s="520">
        <v>0</v>
      </c>
      <c r="J106" s="520">
        <v>0</v>
      </c>
      <c r="K106" s="520">
        <v>0</v>
      </c>
      <c r="L106" s="520">
        <v>0</v>
      </c>
      <c r="M106" s="520">
        <v>0</v>
      </c>
      <c r="N106" s="520">
        <v>0</v>
      </c>
      <c r="O106" s="520">
        <v>0</v>
      </c>
      <c r="P106" s="520">
        <v>0</v>
      </c>
      <c r="Q106" s="520">
        <v>0</v>
      </c>
      <c r="R106" s="520">
        <v>0</v>
      </c>
      <c r="S106" s="520">
        <v>0</v>
      </c>
      <c r="T106" s="520">
        <v>0</v>
      </c>
      <c r="U106" s="520">
        <v>0</v>
      </c>
      <c r="V106" s="520">
        <v>0</v>
      </c>
      <c r="W106" s="520">
        <v>0</v>
      </c>
      <c r="X106" s="332">
        <f>SUM(D106:W106)</f>
        <v>0</v>
      </c>
    </row>
    <row r="107" spans="1:24" ht="11.25" x14ac:dyDescent="0.2">
      <c r="A107" s="331" t="s">
        <v>1221</v>
      </c>
      <c r="B107" s="185" t="s">
        <v>116</v>
      </c>
      <c r="C107" s="320" t="s">
        <v>1223</v>
      </c>
      <c r="D107" s="520">
        <v>0</v>
      </c>
      <c r="E107" s="520">
        <v>0</v>
      </c>
      <c r="F107" s="520">
        <v>0</v>
      </c>
      <c r="G107" s="520">
        <v>0</v>
      </c>
      <c r="H107" s="520">
        <v>0</v>
      </c>
      <c r="I107" s="520">
        <v>0</v>
      </c>
      <c r="J107" s="520">
        <v>0</v>
      </c>
      <c r="K107" s="520">
        <v>0</v>
      </c>
      <c r="L107" s="520">
        <v>0</v>
      </c>
      <c r="M107" s="520">
        <v>0</v>
      </c>
      <c r="N107" s="520">
        <v>0</v>
      </c>
      <c r="O107" s="520">
        <v>0</v>
      </c>
      <c r="P107" s="520">
        <v>0</v>
      </c>
      <c r="Q107" s="520">
        <v>0</v>
      </c>
      <c r="R107" s="520">
        <v>0</v>
      </c>
      <c r="S107" s="520">
        <v>0</v>
      </c>
      <c r="T107" s="520">
        <v>0</v>
      </c>
      <c r="U107" s="520">
        <v>0</v>
      </c>
      <c r="V107" s="520">
        <v>0</v>
      </c>
      <c r="W107" s="520">
        <v>0</v>
      </c>
      <c r="X107" s="332">
        <f>SUM(D107:W107)</f>
        <v>0</v>
      </c>
    </row>
    <row r="108" spans="1:24" ht="11.25" x14ac:dyDescent="0.2">
      <c r="A108" s="331" t="s">
        <v>1224</v>
      </c>
      <c r="C108" s="337" t="s">
        <v>1225</v>
      </c>
      <c r="D108" s="345">
        <f>+D105+D106+D107</f>
        <v>0</v>
      </c>
      <c r="E108" s="345">
        <f t="shared" ref="E108:W108" si="19">+E105+E106+E107</f>
        <v>0</v>
      </c>
      <c r="F108" s="345">
        <f t="shared" si="19"/>
        <v>0</v>
      </c>
      <c r="G108" s="345">
        <f t="shared" si="19"/>
        <v>0</v>
      </c>
      <c r="H108" s="345">
        <f t="shared" si="19"/>
        <v>0</v>
      </c>
      <c r="I108" s="345">
        <f t="shared" si="19"/>
        <v>0</v>
      </c>
      <c r="J108" s="345">
        <f t="shared" si="19"/>
        <v>0</v>
      </c>
      <c r="K108" s="345">
        <f t="shared" si="19"/>
        <v>0</v>
      </c>
      <c r="L108" s="345">
        <f t="shared" si="19"/>
        <v>0</v>
      </c>
      <c r="M108" s="345">
        <f t="shared" si="19"/>
        <v>0</v>
      </c>
      <c r="N108" s="345">
        <f t="shared" si="19"/>
        <v>0</v>
      </c>
      <c r="O108" s="345">
        <f t="shared" si="19"/>
        <v>0</v>
      </c>
      <c r="P108" s="345">
        <f t="shared" si="19"/>
        <v>0</v>
      </c>
      <c r="Q108" s="345">
        <f t="shared" si="19"/>
        <v>0</v>
      </c>
      <c r="R108" s="345">
        <f t="shared" si="19"/>
        <v>0</v>
      </c>
      <c r="S108" s="345">
        <f t="shared" si="19"/>
        <v>0</v>
      </c>
      <c r="T108" s="345">
        <f t="shared" si="19"/>
        <v>0</v>
      </c>
      <c r="U108" s="345">
        <f t="shared" si="19"/>
        <v>0</v>
      </c>
      <c r="V108" s="345">
        <f t="shared" si="19"/>
        <v>0</v>
      </c>
      <c r="W108" s="345">
        <f t="shared" si="19"/>
        <v>0</v>
      </c>
      <c r="X108" s="332">
        <f>SUM(D108:W108)</f>
        <v>0</v>
      </c>
    </row>
    <row r="109" spans="1:24" ht="11.25" x14ac:dyDescent="0.2">
      <c r="A109" s="331">
        <v>36</v>
      </c>
      <c r="C109" s="320" t="s">
        <v>878</v>
      </c>
      <c r="D109" s="347"/>
      <c r="E109" s="347"/>
      <c r="F109" s="347"/>
      <c r="G109" s="347"/>
      <c r="H109" s="347"/>
      <c r="I109" s="347"/>
      <c r="J109" s="347"/>
      <c r="K109" s="347"/>
      <c r="L109" s="347"/>
      <c r="M109" s="347"/>
      <c r="N109" s="347"/>
      <c r="O109" s="347"/>
      <c r="P109" s="347"/>
      <c r="Q109" s="347"/>
      <c r="R109" s="347"/>
      <c r="S109" s="347"/>
      <c r="T109" s="347"/>
      <c r="U109" s="347"/>
      <c r="V109" s="347"/>
      <c r="W109" s="347"/>
      <c r="X109" s="332"/>
    </row>
    <row r="110" spans="1:24" ht="11.25" x14ac:dyDescent="0.2">
      <c r="A110" s="331">
        <v>37</v>
      </c>
      <c r="B110" s="185"/>
      <c r="C110" s="337"/>
      <c r="D110" s="348"/>
      <c r="E110" s="348"/>
      <c r="F110" s="348"/>
      <c r="G110" s="348"/>
      <c r="H110" s="348"/>
      <c r="I110" s="348"/>
      <c r="J110" s="348"/>
      <c r="K110" s="348"/>
      <c r="L110" s="348"/>
      <c r="M110" s="348"/>
      <c r="N110" s="348"/>
      <c r="O110" s="348"/>
      <c r="P110" s="348"/>
      <c r="Q110" s="348"/>
      <c r="R110" s="348"/>
      <c r="S110" s="348"/>
      <c r="T110" s="348"/>
      <c r="U110" s="348"/>
      <c r="V110" s="348"/>
      <c r="W110" s="348"/>
      <c r="X110" s="332"/>
    </row>
    <row r="111" spans="1:24" ht="11.25" x14ac:dyDescent="0.2">
      <c r="A111" s="331" t="s">
        <v>1226</v>
      </c>
      <c r="B111" s="185" t="s">
        <v>114</v>
      </c>
      <c r="C111" s="337" t="s">
        <v>934</v>
      </c>
      <c r="D111" s="527">
        <v>0</v>
      </c>
      <c r="E111" s="527">
        <v>0</v>
      </c>
      <c r="F111" s="527">
        <v>0</v>
      </c>
      <c r="G111" s="527">
        <v>0</v>
      </c>
      <c r="H111" s="527">
        <v>0</v>
      </c>
      <c r="I111" s="527">
        <v>0</v>
      </c>
      <c r="J111" s="527">
        <v>0</v>
      </c>
      <c r="K111" s="527">
        <v>0</v>
      </c>
      <c r="L111" s="527">
        <v>0</v>
      </c>
      <c r="M111" s="527">
        <v>0</v>
      </c>
      <c r="N111" s="527">
        <v>0</v>
      </c>
      <c r="O111" s="527">
        <v>0</v>
      </c>
      <c r="P111" s="527">
        <v>0</v>
      </c>
      <c r="Q111" s="527">
        <v>0</v>
      </c>
      <c r="R111" s="527">
        <v>0</v>
      </c>
      <c r="S111" s="527">
        <v>0</v>
      </c>
      <c r="T111" s="527">
        <v>0</v>
      </c>
      <c r="U111" s="527">
        <v>0</v>
      </c>
      <c r="V111" s="527">
        <v>0</v>
      </c>
      <c r="W111" s="527">
        <v>0</v>
      </c>
      <c r="X111" s="332">
        <f>SUM(D111:W111)</f>
        <v>0</v>
      </c>
    </row>
    <row r="112" spans="1:24" ht="11.25" x14ac:dyDescent="0.2">
      <c r="A112" s="331" t="s">
        <v>1227</v>
      </c>
      <c r="B112" s="185" t="s">
        <v>116</v>
      </c>
      <c r="C112" s="320" t="s">
        <v>1228</v>
      </c>
      <c r="D112" s="524">
        <v>0</v>
      </c>
      <c r="E112" s="524">
        <v>0</v>
      </c>
      <c r="F112" s="524">
        <v>0</v>
      </c>
      <c r="G112" s="524">
        <v>0</v>
      </c>
      <c r="H112" s="524">
        <v>0</v>
      </c>
      <c r="I112" s="524">
        <v>0</v>
      </c>
      <c r="J112" s="524">
        <v>0</v>
      </c>
      <c r="K112" s="524">
        <v>0</v>
      </c>
      <c r="L112" s="524">
        <v>0</v>
      </c>
      <c r="M112" s="524">
        <v>0</v>
      </c>
      <c r="N112" s="524">
        <v>0</v>
      </c>
      <c r="O112" s="524">
        <v>0</v>
      </c>
      <c r="P112" s="524">
        <v>0</v>
      </c>
      <c r="Q112" s="524">
        <v>0</v>
      </c>
      <c r="R112" s="524">
        <v>0</v>
      </c>
      <c r="S112" s="524">
        <v>0</v>
      </c>
      <c r="T112" s="524">
        <v>0</v>
      </c>
      <c r="U112" s="524">
        <v>0</v>
      </c>
      <c r="V112" s="524">
        <v>0</v>
      </c>
      <c r="W112" s="524">
        <v>0</v>
      </c>
      <c r="X112" s="332">
        <f>SUM(D112:W112)</f>
        <v>0</v>
      </c>
    </row>
    <row r="113" spans="1:24" ht="11.25" x14ac:dyDescent="0.2">
      <c r="A113" s="331">
        <v>39</v>
      </c>
      <c r="C113" s="337" t="s">
        <v>1234</v>
      </c>
      <c r="D113" s="338">
        <f>+D108+D111+D112</f>
        <v>0</v>
      </c>
      <c r="E113" s="338">
        <f t="shared" ref="E113:W113" si="20">+E108+E111+E112</f>
        <v>0</v>
      </c>
      <c r="F113" s="338">
        <f t="shared" si="20"/>
        <v>0</v>
      </c>
      <c r="G113" s="338">
        <f t="shared" si="20"/>
        <v>0</v>
      </c>
      <c r="H113" s="338">
        <f t="shared" si="20"/>
        <v>0</v>
      </c>
      <c r="I113" s="338">
        <f t="shared" si="20"/>
        <v>0</v>
      </c>
      <c r="J113" s="338">
        <f t="shared" si="20"/>
        <v>0</v>
      </c>
      <c r="K113" s="338">
        <f t="shared" si="20"/>
        <v>0</v>
      </c>
      <c r="L113" s="338">
        <f t="shared" si="20"/>
        <v>0</v>
      </c>
      <c r="M113" s="338">
        <f t="shared" si="20"/>
        <v>0</v>
      </c>
      <c r="N113" s="338">
        <f t="shared" si="20"/>
        <v>0</v>
      </c>
      <c r="O113" s="338">
        <f t="shared" si="20"/>
        <v>0</v>
      </c>
      <c r="P113" s="338">
        <f t="shared" si="20"/>
        <v>0</v>
      </c>
      <c r="Q113" s="338">
        <f t="shared" si="20"/>
        <v>0</v>
      </c>
      <c r="R113" s="338">
        <f t="shared" si="20"/>
        <v>0</v>
      </c>
      <c r="S113" s="338">
        <f t="shared" si="20"/>
        <v>0</v>
      </c>
      <c r="T113" s="338">
        <f t="shared" si="20"/>
        <v>0</v>
      </c>
      <c r="U113" s="338">
        <f t="shared" si="20"/>
        <v>0</v>
      </c>
      <c r="V113" s="338">
        <f t="shared" si="20"/>
        <v>0</v>
      </c>
      <c r="W113" s="338">
        <f t="shared" si="20"/>
        <v>0</v>
      </c>
      <c r="X113" s="332">
        <f>SUM(D113:W113)</f>
        <v>0</v>
      </c>
    </row>
    <row r="114" spans="1:24" x14ac:dyDescent="0.15">
      <c r="A114" s="349"/>
      <c r="C114" s="350"/>
      <c r="D114" s="351"/>
      <c r="E114" s="352"/>
      <c r="F114" s="352"/>
      <c r="G114" s="352"/>
      <c r="H114" s="352"/>
      <c r="I114" s="352"/>
      <c r="J114" s="352"/>
      <c r="K114" s="352"/>
      <c r="L114" s="352"/>
      <c r="M114" s="352"/>
      <c r="N114" s="352"/>
      <c r="O114" s="352"/>
      <c r="P114" s="352"/>
      <c r="Q114" s="352"/>
      <c r="R114" s="352"/>
      <c r="S114" s="352"/>
      <c r="T114" s="352"/>
      <c r="U114" s="352"/>
      <c r="V114" s="352"/>
      <c r="W114" s="352"/>
      <c r="X114" s="353"/>
    </row>
    <row r="115" spans="1:24" ht="11.25" x14ac:dyDescent="0.2">
      <c r="A115" s="331">
        <v>40</v>
      </c>
      <c r="C115" s="337" t="s">
        <v>1235</v>
      </c>
      <c r="D115" s="338">
        <f>+D12</f>
        <v>0</v>
      </c>
      <c r="E115" s="338">
        <f t="shared" ref="E115:W115" si="21">+E12</f>
        <v>0</v>
      </c>
      <c r="F115" s="338">
        <f t="shared" si="21"/>
        <v>0</v>
      </c>
      <c r="G115" s="338">
        <f t="shared" si="21"/>
        <v>0</v>
      </c>
      <c r="H115" s="338">
        <f t="shared" si="21"/>
        <v>0</v>
      </c>
      <c r="I115" s="338">
        <f t="shared" si="21"/>
        <v>0</v>
      </c>
      <c r="J115" s="338">
        <f t="shared" si="21"/>
        <v>0</v>
      </c>
      <c r="K115" s="338">
        <f t="shared" si="21"/>
        <v>0</v>
      </c>
      <c r="L115" s="338">
        <f t="shared" si="21"/>
        <v>0</v>
      </c>
      <c r="M115" s="338">
        <f t="shared" si="21"/>
        <v>0</v>
      </c>
      <c r="N115" s="338">
        <f t="shared" si="21"/>
        <v>0</v>
      </c>
      <c r="O115" s="338">
        <f t="shared" si="21"/>
        <v>0</v>
      </c>
      <c r="P115" s="338">
        <f t="shared" si="21"/>
        <v>0</v>
      </c>
      <c r="Q115" s="338">
        <f t="shared" si="21"/>
        <v>0</v>
      </c>
      <c r="R115" s="338">
        <f t="shared" si="21"/>
        <v>0</v>
      </c>
      <c r="S115" s="338">
        <f t="shared" si="21"/>
        <v>0</v>
      </c>
      <c r="T115" s="338">
        <f t="shared" si="21"/>
        <v>0</v>
      </c>
      <c r="U115" s="338">
        <f t="shared" si="21"/>
        <v>0</v>
      </c>
      <c r="V115" s="338">
        <f t="shared" si="21"/>
        <v>0</v>
      </c>
      <c r="W115" s="338">
        <f t="shared" si="21"/>
        <v>0</v>
      </c>
      <c r="X115" s="338">
        <f>SUM(D115:W115)</f>
        <v>0</v>
      </c>
    </row>
    <row r="116" spans="1:24" x14ac:dyDescent="0.15">
      <c r="A116" s="349"/>
      <c r="C116" s="350"/>
      <c r="D116" s="351" t="s">
        <v>1321</v>
      </c>
      <c r="E116" s="351" t="s">
        <v>1321</v>
      </c>
      <c r="F116" s="351" t="s">
        <v>1321</v>
      </c>
      <c r="G116" s="351" t="s">
        <v>1321</v>
      </c>
      <c r="H116" s="351" t="s">
        <v>1321</v>
      </c>
      <c r="I116" s="351" t="s">
        <v>1321</v>
      </c>
      <c r="J116" s="351" t="s">
        <v>1321</v>
      </c>
      <c r="K116" s="351" t="s">
        <v>1321</v>
      </c>
      <c r="L116" s="351" t="s">
        <v>1321</v>
      </c>
      <c r="M116" s="351" t="s">
        <v>1321</v>
      </c>
      <c r="N116" s="351"/>
      <c r="O116" s="351"/>
      <c r="P116" s="351"/>
      <c r="Q116" s="351"/>
      <c r="R116" s="351"/>
      <c r="S116" s="351"/>
      <c r="T116" s="351"/>
      <c r="U116" s="351"/>
      <c r="V116" s="351"/>
      <c r="W116" s="351"/>
      <c r="X116" s="351"/>
    </row>
    <row r="117" spans="1:24" ht="11.25" x14ac:dyDescent="0.2">
      <c r="A117" s="331">
        <v>41</v>
      </c>
      <c r="C117" s="337" t="s">
        <v>1236</v>
      </c>
      <c r="D117" s="354">
        <f>+D115-D113</f>
        <v>0</v>
      </c>
      <c r="E117" s="354">
        <f t="shared" ref="E117:W117" si="22">+E115-E113</f>
        <v>0</v>
      </c>
      <c r="F117" s="354">
        <f t="shared" si="22"/>
        <v>0</v>
      </c>
      <c r="G117" s="354">
        <f t="shared" si="22"/>
        <v>0</v>
      </c>
      <c r="H117" s="354">
        <f t="shared" si="22"/>
        <v>0</v>
      </c>
      <c r="I117" s="354">
        <f t="shared" si="22"/>
        <v>0</v>
      </c>
      <c r="J117" s="354">
        <f t="shared" si="22"/>
        <v>0</v>
      </c>
      <c r="K117" s="354">
        <f t="shared" si="22"/>
        <v>0</v>
      </c>
      <c r="L117" s="354">
        <f t="shared" si="22"/>
        <v>0</v>
      </c>
      <c r="M117" s="354">
        <f t="shared" si="22"/>
        <v>0</v>
      </c>
      <c r="N117" s="354">
        <f t="shared" si="22"/>
        <v>0</v>
      </c>
      <c r="O117" s="354">
        <f t="shared" si="22"/>
        <v>0</v>
      </c>
      <c r="P117" s="354">
        <f t="shared" si="22"/>
        <v>0</v>
      </c>
      <c r="Q117" s="354">
        <f t="shared" si="22"/>
        <v>0</v>
      </c>
      <c r="R117" s="354">
        <f t="shared" si="22"/>
        <v>0</v>
      </c>
      <c r="S117" s="354">
        <f t="shared" si="22"/>
        <v>0</v>
      </c>
      <c r="T117" s="354">
        <f t="shared" si="22"/>
        <v>0</v>
      </c>
      <c r="U117" s="354">
        <f t="shared" si="22"/>
        <v>0</v>
      </c>
      <c r="V117" s="354">
        <f t="shared" si="22"/>
        <v>0</v>
      </c>
      <c r="W117" s="354">
        <f t="shared" si="22"/>
        <v>0</v>
      </c>
      <c r="X117" s="338">
        <f>SUM(D117:W117)</f>
        <v>0</v>
      </c>
    </row>
    <row r="118" spans="1:24" ht="11.25" x14ac:dyDescent="0.2">
      <c r="A118" s="355"/>
      <c r="C118" s="337"/>
      <c r="D118" s="356"/>
      <c r="E118" s="356"/>
      <c r="F118" s="356"/>
      <c r="G118" s="356"/>
      <c r="H118" s="356"/>
      <c r="I118" s="356"/>
      <c r="J118" s="356"/>
      <c r="K118" s="356"/>
      <c r="L118" s="357"/>
      <c r="M118" s="357"/>
      <c r="N118" s="357"/>
      <c r="O118" s="357"/>
      <c r="P118" s="357"/>
      <c r="Q118" s="357"/>
      <c r="R118" s="357"/>
      <c r="S118" s="357"/>
      <c r="T118" s="357"/>
      <c r="U118" s="357"/>
      <c r="V118" s="357"/>
      <c r="W118" s="357"/>
      <c r="X118" s="338"/>
    </row>
    <row r="119" spans="1:24" x14ac:dyDescent="0.15">
      <c r="A119" s="317"/>
      <c r="C119" s="317"/>
      <c r="D119" s="317"/>
      <c r="E119" s="317"/>
      <c r="F119" s="317"/>
      <c r="G119" s="317"/>
      <c r="H119" s="317"/>
      <c r="I119" s="317"/>
      <c r="J119" s="317"/>
      <c r="K119" s="317"/>
      <c r="L119" s="317"/>
      <c r="M119" s="317"/>
      <c r="N119" s="317"/>
      <c r="O119" s="317"/>
      <c r="P119" s="317"/>
      <c r="Q119" s="317"/>
      <c r="R119" s="317"/>
      <c r="S119" s="317"/>
      <c r="T119" s="317"/>
      <c r="U119" s="317"/>
      <c r="V119" s="317"/>
      <c r="W119" s="317"/>
      <c r="X119" s="317"/>
    </row>
  </sheetData>
  <sheetProtection formatColumns="0" formatRows="0"/>
  <phoneticPr fontId="0" type="noConversion"/>
  <dataValidations count="1">
    <dataValidation type="whole" allowBlank="1" showInputMessage="1" showErrorMessage="1" errorTitle="Grant Code" error="Must be between 0000 and 9999" sqref="D3:W3">
      <formula1>0</formula1>
      <formula2>9999</formula2>
    </dataValidation>
  </dataValidations>
  <pageMargins left="0.75" right="0.75" top="1" bottom="1" header="0.5" footer="0.5"/>
  <pageSetup paperSize="5" scale="58" fitToWidth="2" fitToHeight="2" orientation="landscape" r:id="rId1"/>
  <headerFooter alignWithMargins="0">
    <oddFooter>&amp;LCDE, Public School Finance Unit&amp;C&amp;P&amp;RRevised, March 2009</oddFooter>
  </headerFooter>
  <rowBreaks count="1" manualBreakCount="1">
    <brk id="62" max="23" man="1"/>
  </rowBreaks>
  <colBreaks count="1" manualBreakCount="1">
    <brk id="2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43"/>
    <pageSetUpPr fitToPage="1"/>
  </sheetPr>
  <dimension ref="A1:J198"/>
  <sheetViews>
    <sheetView zoomScaleNormal="100" workbookViewId="0">
      <selection activeCell="A10" sqref="A10"/>
    </sheetView>
  </sheetViews>
  <sheetFormatPr defaultRowHeight="10.5" x14ac:dyDescent="0.15"/>
  <cols>
    <col min="1" max="1" width="15.33203125" style="155" customWidth="1"/>
    <col min="2" max="2" width="5.83203125" style="155" customWidth="1"/>
    <col min="3" max="3" width="74.6640625" style="155" customWidth="1"/>
    <col min="4" max="4" width="5.33203125" style="155" customWidth="1"/>
    <col min="5" max="5" width="15.83203125" customWidth="1"/>
    <col min="6" max="6" width="17" style="155" customWidth="1"/>
    <col min="7" max="7" width="16.83203125" style="155" customWidth="1"/>
    <col min="8" max="8" width="16.33203125" style="155" customWidth="1"/>
    <col min="9" max="9" width="15.33203125" style="155" customWidth="1"/>
    <col min="10" max="10" width="14.33203125" style="155" customWidth="1"/>
    <col min="11" max="16384" width="9.33203125" style="155"/>
  </cols>
  <sheetData>
    <row r="1" spans="1:10" x14ac:dyDescent="0.15">
      <c r="A1" s="155" t="s">
        <v>1044</v>
      </c>
      <c r="C1" s="160">
        <v>0</v>
      </c>
      <c r="D1" s="160"/>
      <c r="E1" s="155" t="s">
        <v>889</v>
      </c>
      <c r="F1" s="161">
        <v>0</v>
      </c>
      <c r="G1" s="162"/>
      <c r="H1" s="37" t="s">
        <v>891</v>
      </c>
    </row>
    <row r="2" spans="1:10" x14ac:dyDescent="0.15">
      <c r="A2" s="15" t="s">
        <v>412</v>
      </c>
    </row>
    <row r="3" spans="1:10" ht="42" x14ac:dyDescent="0.15">
      <c r="E3" s="163" t="s">
        <v>774</v>
      </c>
      <c r="F3" s="163" t="s">
        <v>775</v>
      </c>
      <c r="G3" s="163" t="s">
        <v>776</v>
      </c>
      <c r="H3" s="163" t="s">
        <v>777</v>
      </c>
      <c r="I3" s="163" t="s">
        <v>778</v>
      </c>
      <c r="J3" s="163" t="s">
        <v>779</v>
      </c>
    </row>
    <row r="4" spans="1:10" ht="52.5" x14ac:dyDescent="0.15">
      <c r="E4" s="163"/>
      <c r="F4" s="163"/>
      <c r="G4" s="163"/>
      <c r="H4" s="163"/>
      <c r="I4" s="245" t="s">
        <v>1131</v>
      </c>
      <c r="J4" s="245" t="s">
        <v>1130</v>
      </c>
    </row>
    <row r="5" spans="1:10" ht="11.25" thickBot="1" x14ac:dyDescent="0.2">
      <c r="E5" s="163"/>
      <c r="F5" s="163"/>
      <c r="G5" s="163"/>
      <c r="H5" s="163"/>
      <c r="J5" s="164"/>
    </row>
    <row r="6" spans="1:10" ht="11.25" thickBot="1" x14ac:dyDescent="0.2">
      <c r="A6" s="34" t="s">
        <v>892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168">
        <f>H6+I6</f>
        <v>0</v>
      </c>
    </row>
    <row r="7" spans="1:10" x14ac:dyDescent="0.15">
      <c r="A7" s="18"/>
      <c r="C7" s="205" t="s">
        <v>1133</v>
      </c>
      <c r="F7" s="156"/>
      <c r="G7" s="8"/>
      <c r="J7" s="164"/>
    </row>
    <row r="8" spans="1:10" x14ac:dyDescent="0.15">
      <c r="A8" s="34" t="s">
        <v>1140</v>
      </c>
      <c r="B8" s="156"/>
      <c r="C8" s="34" t="s">
        <v>590</v>
      </c>
      <c r="D8" s="34"/>
      <c r="F8" s="156"/>
      <c r="G8" s="8"/>
      <c r="J8" s="164"/>
    </row>
    <row r="9" spans="1:10" x14ac:dyDescent="0.15">
      <c r="C9" s="39" t="s">
        <v>1141</v>
      </c>
      <c r="D9" s="39"/>
      <c r="F9" s="174"/>
      <c r="G9" s="156"/>
      <c r="J9" s="164"/>
    </row>
    <row r="10" spans="1:10" x14ac:dyDescent="0.15">
      <c r="A10" s="369" t="e">
        <f>HLOOKUP(201,'Fund 20 Grants'!$D$2:$W$3,2,FALSE)</f>
        <v>#N/A</v>
      </c>
      <c r="B10" s="370"/>
      <c r="C10" s="371" t="e">
        <f>HLOOKUP(201,'Fund 20 Grants'!$D$2:$W$4,3,FALSE)</f>
        <v>#N/A</v>
      </c>
      <c r="D10" s="114"/>
      <c r="E10" s="40">
        <v>0</v>
      </c>
      <c r="F10" s="40">
        <v>0</v>
      </c>
      <c r="G10" s="40">
        <v>0</v>
      </c>
      <c r="H10" s="373">
        <f>IF(ISERROR(HLOOKUP(201,'Fund 20 Grants'!$D$2:$W$12,11,FALSE)),0,(HLOOKUP(201,'Fund 20 Grants'!$D$2:$W$12,11,FALSE)))</f>
        <v>0</v>
      </c>
      <c r="I10" s="40">
        <v>0</v>
      </c>
      <c r="J10" s="492">
        <f t="shared" ref="J10:J21" si="0">H10+I10</f>
        <v>0</v>
      </c>
    </row>
    <row r="11" spans="1:10" x14ac:dyDescent="0.15">
      <c r="A11" s="369" t="e">
        <f>HLOOKUP(202,'Fund 20 Grants'!$D$2:$W$3,2,FALSE)</f>
        <v>#N/A</v>
      </c>
      <c r="B11" s="370"/>
      <c r="C11" s="371" t="e">
        <f>HLOOKUP(202,'Fund 20 Grants'!$D$2:$W$4,3,FALSE)</f>
        <v>#N/A</v>
      </c>
      <c r="D11" s="114"/>
      <c r="E11" s="40">
        <v>0</v>
      </c>
      <c r="F11" s="40">
        <v>0</v>
      </c>
      <c r="G11" s="40">
        <v>0</v>
      </c>
      <c r="H11" s="373">
        <f>IF(ISERROR(HLOOKUP(202,'Fund 20 Grants'!$D$2:$W$12,11,FALSE)),0,(HLOOKUP(202,'Fund 20 Grants'!$D$2:$W$12,11,FALSE)))</f>
        <v>0</v>
      </c>
      <c r="I11" s="40">
        <v>0</v>
      </c>
      <c r="J11" s="492">
        <f t="shared" si="0"/>
        <v>0</v>
      </c>
    </row>
    <row r="12" spans="1:10" x14ac:dyDescent="0.15">
      <c r="A12" s="369" t="e">
        <f>HLOOKUP(203,'Fund 20 Grants'!$D$2:$W$3,2,FALSE)</f>
        <v>#N/A</v>
      </c>
      <c r="B12" s="370"/>
      <c r="C12" s="371" t="e">
        <f>HLOOKUP(203,'Fund 20 Grants'!$D$2:$W$4,3,FALSE)</f>
        <v>#N/A</v>
      </c>
      <c r="D12" s="114"/>
      <c r="E12" s="40">
        <v>0</v>
      </c>
      <c r="F12" s="40">
        <v>0</v>
      </c>
      <c r="G12" s="40">
        <v>0</v>
      </c>
      <c r="H12" s="373">
        <f>IF(ISERROR(HLOOKUP(203,'Fund 20 Grants'!$D$2:$W$12,11,FALSE)),0,(HLOOKUP(203,'Fund 20 Grants'!$D$2:$W$12,11,FALSE)))</f>
        <v>0</v>
      </c>
      <c r="I12" s="40">
        <v>0</v>
      </c>
      <c r="J12" s="492">
        <f t="shared" si="0"/>
        <v>0</v>
      </c>
    </row>
    <row r="13" spans="1:10" x14ac:dyDescent="0.15">
      <c r="A13" s="369" t="e">
        <f>HLOOKUP(204,'Fund 20 Grants'!$D$2:$W$3,2,FALSE)</f>
        <v>#N/A</v>
      </c>
      <c r="B13" s="370"/>
      <c r="C13" s="371" t="e">
        <f>HLOOKUP(204,'Fund 20 Grants'!$D$2:$W$4,3,FALSE)</f>
        <v>#N/A</v>
      </c>
      <c r="D13" s="114"/>
      <c r="E13" s="40">
        <v>0</v>
      </c>
      <c r="F13" s="40">
        <v>0</v>
      </c>
      <c r="G13" s="40">
        <v>0</v>
      </c>
      <c r="H13" s="373">
        <f>IF(ISERROR(HLOOKUP(204,'Fund 20 Grants'!$D$2:$W$12,11,FALSE)),0,(HLOOKUP(204,'Fund 20 Grants'!$D$2:$W$12,11,FALSE)))</f>
        <v>0</v>
      </c>
      <c r="I13" s="40">
        <v>0</v>
      </c>
      <c r="J13" s="492">
        <f t="shared" si="0"/>
        <v>0</v>
      </c>
    </row>
    <row r="14" spans="1:10" x14ac:dyDescent="0.15">
      <c r="A14" s="369" t="e">
        <f>HLOOKUP(205,'Fund 20 Grants'!$D$2:$W$3,2,FALSE)</f>
        <v>#N/A</v>
      </c>
      <c r="B14" s="370"/>
      <c r="C14" s="371" t="e">
        <f>HLOOKUP(205,'Fund 20 Grants'!$D$2:$W$4,3,FALSE)</f>
        <v>#N/A</v>
      </c>
      <c r="D14" s="114"/>
      <c r="E14" s="40">
        <v>0</v>
      </c>
      <c r="F14" s="40">
        <v>0</v>
      </c>
      <c r="G14" s="40">
        <v>0</v>
      </c>
      <c r="H14" s="373">
        <f>IF(ISERROR(HLOOKUP(205,'Fund 20 Grants'!$D$2:$W$12,11,FALSE)),0,(HLOOKUP(205,'Fund 20 Grants'!$D$2:$W$12,11,FALSE)))</f>
        <v>0</v>
      </c>
      <c r="I14" s="40">
        <v>0</v>
      </c>
      <c r="J14" s="492">
        <f t="shared" si="0"/>
        <v>0</v>
      </c>
    </row>
    <row r="15" spans="1:10" x14ac:dyDescent="0.15">
      <c r="A15" s="369" t="e">
        <f>HLOOKUP(206,'Fund 20 Grants'!$D$2:$W$3,2,FALSE)</f>
        <v>#N/A</v>
      </c>
      <c r="B15" s="370"/>
      <c r="C15" s="371" t="e">
        <f>HLOOKUP(206,'Fund 20 Grants'!$D$2:$W$4,3,FALSE)</f>
        <v>#N/A</v>
      </c>
      <c r="D15" s="114"/>
      <c r="E15" s="40">
        <v>0</v>
      </c>
      <c r="F15" s="40">
        <v>0</v>
      </c>
      <c r="G15" s="40">
        <v>0</v>
      </c>
      <c r="H15" s="373">
        <f>IF(ISERROR(HLOOKUP(206,'Fund 20 Grants'!$D$2:$W$12,11,FALSE)),0,(HLOOKUP(206,'Fund 20 Grants'!$D$2:$W$12,11,FALSE)))</f>
        <v>0</v>
      </c>
      <c r="I15" s="40">
        <v>0</v>
      </c>
      <c r="J15" s="492">
        <f t="shared" si="0"/>
        <v>0</v>
      </c>
    </row>
    <row r="16" spans="1:10" x14ac:dyDescent="0.15">
      <c r="A16" s="369" t="e">
        <f>HLOOKUP(207,'Fund 20 Grants'!$D$2:$W$3,2,FALSE)</f>
        <v>#N/A</v>
      </c>
      <c r="B16" s="370"/>
      <c r="C16" s="371" t="e">
        <f>HLOOKUP(207,'Fund 20 Grants'!$D$2:$W$4,3,FALSE)</f>
        <v>#N/A</v>
      </c>
      <c r="D16" s="114"/>
      <c r="E16" s="40">
        <v>0</v>
      </c>
      <c r="F16" s="40">
        <v>0</v>
      </c>
      <c r="G16" s="40">
        <v>0</v>
      </c>
      <c r="H16" s="373">
        <f>IF(ISERROR(HLOOKUP(207,'Fund 20 Grants'!$D$2:$W$12,11,FALSE)),0,(HLOOKUP(207,'Fund 20 Grants'!$D$2:$W$12,11,FALSE)))</f>
        <v>0</v>
      </c>
      <c r="I16" s="40">
        <v>0</v>
      </c>
      <c r="J16" s="492">
        <f t="shared" si="0"/>
        <v>0</v>
      </c>
    </row>
    <row r="17" spans="1:10" x14ac:dyDescent="0.15">
      <c r="A17" s="369" t="e">
        <f>HLOOKUP(208,'Fund 20 Grants'!$D$2:$W$3,2,FALSE)</f>
        <v>#N/A</v>
      </c>
      <c r="B17" s="370"/>
      <c r="C17" s="371" t="e">
        <f>HLOOKUP(208,'Fund 20 Grants'!$D$2:$W$4,3,FALSE)</f>
        <v>#N/A</v>
      </c>
      <c r="D17" s="114"/>
      <c r="E17" s="40">
        <v>0</v>
      </c>
      <c r="F17" s="40">
        <v>0</v>
      </c>
      <c r="G17" s="40">
        <v>0</v>
      </c>
      <c r="H17" s="373">
        <f>IF(ISERROR(HLOOKUP(208,'Fund 20 Grants'!$D$2:$W$12,11,FALSE)),0,(HLOOKUP(208,'Fund 20 Grants'!$D$2:$W$12,11,FALSE)))</f>
        <v>0</v>
      </c>
      <c r="I17" s="40">
        <v>0</v>
      </c>
      <c r="J17" s="492">
        <f t="shared" si="0"/>
        <v>0</v>
      </c>
    </row>
    <row r="18" spans="1:10" x14ac:dyDescent="0.15">
      <c r="A18" s="369" t="e">
        <f>HLOOKUP(209,'Fund 20 Grants'!$D$2:$W$3,2,FALSE)</f>
        <v>#N/A</v>
      </c>
      <c r="B18" s="370"/>
      <c r="C18" s="371" t="e">
        <f>HLOOKUP(209,'Fund 20 Grants'!$D$2:$W$4,3,FALSE)</f>
        <v>#N/A</v>
      </c>
      <c r="D18" s="114"/>
      <c r="E18" s="40">
        <v>0</v>
      </c>
      <c r="F18" s="40">
        <v>0</v>
      </c>
      <c r="G18" s="40">
        <v>0</v>
      </c>
      <c r="H18" s="373">
        <f>IF(ISERROR(HLOOKUP(209,'Fund 20 Grants'!$D$2:$W$12,11,FALSE)),0,(HLOOKUP(209,'Fund 20 Grants'!$D$2:$W$12,11,FALSE)))</f>
        <v>0</v>
      </c>
      <c r="I18" s="40">
        <v>0</v>
      </c>
      <c r="J18" s="492">
        <f t="shared" si="0"/>
        <v>0</v>
      </c>
    </row>
    <row r="19" spans="1:10" x14ac:dyDescent="0.15">
      <c r="A19" s="369" t="e">
        <f>HLOOKUP(210,'Fund 20 Grants'!$D$2:$W$3,2,FALSE)</f>
        <v>#N/A</v>
      </c>
      <c r="B19" s="370"/>
      <c r="C19" s="371" t="e">
        <f>HLOOKUP(210,'Fund 20 Grants'!$D$2:$W$4,3,FALSE)</f>
        <v>#N/A</v>
      </c>
      <c r="D19" s="191"/>
      <c r="E19" s="40">
        <v>0</v>
      </c>
      <c r="F19" s="40">
        <v>0</v>
      </c>
      <c r="G19" s="40">
        <v>0</v>
      </c>
      <c r="H19" s="373">
        <f>IF(ISERROR(HLOOKUP(210,'Fund 20 Grants'!$D$2:$W$12,11,FALSE)),0,(HLOOKUP(210,'Fund 20 Grants'!$D$2:$W$12,11,FALSE)))</f>
        <v>0</v>
      </c>
      <c r="I19" s="40">
        <v>0</v>
      </c>
      <c r="J19" s="492">
        <f t="shared" si="0"/>
        <v>0</v>
      </c>
    </row>
    <row r="20" spans="1:10" x14ac:dyDescent="0.15">
      <c r="A20" s="369" t="e">
        <f>HLOOKUP(211,'Fund 20 Grants'!$D$2:$W$3,2,FALSE)</f>
        <v>#N/A</v>
      </c>
      <c r="B20" s="370"/>
      <c r="C20" s="371" t="e">
        <f>HLOOKUP(211,'Fund 20 Grants'!$D$2:$W$4,3,FALSE)</f>
        <v>#N/A</v>
      </c>
      <c r="D20" s="114"/>
      <c r="E20" s="40">
        <v>0</v>
      </c>
      <c r="F20" s="40">
        <v>0</v>
      </c>
      <c r="G20" s="40">
        <v>0</v>
      </c>
      <c r="H20" s="373">
        <f>IF(ISERROR(HLOOKUP(211,'Fund 20 Grants'!$D$2:$W$12,11,FALSE)),0,(HLOOKUP(211,'Fund 20 Grants'!$D$2:$W$12,11,FALSE)))</f>
        <v>0</v>
      </c>
      <c r="I20" s="40">
        <v>0</v>
      </c>
      <c r="J20" s="492">
        <f t="shared" si="0"/>
        <v>0</v>
      </c>
    </row>
    <row r="21" spans="1:10" x14ac:dyDescent="0.15">
      <c r="A21" s="369" t="e">
        <f>HLOOKUP(212,'Fund 20 Grants'!$D$2:$W$3,2,FALSE)</f>
        <v>#N/A</v>
      </c>
      <c r="B21" s="370"/>
      <c r="C21" s="371" t="e">
        <f>HLOOKUP(212,'Fund 20 Grants'!$D$2:$W$4,3,FALSE)</f>
        <v>#N/A</v>
      </c>
      <c r="D21" s="191"/>
      <c r="E21" s="40">
        <v>0</v>
      </c>
      <c r="F21" s="40">
        <v>0</v>
      </c>
      <c r="G21" s="40">
        <v>0</v>
      </c>
      <c r="H21" s="373">
        <f>IF(ISERROR(HLOOKUP(212,'Fund 20 Grants'!$D$2:$W$12,11,FALSE)),0,(HLOOKUP(212,'Fund 20 Grants'!$D$2:$W$12,11,FALSE)))</f>
        <v>0</v>
      </c>
      <c r="I21" s="40">
        <v>0</v>
      </c>
      <c r="J21" s="492">
        <f t="shared" si="0"/>
        <v>0</v>
      </c>
    </row>
    <row r="22" spans="1:10" ht="11.25" thickBot="1" x14ac:dyDescent="0.2">
      <c r="A22" s="149"/>
      <c r="B22" s="164"/>
      <c r="E22" s="14"/>
      <c r="F22" s="14"/>
      <c r="G22" s="14"/>
      <c r="H22" s="14"/>
      <c r="J22" s="164"/>
    </row>
    <row r="23" spans="1:10" ht="12" thickTop="1" thickBot="1" x14ac:dyDescent="0.2">
      <c r="C23" s="114" t="s">
        <v>587</v>
      </c>
      <c r="D23" s="114"/>
      <c r="E23" s="166">
        <f t="shared" ref="E23:J23" si="1">SUM(E10:E21)</f>
        <v>0</v>
      </c>
      <c r="F23" s="166">
        <f t="shared" si="1"/>
        <v>0</v>
      </c>
      <c r="G23" s="166">
        <f t="shared" si="1"/>
        <v>0</v>
      </c>
      <c r="H23" s="166">
        <f t="shared" si="1"/>
        <v>0</v>
      </c>
      <c r="I23" s="166">
        <f t="shared" si="1"/>
        <v>0</v>
      </c>
      <c r="J23" s="166">
        <f t="shared" si="1"/>
        <v>0</v>
      </c>
    </row>
    <row r="24" spans="1:10" ht="11.25" thickTop="1" x14ac:dyDescent="0.15">
      <c r="F24" s="156"/>
      <c r="G24" s="156"/>
      <c r="J24" s="164"/>
    </row>
    <row r="25" spans="1:10" x14ac:dyDescent="0.15">
      <c r="B25" s="39" t="s">
        <v>586</v>
      </c>
      <c r="F25" s="156"/>
      <c r="G25" s="156"/>
      <c r="J25" s="164"/>
    </row>
    <row r="26" spans="1:10" x14ac:dyDescent="0.15">
      <c r="A26" s="229" t="s">
        <v>1103</v>
      </c>
      <c r="B26" s="39"/>
      <c r="F26" s="156"/>
      <c r="G26" s="156"/>
      <c r="J26" s="164"/>
    </row>
    <row r="27" spans="1:10" x14ac:dyDescent="0.15">
      <c r="A27" s="34" t="s">
        <v>1140</v>
      </c>
      <c r="B27" s="156"/>
      <c r="C27" s="34" t="s">
        <v>589</v>
      </c>
      <c r="D27" s="34"/>
      <c r="F27" s="156"/>
      <c r="G27" s="156"/>
      <c r="J27" s="164"/>
    </row>
    <row r="28" spans="1:10" x14ac:dyDescent="0.15">
      <c r="A28" s="364"/>
      <c r="B28" s="164"/>
      <c r="C28" s="39" t="s">
        <v>44</v>
      </c>
      <c r="D28" s="191"/>
      <c r="F28" s="156"/>
      <c r="G28" s="156"/>
      <c r="J28" s="164"/>
    </row>
    <row r="29" spans="1:10" x14ac:dyDescent="0.15">
      <c r="A29" s="369" t="e">
        <f>HLOOKUP(301,'Fund 20 Grants'!$D$2:$W$3,2,FALSE)</f>
        <v>#N/A</v>
      </c>
      <c r="B29" s="370"/>
      <c r="C29" s="371" t="e">
        <f>HLOOKUP(301,'Fund 20 Grants'!$D$2:$W$4,3,FALSE)</f>
        <v>#N/A</v>
      </c>
      <c r="D29" s="191"/>
      <c r="E29" s="40">
        <v>0</v>
      </c>
      <c r="F29" s="40">
        <v>0</v>
      </c>
      <c r="G29" s="40">
        <v>0</v>
      </c>
      <c r="H29" s="373">
        <f>IF(ISERROR(HLOOKUP(301,'Fund 20 Grants'!$D$2:$W$12,11,FALSE)),0,(HLOOKUP(301,'Fund 20 Grants'!$D$2:$W$12,11,FALSE)))</f>
        <v>0</v>
      </c>
      <c r="I29" s="40">
        <v>0</v>
      </c>
      <c r="J29" s="492">
        <f t="shared" ref="J29:J48" si="2">H29+I29</f>
        <v>0</v>
      </c>
    </row>
    <row r="30" spans="1:10" x14ac:dyDescent="0.15">
      <c r="A30" s="369" t="e">
        <f>HLOOKUP(302,'Fund 20 Grants'!$D$2:$W$3,2,FALSE)</f>
        <v>#N/A</v>
      </c>
      <c r="B30" s="370"/>
      <c r="C30" s="371" t="e">
        <f>HLOOKUP(302,'Fund 20 Grants'!$D$2:$W$4,3,FALSE)</f>
        <v>#N/A</v>
      </c>
      <c r="D30" s="191"/>
      <c r="E30" s="40">
        <v>0</v>
      </c>
      <c r="F30" s="40">
        <v>0</v>
      </c>
      <c r="G30" s="40">
        <v>0</v>
      </c>
      <c r="H30" s="373">
        <f>IF(ISERROR(HLOOKUP(302,'Fund 20 Grants'!$D$2:$W$12,11,FALSE)),0,(HLOOKUP(302,'Fund 20 Grants'!$D$2:$W$12,11,FALSE)))</f>
        <v>0</v>
      </c>
      <c r="I30" s="40">
        <v>0</v>
      </c>
      <c r="J30" s="492">
        <f t="shared" si="2"/>
        <v>0</v>
      </c>
    </row>
    <row r="31" spans="1:10" x14ac:dyDescent="0.15">
      <c r="A31" s="369" t="e">
        <f>HLOOKUP(303,'Fund 20 Grants'!$D$2:$W$3,2,FALSE)</f>
        <v>#N/A</v>
      </c>
      <c r="B31" s="370"/>
      <c r="C31" s="371" t="e">
        <f>HLOOKUP(303,'Fund 20 Grants'!$D$2:$W$4,3,FALSE)</f>
        <v>#N/A</v>
      </c>
      <c r="D31" s="191"/>
      <c r="E31" s="40">
        <v>0</v>
      </c>
      <c r="F31" s="40">
        <v>0</v>
      </c>
      <c r="G31" s="40">
        <v>0</v>
      </c>
      <c r="H31" s="373">
        <f>IF(ISERROR(HLOOKUP(303,'Fund 20 Grants'!$D$2:$W$12,11,FALSE)),0,(HLOOKUP(303,'Fund 20 Grants'!$D$2:$W$12,11,FALSE)))</f>
        <v>0</v>
      </c>
      <c r="I31" s="40">
        <v>0</v>
      </c>
      <c r="J31" s="492">
        <f t="shared" si="2"/>
        <v>0</v>
      </c>
    </row>
    <row r="32" spans="1:10" x14ac:dyDescent="0.15">
      <c r="A32" s="369" t="e">
        <f>HLOOKUP(304,'Fund 20 Grants'!$D$2:$W$3,2,FALSE)</f>
        <v>#N/A</v>
      </c>
      <c r="B32" s="370"/>
      <c r="C32" s="371" t="e">
        <f>HLOOKUP(304,'Fund 20 Grants'!$D$2:$W$4,3,FALSE)</f>
        <v>#N/A</v>
      </c>
      <c r="D32" s="191"/>
      <c r="E32" s="40">
        <v>0</v>
      </c>
      <c r="F32" s="40">
        <v>0</v>
      </c>
      <c r="G32" s="40">
        <v>0</v>
      </c>
      <c r="H32" s="373">
        <f>IF(ISERROR(HLOOKUP(304,'Fund 20 Grants'!$D$2:$W$12,11,FALSE)),0,(HLOOKUP(304,'Fund 20 Grants'!$D$2:$W$12,11,FALSE)))</f>
        <v>0</v>
      </c>
      <c r="I32" s="40">
        <v>0</v>
      </c>
      <c r="J32" s="492">
        <f t="shared" si="2"/>
        <v>0</v>
      </c>
    </row>
    <row r="33" spans="1:10" x14ac:dyDescent="0.15">
      <c r="A33" s="369" t="e">
        <f>HLOOKUP(305,'Fund 20 Grants'!$D$2:$W$3,2,FALSE)</f>
        <v>#N/A</v>
      </c>
      <c r="B33" s="370"/>
      <c r="C33" s="371" t="e">
        <f>HLOOKUP(305,'Fund 20 Grants'!$D$2:$W$4,3,FALSE)</f>
        <v>#N/A</v>
      </c>
      <c r="D33" s="191"/>
      <c r="E33" s="40">
        <v>0</v>
      </c>
      <c r="F33" s="40">
        <v>0</v>
      </c>
      <c r="G33" s="40">
        <v>0</v>
      </c>
      <c r="H33" s="373">
        <f>IF(ISERROR(HLOOKUP(305,'Fund 20 Grants'!$D$2:$W$12,11,FALSE)),0,(HLOOKUP(305,'Fund 20 Grants'!$D$2:$W$12,11,FALSE)))</f>
        <v>0</v>
      </c>
      <c r="I33" s="40">
        <v>0</v>
      </c>
      <c r="J33" s="492">
        <f t="shared" si="2"/>
        <v>0</v>
      </c>
    </row>
    <row r="34" spans="1:10" x14ac:dyDescent="0.15">
      <c r="A34" s="369" t="e">
        <f>HLOOKUP(306,'Fund 20 Grants'!$D$2:$W$3,2,FALSE)</f>
        <v>#N/A</v>
      </c>
      <c r="B34" s="370"/>
      <c r="C34" s="371" t="e">
        <f>HLOOKUP(306,'Fund 20 Grants'!$D$2:$W$4,3,FALSE)</f>
        <v>#N/A</v>
      </c>
      <c r="D34" s="191"/>
      <c r="E34" s="40">
        <v>0</v>
      </c>
      <c r="F34" s="40">
        <v>0</v>
      </c>
      <c r="G34" s="40">
        <v>0</v>
      </c>
      <c r="H34" s="373">
        <f>IF(ISERROR(HLOOKUP(306,'Fund 20 Grants'!$D$2:$W$12,11,FALSE)),0,(HLOOKUP(306,'Fund 20 Grants'!$D$2:$W$12,11,FALSE)))</f>
        <v>0</v>
      </c>
      <c r="I34" s="40">
        <v>0</v>
      </c>
      <c r="J34" s="492">
        <f t="shared" si="2"/>
        <v>0</v>
      </c>
    </row>
    <row r="35" spans="1:10" x14ac:dyDescent="0.15">
      <c r="A35" s="369" t="e">
        <f>HLOOKUP(307,'Fund 20 Grants'!$D$2:$W$3,2,FALSE)</f>
        <v>#N/A</v>
      </c>
      <c r="B35" s="370"/>
      <c r="C35" s="371" t="e">
        <f>HLOOKUP(307,'Fund 20 Grants'!$D$2:$W$4,3,FALSE)</f>
        <v>#N/A</v>
      </c>
      <c r="D35" s="191"/>
      <c r="E35" s="40">
        <v>0</v>
      </c>
      <c r="F35" s="40">
        <v>0</v>
      </c>
      <c r="G35" s="40">
        <v>0</v>
      </c>
      <c r="H35" s="373">
        <f>IF(ISERROR(HLOOKUP(307,'Fund 20 Grants'!$D$2:$W$12,11,FALSE)),0,(HLOOKUP(307,'Fund 20 Grants'!$D$2:$W$12,11,FALSE)))</f>
        <v>0</v>
      </c>
      <c r="I35" s="40">
        <v>0</v>
      </c>
      <c r="J35" s="492">
        <f t="shared" si="2"/>
        <v>0</v>
      </c>
    </row>
    <row r="36" spans="1:10" x14ac:dyDescent="0.15">
      <c r="A36" s="369" t="e">
        <f>HLOOKUP(308,'Fund 20 Grants'!$D$2:$W$3,2,FALSE)</f>
        <v>#N/A</v>
      </c>
      <c r="B36" s="370"/>
      <c r="C36" s="371" t="e">
        <f>HLOOKUP(308,'Fund 20 Grants'!$D$2:$W$4,3,FALSE)</f>
        <v>#N/A</v>
      </c>
      <c r="D36" s="191"/>
      <c r="E36" s="40">
        <v>0</v>
      </c>
      <c r="F36" s="40">
        <v>0</v>
      </c>
      <c r="G36" s="40">
        <v>0</v>
      </c>
      <c r="H36" s="373">
        <f>IF(ISERROR(HLOOKUP(308,'Fund 20 Grants'!$D$2:$W$12,11,FALSE)),0,(HLOOKUP(308,'Fund 20 Grants'!$D$2:$W$12,11,FALSE)))</f>
        <v>0</v>
      </c>
      <c r="I36" s="40">
        <v>0</v>
      </c>
      <c r="J36" s="492">
        <f t="shared" si="2"/>
        <v>0</v>
      </c>
    </row>
    <row r="37" spans="1:10" x14ac:dyDescent="0.15">
      <c r="A37" s="369" t="e">
        <f>HLOOKUP(309,'Fund 20 Grants'!$D$2:$W$3,2,FALSE)</f>
        <v>#N/A</v>
      </c>
      <c r="B37" s="370"/>
      <c r="C37" s="371" t="e">
        <f>HLOOKUP(309,'Fund 20 Grants'!$D$2:$W$4,3,FALSE)</f>
        <v>#N/A</v>
      </c>
      <c r="D37" s="191"/>
      <c r="E37" s="40">
        <v>0</v>
      </c>
      <c r="F37" s="40">
        <v>0</v>
      </c>
      <c r="G37" s="40">
        <v>0</v>
      </c>
      <c r="H37" s="373">
        <f>IF(ISERROR(HLOOKUP(309,'Fund 20 Grants'!$D$2:$W$12,11,FALSE)),0,(HLOOKUP(309,'Fund 20 Grants'!$D$2:$W$12,11,FALSE)))</f>
        <v>0</v>
      </c>
      <c r="I37" s="40">
        <v>0</v>
      </c>
      <c r="J37" s="492">
        <f t="shared" si="2"/>
        <v>0</v>
      </c>
    </row>
    <row r="38" spans="1:10" x14ac:dyDescent="0.15">
      <c r="A38" s="369" t="e">
        <f>HLOOKUP(310,'Fund 20 Grants'!$D$2:$W$3,2,FALSE)</f>
        <v>#N/A</v>
      </c>
      <c r="B38" s="370"/>
      <c r="C38" s="371" t="e">
        <f>HLOOKUP(310,'Fund 20 Grants'!$D$2:$W$4,3,FALSE)</f>
        <v>#N/A</v>
      </c>
      <c r="D38" s="191"/>
      <c r="E38" s="40">
        <v>0</v>
      </c>
      <c r="F38" s="40">
        <v>0</v>
      </c>
      <c r="G38" s="40">
        <v>0</v>
      </c>
      <c r="H38" s="373">
        <f>IF(ISERROR(HLOOKUP(310,'Fund 20 Grants'!$D$2:$W$12,11,FALSE)),0,(HLOOKUP(310,'Fund 20 Grants'!$D$2:$W$12,11,FALSE)))</f>
        <v>0</v>
      </c>
      <c r="I38" s="40">
        <v>0</v>
      </c>
      <c r="J38" s="492">
        <f t="shared" si="2"/>
        <v>0</v>
      </c>
    </row>
    <row r="39" spans="1:10" x14ac:dyDescent="0.15">
      <c r="A39" s="369" t="e">
        <f>HLOOKUP(311,'Fund 20 Grants'!$D$2:$W$3,2,FALSE)</f>
        <v>#N/A</v>
      </c>
      <c r="B39" s="370"/>
      <c r="C39" s="371" t="e">
        <f>HLOOKUP(311,'Fund 20 Grants'!$D$2:$W$4,3,FALSE)</f>
        <v>#N/A</v>
      </c>
      <c r="D39" s="191"/>
      <c r="E39" s="40">
        <v>0</v>
      </c>
      <c r="F39" s="40">
        <v>0</v>
      </c>
      <c r="G39" s="40">
        <v>0</v>
      </c>
      <c r="H39" s="373">
        <f>IF(ISERROR(HLOOKUP(311,'Fund 20 Grants'!$D$2:$W$12,11,FALSE)),0,(HLOOKUP(311,'Fund 20 Grants'!$D$2:$W$12,11,FALSE)))</f>
        <v>0</v>
      </c>
      <c r="I39" s="40">
        <v>0</v>
      </c>
      <c r="J39" s="492">
        <f t="shared" si="2"/>
        <v>0</v>
      </c>
    </row>
    <row r="40" spans="1:10" x14ac:dyDescent="0.15">
      <c r="A40" s="369" t="e">
        <f>HLOOKUP(312,'Fund 20 Grants'!$D$2:$W$3,2,FALSE)</f>
        <v>#N/A</v>
      </c>
      <c r="B40" s="370"/>
      <c r="C40" s="371" t="e">
        <f>HLOOKUP(312,'Fund 20 Grants'!$D$2:$W$4,3,FALSE)</f>
        <v>#N/A</v>
      </c>
      <c r="D40" s="191"/>
      <c r="E40" s="40">
        <v>0</v>
      </c>
      <c r="F40" s="40">
        <v>0</v>
      </c>
      <c r="G40" s="40">
        <v>0</v>
      </c>
      <c r="H40" s="373">
        <f>IF(ISERROR(HLOOKUP(312,'Fund 20 Grants'!$D$2:$W$12,11,FALSE)),0,(HLOOKUP(312,'Fund 20 Grants'!$D$2:$W$12,11,FALSE)))</f>
        <v>0</v>
      </c>
      <c r="I40" s="40">
        <v>0</v>
      </c>
      <c r="J40" s="492">
        <f t="shared" si="2"/>
        <v>0</v>
      </c>
    </row>
    <row r="41" spans="1:10" x14ac:dyDescent="0.15">
      <c r="A41" s="369" t="e">
        <f>HLOOKUP(313,'Fund 20 Grants'!$D$2:$W$3,2,FALSE)</f>
        <v>#N/A</v>
      </c>
      <c r="B41" s="370"/>
      <c r="C41" s="371" t="e">
        <f>HLOOKUP(313,'Fund 20 Grants'!$D$2:$W$4,3,FALSE)</f>
        <v>#N/A</v>
      </c>
      <c r="D41" s="191"/>
      <c r="E41" s="40">
        <v>0</v>
      </c>
      <c r="F41" s="40">
        <v>0</v>
      </c>
      <c r="G41" s="40">
        <v>0</v>
      </c>
      <c r="H41" s="373">
        <f>IF(ISERROR(HLOOKUP(313,'Fund 20 Grants'!$D$2:$W$12,11,FALSE)),0,(HLOOKUP(313,'Fund 20 Grants'!$D$2:$W$12,11,FALSE)))</f>
        <v>0</v>
      </c>
      <c r="I41" s="40">
        <v>0</v>
      </c>
      <c r="J41" s="492">
        <f t="shared" si="2"/>
        <v>0</v>
      </c>
    </row>
    <row r="42" spans="1:10" x14ac:dyDescent="0.15">
      <c r="A42" s="369" t="e">
        <f>HLOOKUP(314,'Fund 20 Grants'!$D$2:$W$3,2,FALSE)</f>
        <v>#N/A</v>
      </c>
      <c r="B42" s="370"/>
      <c r="C42" s="371" t="e">
        <f>HLOOKUP(314,'Fund 20 Grants'!$D$2:$W$4,3,FALSE)</f>
        <v>#N/A</v>
      </c>
      <c r="D42" s="191"/>
      <c r="E42" s="40">
        <v>0</v>
      </c>
      <c r="F42" s="40">
        <v>0</v>
      </c>
      <c r="G42" s="40">
        <v>0</v>
      </c>
      <c r="H42" s="373">
        <f>IF(ISERROR(HLOOKUP(314,'Fund 20 Grants'!$D$2:$W$12,11,FALSE)),0,(HLOOKUP(314,'Fund 20 Grants'!$D$2:$W$12,11,FALSE)))</f>
        <v>0</v>
      </c>
      <c r="I42" s="40">
        <v>0</v>
      </c>
      <c r="J42" s="492">
        <f t="shared" si="2"/>
        <v>0</v>
      </c>
    </row>
    <row r="43" spans="1:10" x14ac:dyDescent="0.15">
      <c r="A43" s="369" t="e">
        <f>HLOOKUP(315,'Fund 20 Grants'!$D$2:$W$3,2,FALSE)</f>
        <v>#N/A</v>
      </c>
      <c r="B43" s="370"/>
      <c r="C43" s="371" t="e">
        <f>HLOOKUP(315,'Fund 20 Grants'!$D$2:$W$4,3,FALSE)</f>
        <v>#N/A</v>
      </c>
      <c r="D43" s="191"/>
      <c r="E43" s="40">
        <v>0</v>
      </c>
      <c r="F43" s="40">
        <v>0</v>
      </c>
      <c r="G43" s="40">
        <v>0</v>
      </c>
      <c r="H43" s="373">
        <f>IF(ISERROR(HLOOKUP(315,'Fund 20 Grants'!$D$2:$W$12,11,FALSE)),0,(HLOOKUP(315,'Fund 20 Grants'!$D$2:$W$12,11,FALSE)))</f>
        <v>0</v>
      </c>
      <c r="I43" s="40">
        <v>0</v>
      </c>
      <c r="J43" s="492">
        <f t="shared" si="2"/>
        <v>0</v>
      </c>
    </row>
    <row r="44" spans="1:10" x14ac:dyDescent="0.15">
      <c r="A44" s="369" t="e">
        <f>HLOOKUP(316,'Fund 20 Grants'!$D$2:$W$3,2,FALSE)</f>
        <v>#N/A</v>
      </c>
      <c r="B44" s="370"/>
      <c r="C44" s="371" t="e">
        <f>HLOOKUP(316,'Fund 20 Grants'!$D$2:$W$4,3,FALSE)</f>
        <v>#N/A</v>
      </c>
      <c r="D44" s="191"/>
      <c r="E44" s="40">
        <v>0</v>
      </c>
      <c r="F44" s="40">
        <v>0</v>
      </c>
      <c r="G44" s="40">
        <v>0</v>
      </c>
      <c r="H44" s="373">
        <f>IF(ISERROR(HLOOKUP(316,'Fund 20 Grants'!$D$2:$W$12,11,FALSE)),0,(HLOOKUP(316,'Fund 20 Grants'!$D$2:$W$12,11,FALSE)))</f>
        <v>0</v>
      </c>
      <c r="I44" s="40">
        <v>0</v>
      </c>
      <c r="J44" s="492">
        <f t="shared" si="2"/>
        <v>0</v>
      </c>
    </row>
    <row r="45" spans="1:10" x14ac:dyDescent="0.15">
      <c r="A45" s="369" t="e">
        <f>HLOOKUP(317,'Fund 20 Grants'!$D$2:$W$3,2,FALSE)</f>
        <v>#N/A</v>
      </c>
      <c r="B45" s="370"/>
      <c r="C45" s="371" t="e">
        <f>HLOOKUP(317,'Fund 20 Grants'!$D$2:$W$4,3,FALSE)</f>
        <v>#N/A</v>
      </c>
      <c r="D45" s="191"/>
      <c r="E45" s="40">
        <v>0</v>
      </c>
      <c r="F45" s="40">
        <v>0</v>
      </c>
      <c r="G45" s="40">
        <v>0</v>
      </c>
      <c r="H45" s="373">
        <f>IF(ISERROR(HLOOKUP(317,'Fund 20 Grants'!$D$2:$W$12,11,FALSE)),0,(HLOOKUP(317,'Fund 20 Grants'!$D$2:$W$12,11,FALSE)))</f>
        <v>0</v>
      </c>
      <c r="I45" s="40">
        <v>0</v>
      </c>
      <c r="J45" s="492">
        <f t="shared" si="2"/>
        <v>0</v>
      </c>
    </row>
    <row r="46" spans="1:10" x14ac:dyDescent="0.15">
      <c r="A46" s="369" t="e">
        <f>HLOOKUP(318,'Fund 20 Grants'!$D$2:$W$3,2,FALSE)</f>
        <v>#N/A</v>
      </c>
      <c r="B46" s="370"/>
      <c r="C46" s="371" t="e">
        <f>HLOOKUP(318,'Fund 20 Grants'!$D$2:$W$4,3,FALSE)</f>
        <v>#N/A</v>
      </c>
      <c r="D46" s="191"/>
      <c r="E46" s="40">
        <v>0</v>
      </c>
      <c r="F46" s="40">
        <v>0</v>
      </c>
      <c r="G46" s="40">
        <v>0</v>
      </c>
      <c r="H46" s="373">
        <f>IF(ISERROR(HLOOKUP(318,'Fund 20 Grants'!$D$2:$W$12,11,FALSE)),0,(HLOOKUP(318,'Fund 20 Grants'!$D$2:$W$12,11,FALSE)))</f>
        <v>0</v>
      </c>
      <c r="I46" s="40">
        <v>0</v>
      </c>
      <c r="J46" s="492">
        <f t="shared" si="2"/>
        <v>0</v>
      </c>
    </row>
    <row r="47" spans="1:10" x14ac:dyDescent="0.15">
      <c r="A47" s="369" t="e">
        <f>HLOOKUP(319,'Fund 20 Grants'!$D$2:$W$3,2,FALSE)</f>
        <v>#N/A</v>
      </c>
      <c r="B47" s="370"/>
      <c r="C47" s="371" t="e">
        <f>HLOOKUP(319,'Fund 20 Grants'!$D$2:$W$4,3,FALSE)</f>
        <v>#N/A</v>
      </c>
      <c r="D47" s="191"/>
      <c r="E47" s="40">
        <v>0</v>
      </c>
      <c r="F47" s="40">
        <v>0</v>
      </c>
      <c r="G47" s="40">
        <v>0</v>
      </c>
      <c r="H47" s="373">
        <f>IF(ISERROR(HLOOKUP(319,'Fund 20 Grants'!$D$2:$W$12,11,FALSE)),0,(HLOOKUP(319,'Fund 20 Grants'!$D$2:$W$12,11,FALSE)))</f>
        <v>0</v>
      </c>
      <c r="I47" s="40">
        <v>0</v>
      </c>
      <c r="J47" s="492">
        <f t="shared" si="2"/>
        <v>0</v>
      </c>
    </row>
    <row r="48" spans="1:10" x14ac:dyDescent="0.15">
      <c r="A48" s="369" t="e">
        <f>HLOOKUP(320,'Fund 20 Grants'!$D$2:$W$3,2,FALSE)</f>
        <v>#N/A</v>
      </c>
      <c r="B48" s="370"/>
      <c r="C48" s="371" t="e">
        <f>HLOOKUP(320,'Fund 20 Grants'!$D$2:$W$4,3,FALSE)</f>
        <v>#N/A</v>
      </c>
      <c r="D48" s="114"/>
      <c r="E48" s="40">
        <v>0</v>
      </c>
      <c r="F48" s="40">
        <v>0</v>
      </c>
      <c r="G48" s="40">
        <v>0</v>
      </c>
      <c r="H48" s="373">
        <f>IF(ISERROR(HLOOKUP(320,'Fund 20 Grants'!$D$2:$W$12,11,FALSE)),0,(HLOOKUP(320,'Fund 20 Grants'!$D$2:$W$12,11,FALSE)))</f>
        <v>0</v>
      </c>
      <c r="I48" s="40">
        <v>0</v>
      </c>
      <c r="J48" s="492">
        <f t="shared" si="2"/>
        <v>0</v>
      </c>
    </row>
    <row r="49" spans="1:10" ht="11.25" thickBot="1" x14ac:dyDescent="0.2">
      <c r="A49" s="374"/>
      <c r="B49" s="375"/>
      <c r="C49" s="169"/>
      <c r="D49" s="114"/>
      <c r="E49" s="14"/>
      <c r="F49" s="14"/>
      <c r="G49" s="14"/>
      <c r="H49" s="14"/>
      <c r="J49" s="164"/>
    </row>
    <row r="50" spans="1:10" ht="12" thickTop="1" thickBot="1" x14ac:dyDescent="0.2">
      <c r="C50" s="114" t="s">
        <v>588</v>
      </c>
      <c r="E50" s="166">
        <f t="shared" ref="E50:J50" si="3">SUM(E29:E49)</f>
        <v>0</v>
      </c>
      <c r="F50" s="166">
        <f t="shared" si="3"/>
        <v>0</v>
      </c>
      <c r="G50" s="166">
        <f t="shared" si="3"/>
        <v>0</v>
      </c>
      <c r="H50" s="166">
        <f t="shared" si="3"/>
        <v>0</v>
      </c>
      <c r="I50" s="166">
        <f t="shared" si="3"/>
        <v>0</v>
      </c>
      <c r="J50" s="166">
        <f t="shared" si="3"/>
        <v>0</v>
      </c>
    </row>
    <row r="51" spans="1:10" ht="11.25" thickTop="1" x14ac:dyDescent="0.15">
      <c r="F51" s="156"/>
      <c r="G51" s="156"/>
      <c r="J51" s="164"/>
    </row>
    <row r="52" spans="1:10" x14ac:dyDescent="0.15">
      <c r="B52" s="39" t="s">
        <v>741</v>
      </c>
      <c r="D52" s="34"/>
      <c r="F52" s="156"/>
      <c r="G52" s="156"/>
      <c r="J52" s="164"/>
    </row>
    <row r="53" spans="1:10" x14ac:dyDescent="0.15">
      <c r="A53" s="34" t="s">
        <v>1140</v>
      </c>
      <c r="B53" s="156"/>
      <c r="C53" s="34" t="s">
        <v>725</v>
      </c>
      <c r="D53" s="198"/>
      <c r="F53" s="156"/>
      <c r="G53" s="156"/>
      <c r="J53" s="164"/>
    </row>
    <row r="54" spans="1:10" x14ac:dyDescent="0.15">
      <c r="A54" s="369">
        <f>HLOOKUP(101,'Fund 20 Grants'!$D$2:$W$3,2,FALSE)</f>
        <v>0</v>
      </c>
      <c r="B54" s="370"/>
      <c r="C54" s="371">
        <f>HLOOKUP(101,'Fund 20 Grants'!$D$2:$W$4,3,FALSE)</f>
        <v>0</v>
      </c>
      <c r="D54" s="198"/>
      <c r="E54" s="40">
        <v>0</v>
      </c>
      <c r="F54" s="40">
        <v>0</v>
      </c>
      <c r="G54" s="40">
        <v>0</v>
      </c>
      <c r="H54" s="373">
        <f>IF(ISERROR(HLOOKUP(101,'Fund 20 Grants'!$D$2:$W$12,11,FALSE)),0,(HLOOKUP(101,'Fund 20 Grants'!$D$2:$W$12,11,FALSE)))</f>
        <v>0</v>
      </c>
      <c r="I54" s="40">
        <v>0</v>
      </c>
      <c r="J54" s="492">
        <f t="shared" ref="J54:J63" si="4">H54+I54</f>
        <v>0</v>
      </c>
    </row>
    <row r="55" spans="1:10" x14ac:dyDescent="0.15">
      <c r="A55" s="369">
        <f>HLOOKUP(102,'Fund 20 Grants'!$D$2:$W$3,2,FALSE)</f>
        <v>0</v>
      </c>
      <c r="B55" s="370"/>
      <c r="C55" s="371">
        <f>HLOOKUP(102,'Fund 20 Grants'!$D$2:$W$4,3,FALSE)</f>
        <v>0</v>
      </c>
      <c r="D55" s="198"/>
      <c r="E55" s="40">
        <v>0</v>
      </c>
      <c r="F55" s="40">
        <v>0</v>
      </c>
      <c r="G55" s="40">
        <v>0</v>
      </c>
      <c r="H55" s="373">
        <f>IF(ISERROR(HLOOKUP(102,'Fund 20 Grants'!$D$2:$W$12,11,FALSE)),0,(HLOOKUP(102,'Fund 20 Grants'!$D$2:$W$12,11,FALSE)))</f>
        <v>0</v>
      </c>
      <c r="I55" s="40">
        <v>0</v>
      </c>
      <c r="J55" s="492">
        <f t="shared" si="4"/>
        <v>0</v>
      </c>
    </row>
    <row r="56" spans="1:10" x14ac:dyDescent="0.15">
      <c r="A56" s="369">
        <f>HLOOKUP(103,'Fund 20 Grants'!$D$2:$W$3,2,FALSE)</f>
        <v>0</v>
      </c>
      <c r="B56" s="370"/>
      <c r="C56" s="371">
        <f>HLOOKUP(103,'Fund 20 Grants'!$D$2:$W$4,3,FALSE)</f>
        <v>0</v>
      </c>
      <c r="D56" s="198"/>
      <c r="E56" s="40">
        <v>0</v>
      </c>
      <c r="F56" s="40">
        <v>0</v>
      </c>
      <c r="G56" s="40">
        <v>0</v>
      </c>
      <c r="H56" s="373">
        <f>IF(ISERROR(HLOOKUP(103,'Fund 20 Grants'!$D$2:$W$12,11,FALSE)),0,(HLOOKUP(103,'Fund 20 Grants'!$D$2:$W$12,11,FALSE)))</f>
        <v>0</v>
      </c>
      <c r="I56" s="40">
        <v>0</v>
      </c>
      <c r="J56" s="492">
        <f t="shared" si="4"/>
        <v>0</v>
      </c>
    </row>
    <row r="57" spans="1:10" x14ac:dyDescent="0.15">
      <c r="A57" s="369">
        <f>HLOOKUP(104,'Fund 20 Grants'!$D$2:$W$3,2,FALSE)</f>
        <v>0</v>
      </c>
      <c r="B57" s="370"/>
      <c r="C57" s="371">
        <f>HLOOKUP(104,'Fund 20 Grants'!$D$2:$W$4,3,FALSE)</f>
        <v>0</v>
      </c>
      <c r="D57" s="198"/>
      <c r="E57" s="40">
        <v>0</v>
      </c>
      <c r="F57" s="40">
        <v>0</v>
      </c>
      <c r="G57" s="40">
        <v>0</v>
      </c>
      <c r="H57" s="373">
        <f>IF(ISERROR(HLOOKUP(104,'Fund 20 Grants'!$D$2:$W$12,11,FALSE)),0,(HLOOKUP(104,'Fund 20 Grants'!$D$2:$W$12,11,FALSE)))</f>
        <v>0</v>
      </c>
      <c r="I57" s="40">
        <v>0</v>
      </c>
      <c r="J57" s="492">
        <f t="shared" si="4"/>
        <v>0</v>
      </c>
    </row>
    <row r="58" spans="1:10" x14ac:dyDescent="0.15">
      <c r="A58" s="369">
        <f>HLOOKUP(105,'Fund 20 Grants'!$D$2:$W$3,2,FALSE)</f>
        <v>0</v>
      </c>
      <c r="B58" s="370"/>
      <c r="C58" s="371">
        <f>HLOOKUP(105,'Fund 20 Grants'!$D$2:$W$4,3,FALSE)</f>
        <v>0</v>
      </c>
      <c r="D58" s="198"/>
      <c r="E58" s="40">
        <v>0</v>
      </c>
      <c r="F58" s="40">
        <v>0</v>
      </c>
      <c r="G58" s="40">
        <v>0</v>
      </c>
      <c r="H58" s="373">
        <f>IF(ISERROR(HLOOKUP(105,'Fund 20 Grants'!$D$2:$W$12,11,FALSE)),0,(HLOOKUP(105,'Fund 20 Grants'!$D$2:$W$12,11,FALSE)))</f>
        <v>0</v>
      </c>
      <c r="I58" s="40">
        <v>0</v>
      </c>
      <c r="J58" s="492">
        <f t="shared" si="4"/>
        <v>0</v>
      </c>
    </row>
    <row r="59" spans="1:10" x14ac:dyDescent="0.15">
      <c r="A59" s="369">
        <f>HLOOKUP(106,'Fund 20 Grants'!$D$2:$W$3,2,FALSE)</f>
        <v>0</v>
      </c>
      <c r="B59" s="370"/>
      <c r="C59" s="371">
        <f>HLOOKUP(106,'Fund 20 Grants'!$D$2:$W$4,3,FALSE)</f>
        <v>0</v>
      </c>
      <c r="D59" s="198"/>
      <c r="E59" s="40">
        <v>0</v>
      </c>
      <c r="F59" s="40">
        <v>0</v>
      </c>
      <c r="G59" s="40">
        <v>0</v>
      </c>
      <c r="H59" s="373">
        <f>IF(ISERROR(HLOOKUP(106,'Fund 20 Grants'!$D$2:$W$12,11,FALSE)),0,(HLOOKUP(106,'Fund 20 Grants'!$D$2:$W$12,11,FALSE)))</f>
        <v>0</v>
      </c>
      <c r="I59" s="40">
        <v>0</v>
      </c>
      <c r="J59" s="492">
        <f t="shared" si="4"/>
        <v>0</v>
      </c>
    </row>
    <row r="60" spans="1:10" x14ac:dyDescent="0.15">
      <c r="A60" s="369">
        <f>HLOOKUP(107,'Fund 20 Grants'!$D$2:$W$3,2,FALSE)</f>
        <v>0</v>
      </c>
      <c r="B60" s="370"/>
      <c r="C60" s="371">
        <f>HLOOKUP(107,'Fund 20 Grants'!$D$2:$W$4,3,FALSE)</f>
        <v>0</v>
      </c>
      <c r="D60" s="198"/>
      <c r="E60" s="40">
        <v>0</v>
      </c>
      <c r="F60" s="40">
        <v>0</v>
      </c>
      <c r="G60" s="40">
        <v>0</v>
      </c>
      <c r="H60" s="373">
        <f>IF(ISERROR(HLOOKUP(107,'Fund 20 Grants'!$D$2:$W$12,11,FALSE)),0,(HLOOKUP(107,'Fund 20 Grants'!$D$2:$W$12,11,FALSE)))</f>
        <v>0</v>
      </c>
      <c r="I60" s="40">
        <v>0</v>
      </c>
      <c r="J60" s="492">
        <f t="shared" si="4"/>
        <v>0</v>
      </c>
    </row>
    <row r="61" spans="1:10" x14ac:dyDescent="0.15">
      <c r="A61" s="369">
        <f>HLOOKUP(108,'Fund 20 Grants'!$D$2:$W$3,2,FALSE)</f>
        <v>0</v>
      </c>
      <c r="B61" s="370"/>
      <c r="C61" s="371">
        <f>HLOOKUP(108,'Fund 20 Grants'!$D$2:$W$4,3,FALSE)</f>
        <v>0</v>
      </c>
      <c r="D61" s="198"/>
      <c r="E61" s="40">
        <v>0</v>
      </c>
      <c r="F61" s="40">
        <v>0</v>
      </c>
      <c r="G61" s="40">
        <v>0</v>
      </c>
      <c r="H61" s="373">
        <f>IF(ISERROR(HLOOKUP(108,'Fund 20 Grants'!$D$2:$W$12,11,FALSE)),0,(HLOOKUP(108,'Fund 20 Grants'!$D$2:$W$12,11,FALSE)))</f>
        <v>0</v>
      </c>
      <c r="I61" s="40">
        <v>0</v>
      </c>
      <c r="J61" s="492">
        <f t="shared" si="4"/>
        <v>0</v>
      </c>
    </row>
    <row r="62" spans="1:10" x14ac:dyDescent="0.15">
      <c r="A62" s="369">
        <f>HLOOKUP(109,'Fund 20 Grants'!$D$2:$W$3,2,FALSE)</f>
        <v>0</v>
      </c>
      <c r="B62" s="370"/>
      <c r="C62" s="371">
        <f>HLOOKUP(109,'Fund 20 Grants'!$D$2:$W$4,3,FALSE)</f>
        <v>0</v>
      </c>
      <c r="D62" s="198"/>
      <c r="E62" s="40">
        <v>0</v>
      </c>
      <c r="F62" s="40">
        <v>0</v>
      </c>
      <c r="G62" s="40">
        <v>0</v>
      </c>
      <c r="H62" s="373">
        <f>IF(ISERROR(HLOOKUP(109,'Fund 20 Grants'!$D$2:$W$12,11,FALSE)),0,(HLOOKUP(109,'Fund 20 Grants'!$D$2:$W$12,11,FALSE)))</f>
        <v>0</v>
      </c>
      <c r="I62" s="40">
        <v>0</v>
      </c>
      <c r="J62" s="492">
        <f t="shared" si="4"/>
        <v>0</v>
      </c>
    </row>
    <row r="63" spans="1:10" x14ac:dyDescent="0.15">
      <c r="A63" s="369">
        <f>HLOOKUP(110,'Fund 20 Grants'!$D$2:$W$3,2,FALSE)</f>
        <v>0</v>
      </c>
      <c r="B63" s="370"/>
      <c r="C63" s="371">
        <f>HLOOKUP(110,'Fund 20 Grants'!$D$2:$W$4,3,FALSE)</f>
        <v>0</v>
      </c>
      <c r="D63" s="39"/>
      <c r="E63" s="40">
        <v>0</v>
      </c>
      <c r="F63" s="40">
        <v>0</v>
      </c>
      <c r="G63" s="40">
        <v>0</v>
      </c>
      <c r="H63" s="373">
        <f>IF(ISERROR(HLOOKUP(110,'Fund 20 Grants'!$D$2:$W$12,11,FALSE)),0,(HLOOKUP(110,'Fund 20 Grants'!$D$2:$W$12,11,FALSE)))</f>
        <v>0</v>
      </c>
      <c r="I63" s="40">
        <v>0</v>
      </c>
      <c r="J63" s="492">
        <f t="shared" si="4"/>
        <v>0</v>
      </c>
    </row>
    <row r="64" spans="1:10" ht="11.25" thickBot="1" x14ac:dyDescent="0.2">
      <c r="C64" s="39"/>
      <c r="D64" s="114"/>
      <c r="F64" s="156"/>
      <c r="G64" s="156"/>
      <c r="J64" s="164"/>
    </row>
    <row r="65" spans="1:10" ht="12" thickTop="1" thickBot="1" x14ac:dyDescent="0.2">
      <c r="A65" s="114" t="s">
        <v>832</v>
      </c>
      <c r="C65" s="114" t="s">
        <v>744</v>
      </c>
      <c r="E65" s="148">
        <f t="shared" ref="E65:J65" si="5">SUM(E54:E64)</f>
        <v>0</v>
      </c>
      <c r="F65" s="148">
        <f t="shared" si="5"/>
        <v>0</v>
      </c>
      <c r="G65" s="148">
        <f t="shared" si="5"/>
        <v>0</v>
      </c>
      <c r="H65" s="148">
        <f t="shared" si="5"/>
        <v>0</v>
      </c>
      <c r="I65" s="148">
        <f t="shared" si="5"/>
        <v>0</v>
      </c>
      <c r="J65" s="166">
        <f t="shared" si="5"/>
        <v>0</v>
      </c>
    </row>
    <row r="66" spans="1:10" ht="12" thickTop="1" thickBot="1" x14ac:dyDescent="0.2">
      <c r="D66" s="114"/>
      <c r="F66" s="156"/>
      <c r="G66" s="156"/>
      <c r="J66" s="164"/>
    </row>
    <row r="67" spans="1:10" ht="12" thickTop="1" thickBot="1" x14ac:dyDescent="0.2">
      <c r="C67" s="114" t="s">
        <v>1305</v>
      </c>
      <c r="D67" s="114"/>
      <c r="E67" s="190">
        <f t="shared" ref="E67:J67" si="6">E23+E50+E65</f>
        <v>0</v>
      </c>
      <c r="F67" s="190">
        <f t="shared" si="6"/>
        <v>0</v>
      </c>
      <c r="G67" s="190">
        <f t="shared" si="6"/>
        <v>0</v>
      </c>
      <c r="H67" s="190">
        <f t="shared" si="6"/>
        <v>0</v>
      </c>
      <c r="I67" s="190">
        <f t="shared" si="6"/>
        <v>0</v>
      </c>
      <c r="J67" s="528">
        <f t="shared" si="6"/>
        <v>0</v>
      </c>
    </row>
    <row r="68" spans="1:10" ht="11.25" thickTop="1" x14ac:dyDescent="0.15">
      <c r="C68" s="114"/>
      <c r="D68" s="114"/>
      <c r="F68" s="156"/>
      <c r="G68" s="156"/>
      <c r="J68" s="164"/>
    </row>
    <row r="69" spans="1:10" x14ac:dyDescent="0.15">
      <c r="B69" s="21" t="s">
        <v>623</v>
      </c>
      <c r="C69" s="114"/>
      <c r="D69" s="34"/>
      <c r="F69" s="156"/>
      <c r="G69" s="156"/>
      <c r="J69" s="164"/>
    </row>
    <row r="70" spans="1:10" ht="12" customHeight="1" thickBot="1" x14ac:dyDescent="0.2">
      <c r="A70" s="34" t="s">
        <v>1140</v>
      </c>
      <c r="C70" s="34" t="s">
        <v>745</v>
      </c>
      <c r="D70" s="199"/>
      <c r="F70" s="156"/>
      <c r="G70" s="156"/>
      <c r="J70" s="164"/>
    </row>
    <row r="71" spans="1:10" ht="12" thickTop="1" thickBot="1" x14ac:dyDescent="0.2">
      <c r="A71" s="159" t="s">
        <v>1043</v>
      </c>
      <c r="B71" s="201" t="s">
        <v>626</v>
      </c>
      <c r="C71" s="2" t="s">
        <v>303</v>
      </c>
      <c r="D71" s="114"/>
      <c r="E71" s="573">
        <v>0</v>
      </c>
      <c r="F71" s="573">
        <v>0</v>
      </c>
      <c r="G71" s="573">
        <v>0</v>
      </c>
      <c r="H71" s="573">
        <v>0</v>
      </c>
      <c r="I71" s="573">
        <v>0</v>
      </c>
      <c r="J71" s="528">
        <f>+H71+I71</f>
        <v>0</v>
      </c>
    </row>
    <row r="72" spans="1:10" ht="11.25" thickTop="1" x14ac:dyDescent="0.15">
      <c r="C72" s="114"/>
      <c r="D72" s="114"/>
      <c r="F72" s="156"/>
      <c r="G72" s="156"/>
      <c r="J72" s="164"/>
    </row>
    <row r="73" spans="1:10" x14ac:dyDescent="0.15">
      <c r="B73" s="21" t="s">
        <v>265</v>
      </c>
      <c r="C73" s="114"/>
      <c r="D73" s="34"/>
      <c r="F73" s="156"/>
      <c r="G73" s="156"/>
      <c r="J73" s="164"/>
    </row>
    <row r="74" spans="1:10" x14ac:dyDescent="0.15">
      <c r="A74" s="34" t="s">
        <v>1140</v>
      </c>
      <c r="C74" s="34" t="s">
        <v>462</v>
      </c>
      <c r="D74" s="199"/>
      <c r="F74" s="156"/>
      <c r="G74" s="156"/>
      <c r="J74" s="164"/>
    </row>
    <row r="75" spans="1:10" x14ac:dyDescent="0.15">
      <c r="A75" s="365"/>
      <c r="C75" s="192"/>
      <c r="D75" s="199"/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92">
        <f t="shared" ref="J75:J84" si="7">H75+I75</f>
        <v>0</v>
      </c>
    </row>
    <row r="76" spans="1:10" x14ac:dyDescent="0.15">
      <c r="A76" s="365"/>
      <c r="C76" s="192"/>
      <c r="D76" s="199"/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92">
        <f t="shared" si="7"/>
        <v>0</v>
      </c>
    </row>
    <row r="77" spans="1:10" x14ac:dyDescent="0.15">
      <c r="A77" s="365"/>
      <c r="C77" s="192"/>
      <c r="D77" s="199"/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92">
        <f t="shared" si="7"/>
        <v>0</v>
      </c>
    </row>
    <row r="78" spans="1:10" x14ac:dyDescent="0.15">
      <c r="A78" s="365"/>
      <c r="C78" s="192"/>
      <c r="D78" s="199"/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92">
        <f t="shared" si="7"/>
        <v>0</v>
      </c>
    </row>
    <row r="79" spans="1:10" x14ac:dyDescent="0.15">
      <c r="A79" s="365"/>
      <c r="C79" s="192"/>
      <c r="D79" s="199"/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92">
        <f t="shared" si="7"/>
        <v>0</v>
      </c>
    </row>
    <row r="80" spans="1:10" x14ac:dyDescent="0.15">
      <c r="A80" s="365"/>
      <c r="C80" s="192"/>
      <c r="D80" s="199"/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92">
        <f t="shared" si="7"/>
        <v>0</v>
      </c>
    </row>
    <row r="81" spans="1:10" x14ac:dyDescent="0.15">
      <c r="A81" s="365"/>
      <c r="C81" s="192"/>
      <c r="D81" s="199"/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92">
        <f t="shared" si="7"/>
        <v>0</v>
      </c>
    </row>
    <row r="82" spans="1:10" x14ac:dyDescent="0.15">
      <c r="A82" s="365"/>
      <c r="C82" s="192"/>
      <c r="D82" s="199"/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92">
        <f t="shared" si="7"/>
        <v>0</v>
      </c>
    </row>
    <row r="83" spans="1:10" x14ac:dyDescent="0.15">
      <c r="A83" s="365"/>
      <c r="C83" s="192"/>
      <c r="D83" s="199"/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92">
        <f t="shared" si="7"/>
        <v>0</v>
      </c>
    </row>
    <row r="84" spans="1:10" x14ac:dyDescent="0.15">
      <c r="A84" s="365"/>
      <c r="C84" s="192"/>
      <c r="D84" s="114"/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92">
        <f t="shared" si="7"/>
        <v>0</v>
      </c>
    </row>
    <row r="85" spans="1:10" ht="11.25" thickBot="1" x14ac:dyDescent="0.2">
      <c r="C85" s="114"/>
      <c r="D85" s="114"/>
      <c r="F85" s="156"/>
      <c r="G85" s="156"/>
      <c r="J85" s="164"/>
    </row>
    <row r="86" spans="1:10" ht="12" thickTop="1" thickBot="1" x14ac:dyDescent="0.2">
      <c r="C86" s="114" t="s">
        <v>266</v>
      </c>
      <c r="D86" s="114"/>
      <c r="E86" s="190">
        <f t="shared" ref="E86:J86" si="8">SUM(E75:E85)</f>
        <v>0</v>
      </c>
      <c r="F86" s="190">
        <f t="shared" si="8"/>
        <v>0</v>
      </c>
      <c r="G86" s="190">
        <f t="shared" si="8"/>
        <v>0</v>
      </c>
      <c r="H86" s="190">
        <f t="shared" si="8"/>
        <v>0</v>
      </c>
      <c r="I86" s="190">
        <f t="shared" si="8"/>
        <v>0</v>
      </c>
      <c r="J86" s="528">
        <f t="shared" si="8"/>
        <v>0</v>
      </c>
    </row>
    <row r="87" spans="1:10" ht="21.75" customHeight="1" thickTop="1" thickBot="1" x14ac:dyDescent="0.2">
      <c r="C87" s="114"/>
      <c r="D87" s="193"/>
      <c r="F87" s="156"/>
      <c r="G87" s="156"/>
      <c r="J87" s="164"/>
    </row>
    <row r="88" spans="1:10" ht="11.25" thickBot="1" x14ac:dyDescent="0.2">
      <c r="A88" s="729" t="s">
        <v>746</v>
      </c>
      <c r="B88" s="729"/>
      <c r="C88" s="729"/>
      <c r="D88" s="114"/>
      <c r="E88" s="168">
        <f t="shared" ref="E88:J88" si="9">E6+E67+E71+E86</f>
        <v>0</v>
      </c>
      <c r="F88" s="168">
        <f t="shared" si="9"/>
        <v>0</v>
      </c>
      <c r="G88" s="168">
        <f t="shared" si="9"/>
        <v>0</v>
      </c>
      <c r="H88" s="168">
        <f t="shared" si="9"/>
        <v>0</v>
      </c>
      <c r="I88" s="168">
        <f t="shared" si="9"/>
        <v>0</v>
      </c>
      <c r="J88" s="168">
        <f t="shared" si="9"/>
        <v>0</v>
      </c>
    </row>
    <row r="89" spans="1:10" x14ac:dyDescent="0.15">
      <c r="C89" s="114"/>
      <c r="D89" s="114"/>
      <c r="F89" s="156"/>
      <c r="G89" s="156"/>
      <c r="J89" s="164"/>
    </row>
    <row r="90" spans="1:10" x14ac:dyDescent="0.15">
      <c r="A90" s="563" t="s">
        <v>290</v>
      </c>
      <c r="B90" s="413"/>
      <c r="C90" s="427" t="s">
        <v>286</v>
      </c>
      <c r="D90" s="412"/>
      <c r="E90" s="412"/>
      <c r="F90" s="412"/>
      <c r="G90" s="412"/>
      <c r="H90" s="412"/>
      <c r="I90" s="176"/>
      <c r="J90" s="164"/>
    </row>
    <row r="91" spans="1:10" x14ac:dyDescent="0.15">
      <c r="A91" s="562" t="s">
        <v>1043</v>
      </c>
      <c r="B91" s="433" t="s">
        <v>766</v>
      </c>
      <c r="C91" s="2" t="s">
        <v>984</v>
      </c>
      <c r="E91" s="40">
        <v>0</v>
      </c>
      <c r="F91" s="40">
        <v>0</v>
      </c>
      <c r="G91" s="40">
        <v>0</v>
      </c>
      <c r="H91" s="40">
        <v>0</v>
      </c>
      <c r="I91" s="463">
        <v>0</v>
      </c>
      <c r="J91" s="464">
        <f>SUM(H91+I91)</f>
        <v>0</v>
      </c>
    </row>
    <row r="92" spans="1:10" x14ac:dyDescent="0.15">
      <c r="A92" s="423"/>
      <c r="B92" s="413"/>
      <c r="C92" s="412"/>
      <c r="D92" s="412"/>
      <c r="E92" s="412"/>
      <c r="F92" s="412"/>
      <c r="G92" s="412"/>
      <c r="H92" s="412"/>
      <c r="I92" s="412"/>
      <c r="J92" s="164"/>
    </row>
    <row r="93" spans="1:10" x14ac:dyDescent="0.15">
      <c r="C93" s="114"/>
      <c r="F93" s="156"/>
      <c r="G93" s="156"/>
      <c r="J93" s="164"/>
    </row>
    <row r="94" spans="1:10" x14ac:dyDescent="0.15">
      <c r="A94" s="18"/>
      <c r="C94" s="205" t="s">
        <v>1136</v>
      </c>
      <c r="D94" s="34"/>
      <c r="F94" s="156"/>
      <c r="G94" s="8"/>
      <c r="J94" s="164"/>
    </row>
    <row r="95" spans="1:10" x14ac:dyDescent="0.15">
      <c r="A95" s="34" t="s">
        <v>1140</v>
      </c>
      <c r="B95" s="156"/>
      <c r="C95" s="34" t="s">
        <v>590</v>
      </c>
      <c r="D95" s="39"/>
      <c r="F95" s="156"/>
      <c r="G95" s="8"/>
      <c r="J95" s="164"/>
    </row>
    <row r="96" spans="1:10" x14ac:dyDescent="0.15">
      <c r="C96" s="39" t="s">
        <v>1141</v>
      </c>
      <c r="D96" s="114"/>
      <c r="F96" s="174"/>
      <c r="G96" s="156"/>
      <c r="J96" s="164"/>
    </row>
    <row r="97" spans="1:10" x14ac:dyDescent="0.15">
      <c r="A97" s="369" t="e">
        <f>HLOOKUP(201,'Fund 20 Grants'!$D$2:$W$3,2,FALSE)</f>
        <v>#N/A</v>
      </c>
      <c r="B97" s="370"/>
      <c r="C97" s="371" t="e">
        <f>HLOOKUP(201,'Fund 20 Grants'!$D$2:$W$4,3,FALSE)</f>
        <v>#N/A</v>
      </c>
      <c r="D97" s="114"/>
      <c r="E97" s="40">
        <v>0</v>
      </c>
      <c r="F97" s="40">
        <v>0</v>
      </c>
      <c r="G97" s="40">
        <v>0</v>
      </c>
      <c r="H97" s="373">
        <f>IF(ISERROR(HLOOKUP(201,'Fund 20 Grants'!$D$2:$W$113,112,FALSE)),0,(HLOOKUP(201,'Fund 20 Grants'!$D$2:$W$113,112,FALSE)))</f>
        <v>0</v>
      </c>
      <c r="I97" s="40">
        <v>0</v>
      </c>
      <c r="J97" s="492">
        <f t="shared" ref="J97:J108" si="10">H97+I97</f>
        <v>0</v>
      </c>
    </row>
    <row r="98" spans="1:10" x14ac:dyDescent="0.15">
      <c r="A98" s="369" t="e">
        <f>HLOOKUP(202,'Fund 20 Grants'!$D$2:$W$3,2,FALSE)</f>
        <v>#N/A</v>
      </c>
      <c r="B98" s="370"/>
      <c r="C98" s="371" t="e">
        <f>HLOOKUP(202,'Fund 20 Grants'!$D$2:$W$4,3,FALSE)</f>
        <v>#N/A</v>
      </c>
      <c r="D98" s="114"/>
      <c r="E98" s="40">
        <v>0</v>
      </c>
      <c r="F98" s="40">
        <v>0</v>
      </c>
      <c r="G98" s="40">
        <v>0</v>
      </c>
      <c r="H98" s="373">
        <f>IF(ISERROR(HLOOKUP(202,'Fund 20 Grants'!$D$2:$W$13,112,FALSE)),0,(HLOOKUP(202,'Fund 20 Grants'!$D$2:$W$113,112,FALSE)))</f>
        <v>0</v>
      </c>
      <c r="I98" s="40">
        <v>0</v>
      </c>
      <c r="J98" s="492">
        <f t="shared" si="10"/>
        <v>0</v>
      </c>
    </row>
    <row r="99" spans="1:10" x14ac:dyDescent="0.15">
      <c r="A99" s="369" t="e">
        <f>HLOOKUP(203,'Fund 20 Grants'!$D$2:$W$3,2,FALSE)</f>
        <v>#N/A</v>
      </c>
      <c r="B99" s="370"/>
      <c r="C99" s="371" t="e">
        <f>HLOOKUP(203,'Fund 20 Grants'!$D$2:$W$4,3,FALSE)</f>
        <v>#N/A</v>
      </c>
      <c r="D99" s="114"/>
      <c r="E99" s="40">
        <v>0</v>
      </c>
      <c r="F99" s="40">
        <v>0</v>
      </c>
      <c r="G99" s="40">
        <v>0</v>
      </c>
      <c r="H99" s="373">
        <f>IF(ISERROR(HLOOKUP(203,'Fund 20 Grants'!$D$2:$W$113,12,FALSE)),0,(HLOOKUP(203,'Fund 20 Grants'!$D$2:$W$113,112,FALSE)))</f>
        <v>0</v>
      </c>
      <c r="I99" s="40">
        <v>0</v>
      </c>
      <c r="J99" s="492">
        <f t="shared" si="10"/>
        <v>0</v>
      </c>
    </row>
    <row r="100" spans="1:10" x14ac:dyDescent="0.15">
      <c r="A100" s="369" t="e">
        <f>HLOOKUP(204,'Fund 20 Grants'!$D$2:$W$3,2,FALSE)</f>
        <v>#N/A</v>
      </c>
      <c r="B100" s="370"/>
      <c r="C100" s="371" t="e">
        <f>HLOOKUP(204,'Fund 20 Grants'!$D$2:$W$4,3,FALSE)</f>
        <v>#N/A</v>
      </c>
      <c r="D100" s="114"/>
      <c r="E100" s="40">
        <v>0</v>
      </c>
      <c r="F100" s="40">
        <v>0</v>
      </c>
      <c r="G100" s="40">
        <v>0</v>
      </c>
      <c r="H100" s="373">
        <f>IF(ISERROR(HLOOKUP(204,'Fund 20 Grants'!$D$2:$W$113,112,FALSE)),0,(HLOOKUP(204,'Fund 20 Grants'!$D$2:$W$113,112,FALSE)))</f>
        <v>0</v>
      </c>
      <c r="I100" s="40">
        <v>0</v>
      </c>
      <c r="J100" s="492">
        <f t="shared" si="10"/>
        <v>0</v>
      </c>
    </row>
    <row r="101" spans="1:10" x14ac:dyDescent="0.15">
      <c r="A101" s="369" t="e">
        <f>HLOOKUP(205,'Fund 20 Grants'!$D$2:$W$3,2,FALSE)</f>
        <v>#N/A</v>
      </c>
      <c r="B101" s="370"/>
      <c r="C101" s="371" t="e">
        <f>HLOOKUP(205,'Fund 20 Grants'!$D$2:$W$4,3,FALSE)</f>
        <v>#N/A</v>
      </c>
      <c r="D101" s="114"/>
      <c r="E101" s="40">
        <v>0</v>
      </c>
      <c r="F101" s="40">
        <v>0</v>
      </c>
      <c r="G101" s="40">
        <v>0</v>
      </c>
      <c r="H101" s="373">
        <f>IF(ISERROR(HLOOKUP(205,'Fund 20 Grants'!$D$2:$W$113,112,FALSE)),0,(HLOOKUP(205,'Fund 20 Grants'!$D$2:$W$113,112,FALSE)))</f>
        <v>0</v>
      </c>
      <c r="I101" s="40">
        <v>0</v>
      </c>
      <c r="J101" s="492">
        <f t="shared" si="10"/>
        <v>0</v>
      </c>
    </row>
    <row r="102" spans="1:10" x14ac:dyDescent="0.15">
      <c r="A102" s="369" t="e">
        <f>HLOOKUP(206,'Fund 20 Grants'!$D$2:$W$3,2,FALSE)</f>
        <v>#N/A</v>
      </c>
      <c r="B102" s="370"/>
      <c r="C102" s="371" t="e">
        <f>HLOOKUP(206,'Fund 20 Grants'!$D$2:$W$4,3,FALSE)</f>
        <v>#N/A</v>
      </c>
      <c r="D102" s="114"/>
      <c r="E102" s="40">
        <v>0</v>
      </c>
      <c r="F102" s="40">
        <v>0</v>
      </c>
      <c r="G102" s="40">
        <v>0</v>
      </c>
      <c r="H102" s="373">
        <f>IF(ISERROR(HLOOKUP(206,'Fund 20 Grants'!$D$2:$W$113,112,FALSE)),0,(HLOOKUP(206,'Fund 20 Grants'!$D$2:$W$113,112,FALSE)))</f>
        <v>0</v>
      </c>
      <c r="I102" s="40">
        <v>0</v>
      </c>
      <c r="J102" s="492">
        <f t="shared" si="10"/>
        <v>0</v>
      </c>
    </row>
    <row r="103" spans="1:10" x14ac:dyDescent="0.15">
      <c r="A103" s="369" t="e">
        <f>HLOOKUP(207,'Fund 20 Grants'!$D$2:$W$3,2,FALSE)</f>
        <v>#N/A</v>
      </c>
      <c r="B103" s="370"/>
      <c r="C103" s="371" t="e">
        <f>HLOOKUP(207,'Fund 20 Grants'!$D$2:$W$4,3,FALSE)</f>
        <v>#N/A</v>
      </c>
      <c r="D103" s="114"/>
      <c r="E103" s="40">
        <v>0</v>
      </c>
      <c r="F103" s="40">
        <v>0</v>
      </c>
      <c r="G103" s="40">
        <v>0</v>
      </c>
      <c r="H103" s="373">
        <f>IF(ISERROR(HLOOKUP(207,'Fund 20 Grants'!$D$2:$W$113,112,FALSE)),0,(HLOOKUP(207,'Fund 20 Grants'!$D$2:$W$113,112,FALSE)))</f>
        <v>0</v>
      </c>
      <c r="I103" s="40">
        <v>0</v>
      </c>
      <c r="J103" s="492">
        <f t="shared" si="10"/>
        <v>0</v>
      </c>
    </row>
    <row r="104" spans="1:10" x14ac:dyDescent="0.15">
      <c r="A104" s="369" t="e">
        <f>HLOOKUP(208,'Fund 20 Grants'!$D$2:$W$3,2,FALSE)</f>
        <v>#N/A</v>
      </c>
      <c r="B104" s="370"/>
      <c r="C104" s="371" t="e">
        <f>HLOOKUP(208,'Fund 20 Grants'!$D$2:$W$4,3,FALSE)</f>
        <v>#N/A</v>
      </c>
      <c r="D104" s="114"/>
      <c r="E104" s="40">
        <v>0</v>
      </c>
      <c r="F104" s="40">
        <v>0</v>
      </c>
      <c r="G104" s="40">
        <v>0</v>
      </c>
      <c r="H104" s="373">
        <f>IF(ISERROR(HLOOKUP(208,'Fund 20 Grants'!$D$2:$W$113,112,FALSE)),0,(HLOOKUP(208,'Fund 20 Grants'!$D$2:$W$113,112,FALSE)))</f>
        <v>0</v>
      </c>
      <c r="I104" s="40">
        <v>0</v>
      </c>
      <c r="J104" s="492">
        <f t="shared" si="10"/>
        <v>0</v>
      </c>
    </row>
    <row r="105" spans="1:10" x14ac:dyDescent="0.15">
      <c r="A105" s="369" t="e">
        <f>HLOOKUP(209,'Fund 20 Grants'!$D$2:$W$3,2,FALSE)</f>
        <v>#N/A</v>
      </c>
      <c r="B105" s="370"/>
      <c r="C105" s="371" t="e">
        <f>HLOOKUP(209,'Fund 20 Grants'!$D$2:$W$4,3,FALSE)</f>
        <v>#N/A</v>
      </c>
      <c r="D105" s="191"/>
      <c r="E105" s="40">
        <v>0</v>
      </c>
      <c r="F105" s="40">
        <v>0</v>
      </c>
      <c r="G105" s="40">
        <v>0</v>
      </c>
      <c r="H105" s="373">
        <f>IF(ISERROR(HLOOKUP(209,'Fund 20 Grants'!$D$2:$W$113,112,FALSE)),0,(HLOOKUP(209,'Fund 20 Grants'!$D$2:$W$113,112,FALSE)))</f>
        <v>0</v>
      </c>
      <c r="I105" s="40">
        <v>0</v>
      </c>
      <c r="J105" s="492">
        <f t="shared" si="10"/>
        <v>0</v>
      </c>
    </row>
    <row r="106" spans="1:10" x14ac:dyDescent="0.15">
      <c r="A106" s="369" t="e">
        <f>HLOOKUP(210,'Fund 20 Grants'!$D$2:$W$3,2,FALSE)</f>
        <v>#N/A</v>
      </c>
      <c r="B106" s="370"/>
      <c r="C106" s="371" t="e">
        <f>HLOOKUP(210,'Fund 20 Grants'!$D$2:$W$4,3,FALSE)</f>
        <v>#N/A</v>
      </c>
      <c r="D106" s="114"/>
      <c r="E106" s="40">
        <v>0</v>
      </c>
      <c r="F106" s="40">
        <v>0</v>
      </c>
      <c r="G106" s="40">
        <v>0</v>
      </c>
      <c r="H106" s="373">
        <f>IF(ISERROR(HLOOKUP(210,'Fund 20 Grants'!$D$2:$W$113,112,FALSE)),0,(HLOOKUP(210,'Fund 20 Grants'!$D$2:$W$113,112,FALSE)))</f>
        <v>0</v>
      </c>
      <c r="I106" s="40">
        <v>0</v>
      </c>
      <c r="J106" s="492">
        <f t="shared" si="10"/>
        <v>0</v>
      </c>
    </row>
    <row r="107" spans="1:10" x14ac:dyDescent="0.15">
      <c r="A107" s="369" t="e">
        <f>HLOOKUP(211,'Fund 20 Grants'!$D$2:$W$3,2,FALSE)</f>
        <v>#N/A</v>
      </c>
      <c r="B107" s="370"/>
      <c r="C107" s="371" t="e">
        <f>HLOOKUP(211,'Fund 20 Grants'!$D$2:$W$4,3,FALSE)</f>
        <v>#N/A</v>
      </c>
      <c r="D107" s="191"/>
      <c r="E107" s="40">
        <v>0</v>
      </c>
      <c r="F107" s="40">
        <v>0</v>
      </c>
      <c r="G107" s="40">
        <v>0</v>
      </c>
      <c r="H107" s="373">
        <f>IF(ISERROR(HLOOKUP(211,'Fund 20 Grants'!$D$2:$W$113,112,FALSE)),0,(HLOOKUP(211,'Fund 20 Grants'!$D$2:$W$113,112,FALSE)))</f>
        <v>0</v>
      </c>
      <c r="I107" s="40">
        <v>0</v>
      </c>
      <c r="J107" s="492">
        <f t="shared" si="10"/>
        <v>0</v>
      </c>
    </row>
    <row r="108" spans="1:10" x14ac:dyDescent="0.15">
      <c r="A108" s="369" t="e">
        <f>HLOOKUP(212,'Fund 20 Grants'!$D$2:$W$3,2,FALSE)</f>
        <v>#N/A</v>
      </c>
      <c r="B108" s="370"/>
      <c r="C108" s="371" t="e">
        <f>HLOOKUP(212,'Fund 20 Grants'!$D$2:$W$4,3,FALSE)</f>
        <v>#N/A</v>
      </c>
      <c r="E108" s="40">
        <v>0</v>
      </c>
      <c r="F108" s="40">
        <v>0</v>
      </c>
      <c r="G108" s="40">
        <v>0</v>
      </c>
      <c r="H108" s="373">
        <f>IF(ISERROR(HLOOKUP(212,'Fund 20 Grants'!$D$2:$W$113,112,FALSE)),0,(HLOOKUP(212,'Fund 20 Grants'!$D$2:$W$113,112,FALSE)))</f>
        <v>0</v>
      </c>
      <c r="I108" s="40">
        <v>0</v>
      </c>
      <c r="J108" s="492">
        <f t="shared" si="10"/>
        <v>0</v>
      </c>
    </row>
    <row r="109" spans="1:10" ht="11.25" thickBot="1" x14ac:dyDescent="0.2">
      <c r="A109" s="149"/>
      <c r="B109" s="164"/>
      <c r="D109" s="114"/>
      <c r="E109" s="14"/>
      <c r="F109" s="14"/>
      <c r="G109" s="14"/>
      <c r="H109" s="14"/>
      <c r="J109" s="164"/>
    </row>
    <row r="110" spans="1:10" ht="12" thickTop="1" thickBot="1" x14ac:dyDescent="0.2">
      <c r="C110" s="114" t="s">
        <v>803</v>
      </c>
      <c r="E110" s="166">
        <f t="shared" ref="E110:J110" si="11">SUM(E97:E108)</f>
        <v>0</v>
      </c>
      <c r="F110" s="166">
        <f t="shared" si="11"/>
        <v>0</v>
      </c>
      <c r="G110" s="166">
        <f t="shared" si="11"/>
        <v>0</v>
      </c>
      <c r="H110" s="166">
        <f t="shared" si="11"/>
        <v>0</v>
      </c>
      <c r="I110" s="166">
        <f t="shared" si="11"/>
        <v>0</v>
      </c>
      <c r="J110" s="166">
        <f t="shared" si="11"/>
        <v>0</v>
      </c>
    </row>
    <row r="111" spans="1:10" ht="11.25" thickTop="1" x14ac:dyDescent="0.15">
      <c r="F111" s="156"/>
      <c r="G111" s="156"/>
      <c r="J111" s="164"/>
    </row>
    <row r="112" spans="1:10" x14ac:dyDescent="0.15">
      <c r="B112" s="39" t="s">
        <v>586</v>
      </c>
      <c r="D112" s="34"/>
      <c r="F112" s="156"/>
      <c r="G112" s="156"/>
      <c r="J112" s="164"/>
    </row>
    <row r="113" spans="1:10" x14ac:dyDescent="0.15">
      <c r="A113" s="34" t="s">
        <v>1140</v>
      </c>
      <c r="B113" s="156"/>
      <c r="C113" s="34" t="s">
        <v>589</v>
      </c>
      <c r="D113" s="34"/>
      <c r="F113" s="156"/>
      <c r="G113" s="156"/>
      <c r="J113" s="164"/>
    </row>
    <row r="114" spans="1:10" x14ac:dyDescent="0.15">
      <c r="A114" s="34"/>
      <c r="B114" s="156"/>
      <c r="C114" s="39" t="s">
        <v>44</v>
      </c>
      <c r="D114" s="175"/>
      <c r="F114" s="156"/>
      <c r="G114" s="156"/>
      <c r="J114" s="164"/>
    </row>
    <row r="115" spans="1:10" x14ac:dyDescent="0.15">
      <c r="A115" s="369" t="e">
        <f>HLOOKUP(301,'Fund 20 Grants'!$D$2:$W$3,2,FALSE)</f>
        <v>#N/A</v>
      </c>
      <c r="B115" s="370"/>
      <c r="C115" s="371" t="e">
        <f>HLOOKUP(301,'Fund 20 Grants'!$D$2:$W$4,3,FALSE)</f>
        <v>#N/A</v>
      </c>
      <c r="D115" s="175"/>
      <c r="E115" s="40">
        <v>0</v>
      </c>
      <c r="F115" s="40">
        <v>0</v>
      </c>
      <c r="G115" s="40">
        <v>0</v>
      </c>
      <c r="H115" s="373">
        <f>IF(ISERROR(HLOOKUP(301,'Fund 20 Grants'!$D$2:$W$113,112,FALSE)),0,(HLOOKUP(301,'Fund 20 Grants'!$D$2:$W$113,112,FALSE)))</f>
        <v>0</v>
      </c>
      <c r="I115" s="40">
        <v>0</v>
      </c>
      <c r="J115" s="492">
        <f t="shared" ref="J115:J134" si="12">H115+I115</f>
        <v>0</v>
      </c>
    </row>
    <row r="116" spans="1:10" x14ac:dyDescent="0.15">
      <c r="A116" s="369" t="e">
        <f>HLOOKUP(302,'Fund 20 Grants'!$D$2:$W$3,2,FALSE)</f>
        <v>#N/A</v>
      </c>
      <c r="B116" s="370"/>
      <c r="C116" s="371" t="e">
        <f>HLOOKUP(302,'Fund 20 Grants'!$D$2:$W$4,3,FALSE)</f>
        <v>#N/A</v>
      </c>
      <c r="D116" s="175"/>
      <c r="E116" s="40">
        <v>0</v>
      </c>
      <c r="F116" s="40">
        <v>0</v>
      </c>
      <c r="G116" s="40">
        <v>0</v>
      </c>
      <c r="H116" s="373">
        <f>IF(ISERROR(HLOOKUP(302,'Fund 20 Grants'!$D$2:$W$113,112,FALSE)),0,(HLOOKUP(302,'Fund 20 Grants'!$D$2:$W$113,112,FALSE)))</f>
        <v>0</v>
      </c>
      <c r="I116" s="40">
        <v>0</v>
      </c>
      <c r="J116" s="492">
        <f t="shared" si="12"/>
        <v>0</v>
      </c>
    </row>
    <row r="117" spans="1:10" x14ac:dyDescent="0.15">
      <c r="A117" s="369" t="e">
        <f>HLOOKUP(303,'Fund 20 Grants'!$D$2:$W$3,2,FALSE)</f>
        <v>#N/A</v>
      </c>
      <c r="B117" s="370"/>
      <c r="C117" s="371" t="e">
        <f>HLOOKUP(303,'Fund 20 Grants'!$D$2:$W$4,3,FALSE)</f>
        <v>#N/A</v>
      </c>
      <c r="D117" s="175"/>
      <c r="E117" s="40">
        <v>0</v>
      </c>
      <c r="F117" s="40">
        <v>0</v>
      </c>
      <c r="G117" s="40">
        <v>0</v>
      </c>
      <c r="H117" s="373">
        <f>IF(ISERROR(HLOOKUP(303,'Fund 20 Grants'!$D$2:$W$113,112,FALSE)),0,(HLOOKUP(303,'Fund 20 Grants'!$D$2:$W$113,112,FALSE)))</f>
        <v>0</v>
      </c>
      <c r="I117" s="40">
        <v>0</v>
      </c>
      <c r="J117" s="492">
        <f t="shared" si="12"/>
        <v>0</v>
      </c>
    </row>
    <row r="118" spans="1:10" x14ac:dyDescent="0.15">
      <c r="A118" s="369" t="e">
        <f>HLOOKUP(304,'Fund 20 Grants'!$D$2:$W$3,2,FALSE)</f>
        <v>#N/A</v>
      </c>
      <c r="B118" s="370"/>
      <c r="C118" s="371" t="e">
        <f>HLOOKUP(304,'Fund 20 Grants'!$D$2:$W$4,3,FALSE)</f>
        <v>#N/A</v>
      </c>
      <c r="D118" s="175"/>
      <c r="E118" s="40">
        <v>0</v>
      </c>
      <c r="F118" s="40">
        <v>0</v>
      </c>
      <c r="G118" s="40">
        <v>0</v>
      </c>
      <c r="H118" s="373">
        <f>IF(ISERROR(HLOOKUP(304,'Fund 20 Grants'!$D$2:$W$113,112,FALSE)),0,(HLOOKUP(304,'Fund 20 Grants'!$D$2:$W$113,112,FALSE)))</f>
        <v>0</v>
      </c>
      <c r="I118" s="40">
        <v>0</v>
      </c>
      <c r="J118" s="492">
        <f t="shared" si="12"/>
        <v>0</v>
      </c>
    </row>
    <row r="119" spans="1:10" x14ac:dyDescent="0.15">
      <c r="A119" s="369" t="e">
        <f>HLOOKUP(305,'Fund 20 Grants'!$D$2:$W$3,2,FALSE)</f>
        <v>#N/A</v>
      </c>
      <c r="B119" s="370"/>
      <c r="C119" s="371" t="e">
        <f>HLOOKUP(305,'Fund 20 Grants'!$D$2:$W$4,3,FALSE)</f>
        <v>#N/A</v>
      </c>
      <c r="D119" s="175"/>
      <c r="E119" s="40">
        <v>0</v>
      </c>
      <c r="F119" s="40">
        <v>0</v>
      </c>
      <c r="G119" s="40">
        <v>0</v>
      </c>
      <c r="H119" s="373">
        <f>IF(ISERROR(HLOOKUP(305,'Fund 20 Grants'!$D$2:$W$113,112,FALSE)),0,(HLOOKUP(305,'Fund 20 Grants'!$D$2:$W$113,112,FALSE)))</f>
        <v>0</v>
      </c>
      <c r="I119" s="40">
        <v>0</v>
      </c>
      <c r="J119" s="492">
        <f t="shared" si="12"/>
        <v>0</v>
      </c>
    </row>
    <row r="120" spans="1:10" x14ac:dyDescent="0.15">
      <c r="A120" s="369" t="e">
        <f>HLOOKUP(306,'Fund 20 Grants'!$D$2:$W$3,2,FALSE)</f>
        <v>#N/A</v>
      </c>
      <c r="B120" s="370"/>
      <c r="C120" s="371" t="e">
        <f>HLOOKUP(306,'Fund 20 Grants'!$D$2:$W$4,3,FALSE)</f>
        <v>#N/A</v>
      </c>
      <c r="D120" s="175"/>
      <c r="E120" s="40">
        <v>0</v>
      </c>
      <c r="F120" s="40">
        <v>0</v>
      </c>
      <c r="G120" s="40">
        <v>0</v>
      </c>
      <c r="H120" s="373">
        <f>IF(ISERROR(HLOOKUP(306,'Fund 20 Grants'!$D$2:$W$113,112,FALSE)),0,(HLOOKUP(306,'Fund 20 Grants'!$D$2:$W$113,112,FALSE)))</f>
        <v>0</v>
      </c>
      <c r="I120" s="40">
        <v>0</v>
      </c>
      <c r="J120" s="492">
        <f t="shared" si="12"/>
        <v>0</v>
      </c>
    </row>
    <row r="121" spans="1:10" x14ac:dyDescent="0.15">
      <c r="A121" s="369" t="e">
        <f>HLOOKUP(307,'Fund 20 Grants'!$D$2:$W$3,2,FALSE)</f>
        <v>#N/A</v>
      </c>
      <c r="B121" s="370"/>
      <c r="C121" s="371" t="e">
        <f>HLOOKUP(307,'Fund 20 Grants'!$D$2:$W$4,3,FALSE)</f>
        <v>#N/A</v>
      </c>
      <c r="D121" s="175"/>
      <c r="E121" s="40">
        <v>0</v>
      </c>
      <c r="F121" s="40">
        <v>0</v>
      </c>
      <c r="G121" s="40">
        <v>0</v>
      </c>
      <c r="H121" s="373">
        <f>IF(ISERROR(HLOOKUP(307,'Fund 20 Grants'!$D$2:$W$113,112,FALSE)),0,(HLOOKUP(307,'Fund 20 Grants'!$D$2:$W$113,112,FALSE)))</f>
        <v>0</v>
      </c>
      <c r="I121" s="40">
        <v>0</v>
      </c>
      <c r="J121" s="492">
        <f t="shared" si="12"/>
        <v>0</v>
      </c>
    </row>
    <row r="122" spans="1:10" x14ac:dyDescent="0.15">
      <c r="A122" s="369" t="e">
        <f>HLOOKUP(308,'Fund 20 Grants'!$D$2:$W$3,2,FALSE)</f>
        <v>#N/A</v>
      </c>
      <c r="B122" s="370"/>
      <c r="C122" s="371" t="e">
        <f>HLOOKUP(308,'Fund 20 Grants'!$D$2:$W$4,3,FALSE)</f>
        <v>#N/A</v>
      </c>
      <c r="D122" s="175"/>
      <c r="E122" s="40">
        <v>0</v>
      </c>
      <c r="F122" s="40">
        <v>0</v>
      </c>
      <c r="G122" s="40">
        <v>0</v>
      </c>
      <c r="H122" s="373">
        <f>IF(ISERROR(HLOOKUP(308,'Fund 20 Grants'!$D$2:$W$113,112,FALSE)),0,(HLOOKUP(308,'Fund 20 Grants'!$D$2:$W$113,112,FALSE)))</f>
        <v>0</v>
      </c>
      <c r="I122" s="40">
        <v>0</v>
      </c>
      <c r="J122" s="492">
        <f t="shared" si="12"/>
        <v>0</v>
      </c>
    </row>
    <row r="123" spans="1:10" x14ac:dyDescent="0.15">
      <c r="A123" s="369" t="e">
        <f>HLOOKUP(309,'Fund 20 Grants'!$D$2:$W$3,2,FALSE)</f>
        <v>#N/A</v>
      </c>
      <c r="B123" s="370"/>
      <c r="C123" s="371" t="e">
        <f>HLOOKUP(309,'Fund 20 Grants'!$D$2:$W$4,3,FALSE)</f>
        <v>#N/A</v>
      </c>
      <c r="D123" s="175"/>
      <c r="E123" s="40">
        <v>0</v>
      </c>
      <c r="F123" s="40">
        <v>0</v>
      </c>
      <c r="G123" s="40">
        <v>0</v>
      </c>
      <c r="H123" s="373">
        <f>IF(ISERROR(HLOOKUP(309,'Fund 20 Grants'!$D$2:$W$113,112,FALSE)),0,(HLOOKUP(309,'Fund 20 Grants'!$D$2:$W$113,112,FALSE)))</f>
        <v>0</v>
      </c>
      <c r="I123" s="40">
        <v>0</v>
      </c>
      <c r="J123" s="492">
        <f t="shared" si="12"/>
        <v>0</v>
      </c>
    </row>
    <row r="124" spans="1:10" x14ac:dyDescent="0.15">
      <c r="A124" s="369" t="e">
        <f>HLOOKUP(310,'Fund 20 Grants'!$D$2:$W$3,2,FALSE)</f>
        <v>#N/A</v>
      </c>
      <c r="B124" s="370"/>
      <c r="C124" s="371" t="e">
        <f>HLOOKUP(310,'Fund 20 Grants'!$D$2:$W$4,3,FALSE)</f>
        <v>#N/A</v>
      </c>
      <c r="D124" s="175"/>
      <c r="E124" s="40">
        <v>0</v>
      </c>
      <c r="F124" s="40">
        <v>0</v>
      </c>
      <c r="G124" s="40">
        <v>0</v>
      </c>
      <c r="H124" s="373">
        <f>IF(ISERROR(HLOOKUP(310,'Fund 20 Grants'!$D$2:$W$113,112,FALSE)),0,(HLOOKUP(310,'Fund 20 Grants'!$D$2:$W$113,112,FALSE)))</f>
        <v>0</v>
      </c>
      <c r="I124" s="40">
        <v>0</v>
      </c>
      <c r="J124" s="492">
        <f t="shared" si="12"/>
        <v>0</v>
      </c>
    </row>
    <row r="125" spans="1:10" x14ac:dyDescent="0.15">
      <c r="A125" s="369" t="e">
        <f>HLOOKUP(311,'Fund 20 Grants'!$D$2:$W$3,2,FALSE)</f>
        <v>#N/A</v>
      </c>
      <c r="B125" s="370"/>
      <c r="C125" s="371" t="e">
        <f>HLOOKUP(311,'Fund 20 Grants'!$D$2:$W$4,3,FALSE)</f>
        <v>#N/A</v>
      </c>
      <c r="D125" s="175"/>
      <c r="E125" s="40">
        <v>0</v>
      </c>
      <c r="F125" s="40">
        <v>0</v>
      </c>
      <c r="G125" s="40">
        <v>0</v>
      </c>
      <c r="H125" s="373">
        <f>IF(ISERROR(HLOOKUP(311,'Fund 20 Grants'!$D$2:$W$113,112,FALSE)),0,(HLOOKUP(311,'Fund 20 Grants'!$D$2:$W$113,112,FALSE)))</f>
        <v>0</v>
      </c>
      <c r="I125" s="40">
        <v>0</v>
      </c>
      <c r="J125" s="492">
        <f t="shared" si="12"/>
        <v>0</v>
      </c>
    </row>
    <row r="126" spans="1:10" x14ac:dyDescent="0.15">
      <c r="A126" s="369" t="e">
        <f>HLOOKUP(312,'Fund 20 Grants'!$D$2:$W$3,2,FALSE)</f>
        <v>#N/A</v>
      </c>
      <c r="B126" s="370"/>
      <c r="C126" s="371" t="e">
        <f>HLOOKUP(312,'Fund 20 Grants'!$D$2:$W$4,3,FALSE)</f>
        <v>#N/A</v>
      </c>
      <c r="D126" s="175"/>
      <c r="E126" s="40">
        <v>0</v>
      </c>
      <c r="F126" s="40">
        <v>0</v>
      </c>
      <c r="G126" s="40">
        <v>0</v>
      </c>
      <c r="H126" s="373">
        <f>IF(ISERROR(HLOOKUP(312,'Fund 20 Grants'!$D$2:$W$113,112,FALSE)),0,(HLOOKUP(312,'Fund 20 Grants'!$D$2:$W$113,112,FALSE)))</f>
        <v>0</v>
      </c>
      <c r="I126" s="40">
        <v>0</v>
      </c>
      <c r="J126" s="492">
        <f t="shared" si="12"/>
        <v>0</v>
      </c>
    </row>
    <row r="127" spans="1:10" x14ac:dyDescent="0.15">
      <c r="A127" s="369" t="e">
        <f>HLOOKUP(313,'Fund 20 Grants'!$D$2:$W$3,2,FALSE)</f>
        <v>#N/A</v>
      </c>
      <c r="B127" s="370"/>
      <c r="C127" s="371" t="e">
        <f>HLOOKUP(313,'Fund 20 Grants'!$D$2:$W$4,3,FALSE)</f>
        <v>#N/A</v>
      </c>
      <c r="D127" s="175"/>
      <c r="E127" s="40">
        <v>0</v>
      </c>
      <c r="F127" s="40">
        <v>0</v>
      </c>
      <c r="G127" s="40">
        <v>0</v>
      </c>
      <c r="H127" s="373">
        <f>IF(ISERROR(HLOOKUP(313,'Fund 20 Grants'!$D$2:$W$113,112,FALSE)),0,(HLOOKUP(313,'Fund 20 Grants'!$D$2:$W$113,112,FALSE)))</f>
        <v>0</v>
      </c>
      <c r="I127" s="40">
        <v>0</v>
      </c>
      <c r="J127" s="492">
        <f t="shared" si="12"/>
        <v>0</v>
      </c>
    </row>
    <row r="128" spans="1:10" x14ac:dyDescent="0.15">
      <c r="A128" s="369" t="e">
        <f>HLOOKUP(314,'Fund 20 Grants'!$D$2:$W$3,2,FALSE)</f>
        <v>#N/A</v>
      </c>
      <c r="B128" s="370"/>
      <c r="C128" s="371" t="e">
        <f>HLOOKUP(314,'Fund 20 Grants'!$D$2:$W$4,3,FALSE)</f>
        <v>#N/A</v>
      </c>
      <c r="D128" s="175"/>
      <c r="E128" s="40">
        <v>0</v>
      </c>
      <c r="F128" s="40">
        <v>0</v>
      </c>
      <c r="G128" s="40">
        <v>0</v>
      </c>
      <c r="H128" s="373">
        <f>IF(ISERROR(HLOOKUP(314,'Fund 20 Grants'!$D$2:$W$113,112,FALSE)),0,(HLOOKUP(314,'Fund 20 Grants'!$D$2:$W$113,112,FALSE)))</f>
        <v>0</v>
      </c>
      <c r="I128" s="40">
        <v>0</v>
      </c>
      <c r="J128" s="492">
        <f t="shared" si="12"/>
        <v>0</v>
      </c>
    </row>
    <row r="129" spans="1:10" x14ac:dyDescent="0.15">
      <c r="A129" s="369" t="e">
        <f>HLOOKUP(315,'Fund 20 Grants'!$D$2:$W$3,2,FALSE)</f>
        <v>#N/A</v>
      </c>
      <c r="B129" s="370"/>
      <c r="C129" s="371" t="e">
        <f>HLOOKUP(315,'Fund 20 Grants'!$D$2:$W$4,3,FALSE)</f>
        <v>#N/A</v>
      </c>
      <c r="D129" s="175"/>
      <c r="E129" s="40">
        <v>0</v>
      </c>
      <c r="F129" s="40">
        <v>0</v>
      </c>
      <c r="G129" s="40">
        <v>0</v>
      </c>
      <c r="H129" s="373">
        <f>IF(ISERROR(HLOOKUP(315,'Fund 20 Grants'!$D$2:$W$113,112,FALSE)),0,(HLOOKUP(315,'Fund 20 Grants'!$D$2:$W$113,112,FALSE)))</f>
        <v>0</v>
      </c>
      <c r="I129" s="40">
        <v>0</v>
      </c>
      <c r="J129" s="492">
        <f t="shared" si="12"/>
        <v>0</v>
      </c>
    </row>
    <row r="130" spans="1:10" x14ac:dyDescent="0.15">
      <c r="A130" s="369" t="e">
        <f>HLOOKUP(316,'Fund 20 Grants'!$D$2:$W$3,2,FALSE)</f>
        <v>#N/A</v>
      </c>
      <c r="B130" s="370"/>
      <c r="C130" s="371" t="e">
        <f>HLOOKUP(316,'Fund 20 Grants'!$D$2:$W$4,3,FALSE)</f>
        <v>#N/A</v>
      </c>
      <c r="D130" s="175"/>
      <c r="E130" s="40">
        <v>0</v>
      </c>
      <c r="F130" s="40">
        <v>0</v>
      </c>
      <c r="G130" s="40">
        <v>0</v>
      </c>
      <c r="H130" s="373">
        <f>IF(ISERROR(HLOOKUP(316,'Fund 20 Grants'!$D$2:$W$113,112,FALSE)),0,(HLOOKUP(316,'Fund 20 Grants'!$D$2:$W$113,112,FALSE)))</f>
        <v>0</v>
      </c>
      <c r="I130" s="40">
        <v>0</v>
      </c>
      <c r="J130" s="492">
        <f t="shared" si="12"/>
        <v>0</v>
      </c>
    </row>
    <row r="131" spans="1:10" x14ac:dyDescent="0.15">
      <c r="A131" s="369" t="e">
        <f>HLOOKUP(317,'Fund 20 Grants'!$D$2:$W$3,2,FALSE)</f>
        <v>#N/A</v>
      </c>
      <c r="B131" s="370"/>
      <c r="C131" s="371" t="e">
        <f>HLOOKUP(317,'Fund 20 Grants'!$D$2:$W$4,3,FALSE)</f>
        <v>#N/A</v>
      </c>
      <c r="D131" s="175"/>
      <c r="E131" s="40">
        <v>0</v>
      </c>
      <c r="F131" s="40">
        <v>0</v>
      </c>
      <c r="G131" s="40">
        <v>0</v>
      </c>
      <c r="H131" s="373">
        <f>IF(ISERROR(HLOOKUP(317,'Fund 20 Grants'!$D$2:$W$113,112,FALSE)),0,(HLOOKUP(317,'Fund 20 Grants'!$D$2:$W$113,112,FALSE)))</f>
        <v>0</v>
      </c>
      <c r="I131" s="40">
        <v>0</v>
      </c>
      <c r="J131" s="492">
        <f t="shared" si="12"/>
        <v>0</v>
      </c>
    </row>
    <row r="132" spans="1:10" x14ac:dyDescent="0.15">
      <c r="A132" s="369" t="e">
        <f>HLOOKUP(318,'Fund 20 Grants'!$D$2:$W$3,2,FALSE)</f>
        <v>#N/A</v>
      </c>
      <c r="B132" s="370"/>
      <c r="C132" s="371" t="e">
        <f>HLOOKUP(318,'Fund 20 Grants'!$D$2:$W$4,3,FALSE)</f>
        <v>#N/A</v>
      </c>
      <c r="D132" s="175"/>
      <c r="E132" s="40">
        <v>0</v>
      </c>
      <c r="F132" s="40">
        <v>0</v>
      </c>
      <c r="G132" s="40">
        <v>0</v>
      </c>
      <c r="H132" s="373">
        <f>IF(ISERROR(HLOOKUP(318,'Fund 20 Grants'!$D$2:$W$113,112,FALSE)),0,(HLOOKUP(318,'Fund 20 Grants'!$D$2:$W$113,112,FALSE)))</f>
        <v>0</v>
      </c>
      <c r="I132" s="40">
        <v>0</v>
      </c>
      <c r="J132" s="492">
        <f t="shared" si="12"/>
        <v>0</v>
      </c>
    </row>
    <row r="133" spans="1:10" x14ac:dyDescent="0.15">
      <c r="A133" s="369" t="e">
        <f>HLOOKUP(319,'Fund 20 Grants'!$D$2:$W$3,2,FALSE)</f>
        <v>#N/A</v>
      </c>
      <c r="B133" s="370"/>
      <c r="C133" s="371" t="e">
        <f>HLOOKUP(319,'Fund 20 Grants'!$D$2:$W$4,3,FALSE)</f>
        <v>#N/A</v>
      </c>
      <c r="D133" s="191"/>
      <c r="E133" s="40">
        <v>0</v>
      </c>
      <c r="F133" s="40">
        <v>0</v>
      </c>
      <c r="G133" s="40">
        <v>0</v>
      </c>
      <c r="H133" s="373">
        <f>IF(ISERROR(HLOOKUP(319,'Fund 20 Grants'!$D$2:$W$113,112,FALSE)),0,(HLOOKUP(319,'Fund 20 Grants'!$D$2:$W$113,112,FALSE)))</f>
        <v>0</v>
      </c>
      <c r="I133" s="40">
        <v>0</v>
      </c>
      <c r="J133" s="492">
        <f t="shared" si="12"/>
        <v>0</v>
      </c>
    </row>
    <row r="134" spans="1:10" x14ac:dyDescent="0.15">
      <c r="A134" s="369" t="e">
        <f>HLOOKUP(320,'Fund 20 Grants'!$D$2:$W$3,2,FALSE)</f>
        <v>#N/A</v>
      </c>
      <c r="B134" s="370"/>
      <c r="C134" s="371" t="e">
        <f>HLOOKUP(320,'Fund 20 Grants'!$D$2:$W$4,3,FALSE)</f>
        <v>#N/A</v>
      </c>
      <c r="D134" s="114"/>
      <c r="E134" s="40">
        <v>0</v>
      </c>
      <c r="F134" s="40">
        <v>0</v>
      </c>
      <c r="G134" s="40">
        <v>0</v>
      </c>
      <c r="H134" s="373">
        <f>IF(ISERROR(HLOOKUP(320,'Fund 20 Grants'!$D$2:$W$113,112,FALSE)),0,(HLOOKUP(320,'Fund 20 Grants'!$D$2:$W$113,112,FALSE)))</f>
        <v>0</v>
      </c>
      <c r="I134" s="40">
        <v>0</v>
      </c>
      <c r="J134" s="492">
        <f t="shared" si="12"/>
        <v>0</v>
      </c>
    </row>
    <row r="135" spans="1:10" ht="11.25" thickBot="1" x14ac:dyDescent="0.2">
      <c r="A135" s="191"/>
      <c r="B135" s="164"/>
      <c r="C135" s="114"/>
      <c r="D135" s="114"/>
      <c r="E135" s="14"/>
      <c r="F135" s="14"/>
      <c r="G135" s="14"/>
      <c r="H135" s="14"/>
      <c r="J135" s="164"/>
    </row>
    <row r="136" spans="1:10" ht="12" thickTop="1" thickBot="1" x14ac:dyDescent="0.2">
      <c r="C136" s="114" t="s">
        <v>802</v>
      </c>
      <c r="E136" s="166">
        <f t="shared" ref="E136:J136" si="13">SUM(E115:E135)</f>
        <v>0</v>
      </c>
      <c r="F136" s="166">
        <f t="shared" si="13"/>
        <v>0</v>
      </c>
      <c r="G136" s="166">
        <f t="shared" si="13"/>
        <v>0</v>
      </c>
      <c r="H136" s="166">
        <f t="shared" si="13"/>
        <v>0</v>
      </c>
      <c r="I136" s="166">
        <f t="shared" si="13"/>
        <v>0</v>
      </c>
      <c r="J136" s="166">
        <f t="shared" si="13"/>
        <v>0</v>
      </c>
    </row>
    <row r="137" spans="1:10" ht="11.25" thickTop="1" x14ac:dyDescent="0.15">
      <c r="F137" s="156"/>
      <c r="G137" s="156"/>
      <c r="J137" s="164"/>
    </row>
    <row r="138" spans="1:10" x14ac:dyDescent="0.15">
      <c r="B138" s="39" t="s">
        <v>741</v>
      </c>
      <c r="D138" s="34"/>
      <c r="F138" s="156"/>
      <c r="G138" s="156"/>
      <c r="J138" s="164"/>
    </row>
    <row r="139" spans="1:10" x14ac:dyDescent="0.15">
      <c r="A139" s="34" t="s">
        <v>1140</v>
      </c>
      <c r="B139" s="156"/>
      <c r="C139" s="34" t="s">
        <v>725</v>
      </c>
      <c r="D139" s="198"/>
      <c r="F139" s="156"/>
      <c r="G139" s="156"/>
      <c r="J139" s="164"/>
    </row>
    <row r="140" spans="1:10" x14ac:dyDescent="0.15">
      <c r="A140" s="369">
        <f>HLOOKUP(101,'Fund 20 Grants'!$D$2:$W$3,2,FALSE)</f>
        <v>0</v>
      </c>
      <c r="B140" s="370"/>
      <c r="C140" s="371">
        <f>HLOOKUP(101,'Fund 20 Grants'!$D$2:$W$4,3,FALSE)</f>
        <v>0</v>
      </c>
      <c r="D140" s="198"/>
      <c r="E140" s="40">
        <v>0</v>
      </c>
      <c r="F140" s="40">
        <v>0</v>
      </c>
      <c r="G140" s="40">
        <v>0</v>
      </c>
      <c r="H140" s="373">
        <f>IF(ISERROR(HLOOKUP(101,'Fund 20 Grants'!$D$2:$W$113,112,FALSE)),0,(HLOOKUP(101,'Fund 20 Grants'!$D$2:$W$113,112,FALSE)))</f>
        <v>0</v>
      </c>
      <c r="I140" s="40">
        <v>0</v>
      </c>
      <c r="J140" s="492">
        <f t="shared" ref="J140:J149" si="14">H140+I140</f>
        <v>0</v>
      </c>
    </row>
    <row r="141" spans="1:10" x14ac:dyDescent="0.15">
      <c r="A141" s="369">
        <f>HLOOKUP(102,'Fund 20 Grants'!$D$2:$W$3,2,FALSE)</f>
        <v>0</v>
      </c>
      <c r="B141" s="370"/>
      <c r="C141" s="371">
        <f>HLOOKUP(102,'Fund 20 Grants'!$D$2:$W$4,3,FALSE)</f>
        <v>0</v>
      </c>
      <c r="D141" s="198"/>
      <c r="E141" s="40">
        <v>0</v>
      </c>
      <c r="F141" s="40">
        <v>0</v>
      </c>
      <c r="G141" s="40">
        <v>0</v>
      </c>
      <c r="H141" s="373">
        <f>IF(ISERROR(HLOOKUP(102,'Fund 20 Grants'!$D$2:$W$113,112,FALSE)),0,(HLOOKUP(102,'Fund 20 Grants'!$D$2:$W$113,112,FALSE)))</f>
        <v>0</v>
      </c>
      <c r="I141" s="40">
        <v>0</v>
      </c>
      <c r="J141" s="492">
        <f t="shared" si="14"/>
        <v>0</v>
      </c>
    </row>
    <row r="142" spans="1:10" x14ac:dyDescent="0.15">
      <c r="A142" s="369">
        <f>HLOOKUP(103,'Fund 20 Grants'!$D$2:$W$3,2,FALSE)</f>
        <v>0</v>
      </c>
      <c r="B142" s="370"/>
      <c r="C142" s="371">
        <f>HLOOKUP(103,'Fund 20 Grants'!$D$2:$W$4,3,FALSE)</f>
        <v>0</v>
      </c>
      <c r="D142" s="198"/>
      <c r="E142" s="40">
        <v>0</v>
      </c>
      <c r="F142" s="40">
        <v>0</v>
      </c>
      <c r="G142" s="40">
        <v>0</v>
      </c>
      <c r="H142" s="373">
        <f>IF(ISERROR(HLOOKUP(103,'Fund 20 Grants'!$D$2:$W$113,112,FALSE)),0,(HLOOKUP(103,'Fund 20 Grants'!$D$2:$W$113,112,FALSE)))</f>
        <v>0</v>
      </c>
      <c r="I142" s="40">
        <v>0</v>
      </c>
      <c r="J142" s="492">
        <f t="shared" si="14"/>
        <v>0</v>
      </c>
    </row>
    <row r="143" spans="1:10" x14ac:dyDescent="0.15">
      <c r="A143" s="369">
        <f>HLOOKUP(104,'Fund 20 Grants'!$D$2:$W$3,2,FALSE)</f>
        <v>0</v>
      </c>
      <c r="B143" s="370"/>
      <c r="C143" s="371">
        <f>HLOOKUP(104,'Fund 20 Grants'!$D$2:$W$4,3,FALSE)</f>
        <v>0</v>
      </c>
      <c r="D143" s="198"/>
      <c r="E143" s="40">
        <v>0</v>
      </c>
      <c r="F143" s="40">
        <v>0</v>
      </c>
      <c r="G143" s="40">
        <v>0</v>
      </c>
      <c r="H143" s="373">
        <f>IF(ISERROR(HLOOKUP(104,'Fund 20 Grants'!$D$2:$W$113,112,FALSE)),0,(HLOOKUP(104,'Fund 20 Grants'!$D$2:$W$113,112,FALSE)))</f>
        <v>0</v>
      </c>
      <c r="I143" s="40">
        <v>0</v>
      </c>
      <c r="J143" s="492">
        <f t="shared" si="14"/>
        <v>0</v>
      </c>
    </row>
    <row r="144" spans="1:10" x14ac:dyDescent="0.15">
      <c r="A144" s="369">
        <f>HLOOKUP(105,'Fund 20 Grants'!$D$2:$W$3,2,FALSE)</f>
        <v>0</v>
      </c>
      <c r="B144" s="370"/>
      <c r="C144" s="371">
        <f>HLOOKUP(105,'Fund 20 Grants'!$D$2:$W$4,3,FALSE)</f>
        <v>0</v>
      </c>
      <c r="D144" s="198"/>
      <c r="E144" s="40">
        <v>0</v>
      </c>
      <c r="F144" s="40">
        <v>0</v>
      </c>
      <c r="G144" s="40">
        <v>0</v>
      </c>
      <c r="H144" s="373">
        <f>IF(ISERROR(HLOOKUP(105,'Fund 20 Grants'!$D$2:$W$113,112,FALSE)),0,(HLOOKUP(105,'Fund 20 Grants'!$D$2:$W$113,112,FALSE)))</f>
        <v>0</v>
      </c>
      <c r="I144" s="40">
        <v>0</v>
      </c>
      <c r="J144" s="492">
        <f t="shared" si="14"/>
        <v>0</v>
      </c>
    </row>
    <row r="145" spans="1:10" x14ac:dyDescent="0.15">
      <c r="A145" s="369">
        <f>HLOOKUP(106,'Fund 20 Grants'!$D$2:$W$3,2,FALSE)</f>
        <v>0</v>
      </c>
      <c r="B145" s="370"/>
      <c r="C145" s="371">
        <f>HLOOKUP(106,'Fund 20 Grants'!$D$2:$W$4,3,FALSE)</f>
        <v>0</v>
      </c>
      <c r="D145" s="198"/>
      <c r="E145" s="40">
        <v>0</v>
      </c>
      <c r="F145" s="40">
        <v>0</v>
      </c>
      <c r="G145" s="40">
        <v>0</v>
      </c>
      <c r="H145" s="373">
        <f>IF(ISERROR(HLOOKUP(106,'Fund 20 Grants'!$D$2:$W$113,112,FALSE)),0,(HLOOKUP(106,'Fund 20 Grants'!$D$2:$W$113,112,FALSE)))</f>
        <v>0</v>
      </c>
      <c r="I145" s="40">
        <v>0</v>
      </c>
      <c r="J145" s="492">
        <f t="shared" si="14"/>
        <v>0</v>
      </c>
    </row>
    <row r="146" spans="1:10" x14ac:dyDescent="0.15">
      <c r="A146" s="369">
        <f>HLOOKUP(107,'Fund 20 Grants'!$D$2:$W$3,2,FALSE)</f>
        <v>0</v>
      </c>
      <c r="B146" s="370"/>
      <c r="C146" s="371">
        <f>HLOOKUP(107,'Fund 20 Grants'!$D$2:$W$4,3,FALSE)</f>
        <v>0</v>
      </c>
      <c r="D146" s="198"/>
      <c r="E146" s="40">
        <v>0</v>
      </c>
      <c r="F146" s="40">
        <v>0</v>
      </c>
      <c r="G146" s="40">
        <v>0</v>
      </c>
      <c r="H146" s="373">
        <f>IF(ISERROR(HLOOKUP(107,'Fund 20 Grants'!$D$2:$W$113,112,FALSE)),0,(HLOOKUP(107,'Fund 20 Grants'!$D$2:$W$113,112,FALSE)))</f>
        <v>0</v>
      </c>
      <c r="I146" s="40">
        <v>0</v>
      </c>
      <c r="J146" s="492">
        <f t="shared" si="14"/>
        <v>0</v>
      </c>
    </row>
    <row r="147" spans="1:10" x14ac:dyDescent="0.15">
      <c r="A147" s="369">
        <f>HLOOKUP(108,'Fund 20 Grants'!$D$2:$W$3,2,FALSE)</f>
        <v>0</v>
      </c>
      <c r="B147" s="370"/>
      <c r="C147" s="371">
        <f>HLOOKUP(108,'Fund 20 Grants'!$D$2:$W$4,3,FALSE)</f>
        <v>0</v>
      </c>
      <c r="D147" s="198"/>
      <c r="E147" s="40">
        <v>0</v>
      </c>
      <c r="F147" s="40">
        <v>0</v>
      </c>
      <c r="G147" s="40">
        <v>0</v>
      </c>
      <c r="H147" s="373">
        <f>IF(ISERROR(HLOOKUP(108,'Fund 20 Grants'!$D$2:$W$113,112,FALSE)),0,(HLOOKUP(108,'Fund 20 Grants'!$D$2:$W$113,112,FALSE)))</f>
        <v>0</v>
      </c>
      <c r="I147" s="40">
        <v>0</v>
      </c>
      <c r="J147" s="492">
        <f t="shared" si="14"/>
        <v>0</v>
      </c>
    </row>
    <row r="148" spans="1:10" x14ac:dyDescent="0.15">
      <c r="A148" s="369">
        <f>HLOOKUP(109,'Fund 20 Grants'!$D$2:$W$3,2,FALSE)</f>
        <v>0</v>
      </c>
      <c r="B148" s="370"/>
      <c r="C148" s="371">
        <f>HLOOKUP(109,'Fund 20 Grants'!$D$2:$W$4,3,FALSE)</f>
        <v>0</v>
      </c>
      <c r="D148" s="198"/>
      <c r="E148" s="40">
        <v>0</v>
      </c>
      <c r="F148" s="40">
        <v>0</v>
      </c>
      <c r="G148" s="40">
        <v>0</v>
      </c>
      <c r="H148" s="373">
        <f>IF(ISERROR(HLOOKUP(109,'Fund 20 Grants'!$D$2:$W$113,112,FALSE)),0,(HLOOKUP(109,'Fund 20 Grants'!$D$2:$W$113,112,FALSE)))</f>
        <v>0</v>
      </c>
      <c r="I148" s="40">
        <v>0</v>
      </c>
      <c r="J148" s="492">
        <f t="shared" si="14"/>
        <v>0</v>
      </c>
    </row>
    <row r="149" spans="1:10" x14ac:dyDescent="0.15">
      <c r="A149" s="369">
        <f>HLOOKUP(110,'Fund 20 Grants'!$D$2:$W$3,2,FALSE)</f>
        <v>0</v>
      </c>
      <c r="B149" s="370"/>
      <c r="C149" s="371">
        <f>HLOOKUP(110,'Fund 20 Grants'!$D$2:$W$4,3,FALSE)</f>
        <v>0</v>
      </c>
      <c r="D149" s="39"/>
      <c r="E149" s="40">
        <v>0</v>
      </c>
      <c r="F149" s="40">
        <v>0</v>
      </c>
      <c r="G149" s="40">
        <v>0</v>
      </c>
      <c r="H149" s="373">
        <f>IF(ISERROR(HLOOKUP(110,'Fund 20 Grants'!$D$2:$W$113,112,FALSE)),0,(HLOOKUP(110,'Fund 20 Grants'!$D$2:$W$113,112,FALSE)))</f>
        <v>0</v>
      </c>
      <c r="I149" s="40">
        <v>0</v>
      </c>
      <c r="J149" s="492">
        <f t="shared" si="14"/>
        <v>0</v>
      </c>
    </row>
    <row r="150" spans="1:10" ht="11.25" thickBot="1" x14ac:dyDescent="0.2">
      <c r="C150" s="39"/>
      <c r="D150" s="114"/>
      <c r="F150" s="156"/>
      <c r="G150" s="156"/>
      <c r="J150" s="164"/>
    </row>
    <row r="151" spans="1:10" ht="12" thickTop="1" thickBot="1" x14ac:dyDescent="0.2">
      <c r="A151" s="114" t="s">
        <v>832</v>
      </c>
      <c r="C151" s="114" t="s">
        <v>624</v>
      </c>
      <c r="E151" s="148">
        <f t="shared" ref="E151:J151" si="15">SUM(E140:E150)</f>
        <v>0</v>
      </c>
      <c r="F151" s="148">
        <f t="shared" si="15"/>
        <v>0</v>
      </c>
      <c r="G151" s="148">
        <f t="shared" si="15"/>
        <v>0</v>
      </c>
      <c r="H151" s="148">
        <f t="shared" si="15"/>
        <v>0</v>
      </c>
      <c r="I151" s="148">
        <f t="shared" si="15"/>
        <v>0</v>
      </c>
      <c r="J151" s="166">
        <f t="shared" si="15"/>
        <v>0</v>
      </c>
    </row>
    <row r="152" spans="1:10" ht="12" thickTop="1" thickBot="1" x14ac:dyDescent="0.2">
      <c r="D152" s="114"/>
      <c r="F152" s="156"/>
      <c r="G152" s="156"/>
      <c r="J152" s="164"/>
    </row>
    <row r="153" spans="1:10" ht="12" thickTop="1" thickBot="1" x14ac:dyDescent="0.2">
      <c r="C153" s="114" t="s">
        <v>960</v>
      </c>
      <c r="D153" s="114"/>
      <c r="E153" s="190">
        <f t="shared" ref="E153:J153" si="16">E110+E136+E151</f>
        <v>0</v>
      </c>
      <c r="F153" s="190">
        <f t="shared" si="16"/>
        <v>0</v>
      </c>
      <c r="G153" s="190">
        <f t="shared" si="16"/>
        <v>0</v>
      </c>
      <c r="H153" s="190">
        <f t="shared" si="16"/>
        <v>0</v>
      </c>
      <c r="I153" s="190">
        <f t="shared" si="16"/>
        <v>0</v>
      </c>
      <c r="J153" s="528">
        <f t="shared" si="16"/>
        <v>0</v>
      </c>
    </row>
    <row r="154" spans="1:10" ht="11.25" thickTop="1" x14ac:dyDescent="0.15">
      <c r="C154" s="114"/>
      <c r="D154" s="114"/>
      <c r="F154" s="156"/>
      <c r="G154" s="156"/>
      <c r="J154" s="164"/>
    </row>
    <row r="155" spans="1:10" x14ac:dyDescent="0.15">
      <c r="B155" s="21" t="s">
        <v>807</v>
      </c>
      <c r="C155" s="114"/>
      <c r="D155" s="34"/>
      <c r="F155" s="156"/>
      <c r="G155" s="156"/>
      <c r="J155" s="164"/>
    </row>
    <row r="156" spans="1:10" x14ac:dyDescent="0.15">
      <c r="A156" s="34" t="s">
        <v>1140</v>
      </c>
      <c r="C156" s="34" t="s">
        <v>462</v>
      </c>
      <c r="D156" s="199"/>
      <c r="F156" s="156"/>
      <c r="G156" s="156"/>
      <c r="J156" s="164"/>
    </row>
    <row r="157" spans="1:10" x14ac:dyDescent="0.15">
      <c r="A157" s="365"/>
      <c r="C157" s="192"/>
      <c r="D157" s="199"/>
      <c r="E157" s="40">
        <v>0</v>
      </c>
      <c r="F157" s="40">
        <v>0</v>
      </c>
      <c r="G157" s="40">
        <v>0</v>
      </c>
      <c r="H157" s="40">
        <v>0</v>
      </c>
      <c r="I157" s="40">
        <v>0</v>
      </c>
      <c r="J157" s="492">
        <f t="shared" ref="J157:J165" si="17">H157+I157</f>
        <v>0</v>
      </c>
    </row>
    <row r="158" spans="1:10" x14ac:dyDescent="0.15">
      <c r="A158" s="365"/>
      <c r="C158" s="192"/>
      <c r="D158" s="199"/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92">
        <f t="shared" si="17"/>
        <v>0</v>
      </c>
    </row>
    <row r="159" spans="1:10" x14ac:dyDescent="0.15">
      <c r="A159" s="365"/>
      <c r="C159" s="192"/>
      <c r="D159" s="199"/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92">
        <f t="shared" si="17"/>
        <v>0</v>
      </c>
    </row>
    <row r="160" spans="1:10" x14ac:dyDescent="0.15">
      <c r="A160" s="365"/>
      <c r="C160" s="192"/>
      <c r="D160" s="199"/>
      <c r="E160" s="40">
        <v>0</v>
      </c>
      <c r="F160" s="40">
        <v>0</v>
      </c>
      <c r="G160" s="40">
        <v>0</v>
      </c>
      <c r="H160" s="40">
        <v>0</v>
      </c>
      <c r="I160" s="40">
        <v>0</v>
      </c>
      <c r="J160" s="492">
        <f t="shared" si="17"/>
        <v>0</v>
      </c>
    </row>
    <row r="161" spans="1:10" x14ac:dyDescent="0.15">
      <c r="A161" s="365"/>
      <c r="C161" s="192"/>
      <c r="D161" s="199"/>
      <c r="E161" s="40">
        <v>0</v>
      </c>
      <c r="F161" s="40">
        <v>0</v>
      </c>
      <c r="G161" s="40">
        <v>0</v>
      </c>
      <c r="H161" s="40">
        <v>0</v>
      </c>
      <c r="I161" s="40">
        <v>0</v>
      </c>
      <c r="J161" s="492">
        <f t="shared" si="17"/>
        <v>0</v>
      </c>
    </row>
    <row r="162" spans="1:10" ht="12" customHeight="1" x14ac:dyDescent="0.15">
      <c r="A162" s="365"/>
      <c r="C162" s="192"/>
      <c r="D162" s="199"/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492">
        <f t="shared" si="17"/>
        <v>0</v>
      </c>
    </row>
    <row r="163" spans="1:10" x14ac:dyDescent="0.15">
      <c r="A163" s="365"/>
      <c r="C163" s="192"/>
      <c r="D163" s="199"/>
      <c r="E163" s="40">
        <v>0</v>
      </c>
      <c r="F163" s="40">
        <v>0</v>
      </c>
      <c r="G163" s="40">
        <v>0</v>
      </c>
      <c r="H163" s="40">
        <v>0</v>
      </c>
      <c r="I163" s="40">
        <v>0</v>
      </c>
      <c r="J163" s="492">
        <f t="shared" si="17"/>
        <v>0</v>
      </c>
    </row>
    <row r="164" spans="1:10" x14ac:dyDescent="0.15">
      <c r="A164" s="365"/>
      <c r="C164" s="192"/>
      <c r="D164" s="199"/>
      <c r="E164" s="40">
        <v>0</v>
      </c>
      <c r="F164" s="40">
        <v>0</v>
      </c>
      <c r="G164" s="40">
        <v>0</v>
      </c>
      <c r="H164" s="40">
        <v>0</v>
      </c>
      <c r="I164" s="40">
        <v>0</v>
      </c>
      <c r="J164" s="492">
        <f t="shared" si="17"/>
        <v>0</v>
      </c>
    </row>
    <row r="165" spans="1:10" x14ac:dyDescent="0.15">
      <c r="A165" s="365"/>
      <c r="C165" s="192"/>
      <c r="D165" s="199"/>
      <c r="E165" s="40">
        <v>0</v>
      </c>
      <c r="F165" s="40">
        <v>0</v>
      </c>
      <c r="G165" s="40">
        <v>0</v>
      </c>
      <c r="H165" s="40">
        <v>0</v>
      </c>
      <c r="I165" s="40">
        <v>0</v>
      </c>
      <c r="J165" s="492">
        <f t="shared" si="17"/>
        <v>0</v>
      </c>
    </row>
    <row r="166" spans="1:10" x14ac:dyDescent="0.15">
      <c r="A166" s="571"/>
      <c r="B166" s="572"/>
      <c r="C166" s="568" t="s">
        <v>304</v>
      </c>
      <c r="D166" s="570"/>
      <c r="E166" s="459">
        <f t="shared" ref="E166:J166" si="18">+E91</f>
        <v>0</v>
      </c>
      <c r="F166" s="459">
        <f t="shared" si="18"/>
        <v>0</v>
      </c>
      <c r="G166" s="459">
        <f t="shared" si="18"/>
        <v>0</v>
      </c>
      <c r="H166" s="459">
        <f t="shared" si="18"/>
        <v>0</v>
      </c>
      <c r="I166" s="459">
        <f t="shared" si="18"/>
        <v>0</v>
      </c>
      <c r="J166" s="459">
        <f t="shared" si="18"/>
        <v>0</v>
      </c>
    </row>
    <row r="167" spans="1:10" ht="11.25" thickBot="1" x14ac:dyDescent="0.2">
      <c r="C167" s="114"/>
      <c r="D167" s="114"/>
      <c r="F167" s="156"/>
      <c r="G167" s="156"/>
      <c r="J167" s="164"/>
    </row>
    <row r="168" spans="1:10" ht="12" thickTop="1" thickBot="1" x14ac:dyDescent="0.2">
      <c r="C168" s="114" t="s">
        <v>672</v>
      </c>
      <c r="D168" s="114"/>
      <c r="E168" s="190">
        <f t="shared" ref="E168:J168" si="19">SUM(E157:E167)</f>
        <v>0</v>
      </c>
      <c r="F168" s="190">
        <f t="shared" si="19"/>
        <v>0</v>
      </c>
      <c r="G168" s="190">
        <f t="shared" si="19"/>
        <v>0</v>
      </c>
      <c r="H168" s="190">
        <f t="shared" si="19"/>
        <v>0</v>
      </c>
      <c r="I168" s="190">
        <f t="shared" si="19"/>
        <v>0</v>
      </c>
      <c r="J168" s="528">
        <f t="shared" si="19"/>
        <v>0</v>
      </c>
    </row>
    <row r="169" spans="1:10" ht="12" thickTop="1" thickBot="1" x14ac:dyDescent="0.2">
      <c r="C169" s="114"/>
      <c r="D169" s="193"/>
      <c r="F169" s="156"/>
      <c r="G169" s="156"/>
      <c r="J169" s="164"/>
    </row>
    <row r="170" spans="1:10" ht="23.25" customHeight="1" thickTop="1" thickBot="1" x14ac:dyDescent="0.2">
      <c r="A170" s="729" t="s">
        <v>804</v>
      </c>
      <c r="B170" s="729"/>
      <c r="C170" s="729"/>
      <c r="E170" s="166">
        <f t="shared" ref="E170:J170" si="20">+E153+E168</f>
        <v>0</v>
      </c>
      <c r="F170" s="166">
        <f t="shared" si="20"/>
        <v>0</v>
      </c>
      <c r="G170" s="166">
        <f t="shared" si="20"/>
        <v>0</v>
      </c>
      <c r="H170" s="166">
        <f t="shared" si="20"/>
        <v>0</v>
      </c>
      <c r="I170" s="166">
        <f t="shared" si="20"/>
        <v>0</v>
      </c>
      <c r="J170" s="166">
        <f t="shared" si="20"/>
        <v>0</v>
      </c>
    </row>
    <row r="171" spans="1:10" ht="11.25" thickTop="1" x14ac:dyDescent="0.15">
      <c r="F171" s="156"/>
      <c r="G171" s="156"/>
      <c r="J171" s="164"/>
    </row>
    <row r="172" spans="1:10" x14ac:dyDescent="0.15">
      <c r="F172" s="156"/>
      <c r="G172" s="156"/>
      <c r="J172" s="164"/>
    </row>
    <row r="173" spans="1:10" s="173" customFormat="1" ht="23.25" customHeight="1" x14ac:dyDescent="0.15">
      <c r="A173" s="152" t="s">
        <v>1048</v>
      </c>
      <c r="B173" s="155"/>
      <c r="C173" s="206" t="s">
        <v>211</v>
      </c>
      <c r="D173" s="114"/>
      <c r="E173" s="156"/>
      <c r="F173" s="156"/>
      <c r="G173" s="156"/>
      <c r="H173" s="156"/>
      <c r="I173" s="155"/>
      <c r="J173" s="164"/>
    </row>
    <row r="174" spans="1:10" x14ac:dyDescent="0.15">
      <c r="A174" s="151" t="s">
        <v>827</v>
      </c>
      <c r="C174" s="114" t="s">
        <v>821</v>
      </c>
      <c r="D174" s="114"/>
      <c r="E174" s="40">
        <v>0</v>
      </c>
      <c r="F174" s="40">
        <v>0</v>
      </c>
      <c r="G174" s="40">
        <v>0</v>
      </c>
      <c r="H174" s="40">
        <v>0</v>
      </c>
      <c r="I174" s="40">
        <v>0</v>
      </c>
      <c r="J174" s="492">
        <f>H174+I174</f>
        <v>0</v>
      </c>
    </row>
    <row r="175" spans="1:10" x14ac:dyDescent="0.15">
      <c r="A175" s="151" t="s">
        <v>828</v>
      </c>
      <c r="C175" s="114" t="s">
        <v>822</v>
      </c>
      <c r="D175" s="114"/>
      <c r="E175" s="40">
        <v>0</v>
      </c>
      <c r="F175" s="40">
        <v>0</v>
      </c>
      <c r="G175" s="40">
        <v>0</v>
      </c>
      <c r="H175" s="40">
        <v>0</v>
      </c>
      <c r="I175" s="40">
        <v>0</v>
      </c>
      <c r="J175" s="492">
        <f>H175+I175</f>
        <v>0</v>
      </c>
    </row>
    <row r="176" spans="1:10" x14ac:dyDescent="0.15">
      <c r="A176" s="151" t="s">
        <v>829</v>
      </c>
      <c r="C176" s="114" t="s">
        <v>823</v>
      </c>
      <c r="D176" s="114"/>
      <c r="E176" s="40">
        <v>0</v>
      </c>
      <c r="F176" s="40">
        <v>0</v>
      </c>
      <c r="G176" s="40">
        <v>0</v>
      </c>
      <c r="H176" s="40">
        <v>0</v>
      </c>
      <c r="I176" s="40">
        <v>0</v>
      </c>
      <c r="J176" s="492">
        <f>H176+I176</f>
        <v>0</v>
      </c>
    </row>
    <row r="177" spans="1:10" x14ac:dyDescent="0.15">
      <c r="A177" s="151" t="s">
        <v>830</v>
      </c>
      <c r="C177" s="114" t="s">
        <v>824</v>
      </c>
      <c r="D177" s="114"/>
      <c r="E177" s="40">
        <v>0</v>
      </c>
      <c r="F177" s="40">
        <v>0</v>
      </c>
      <c r="G177" s="40">
        <v>0</v>
      </c>
      <c r="H177" s="40">
        <v>0</v>
      </c>
      <c r="I177" s="40">
        <v>0</v>
      </c>
      <c r="J177" s="492">
        <f>H177+I177</f>
        <v>0</v>
      </c>
    </row>
    <row r="178" spans="1:10" ht="11.25" thickBot="1" x14ac:dyDescent="0.2">
      <c r="A178" s="151" t="s">
        <v>831</v>
      </c>
      <c r="C178" s="114" t="s">
        <v>825</v>
      </c>
      <c r="D178" s="114"/>
      <c r="E178" s="147">
        <v>0</v>
      </c>
      <c r="F178" s="147">
        <v>0</v>
      </c>
      <c r="G178" s="147">
        <v>0</v>
      </c>
      <c r="H178" s="147">
        <v>0</v>
      </c>
      <c r="I178" s="40">
        <v>0</v>
      </c>
      <c r="J178" s="492">
        <f>H178+I178</f>
        <v>0</v>
      </c>
    </row>
    <row r="179" spans="1:10" ht="12" thickTop="1" thickBot="1" x14ac:dyDescent="0.2">
      <c r="A179" s="146"/>
      <c r="C179" s="114" t="s">
        <v>202</v>
      </c>
      <c r="D179" s="114"/>
      <c r="E179" s="148">
        <f t="shared" ref="E179:J179" si="21">SUM(E174:E178)</f>
        <v>0</v>
      </c>
      <c r="F179" s="148">
        <f t="shared" si="21"/>
        <v>0</v>
      </c>
      <c r="G179" s="148">
        <f t="shared" si="21"/>
        <v>0</v>
      </c>
      <c r="H179" s="148">
        <f t="shared" si="21"/>
        <v>0</v>
      </c>
      <c r="I179" s="148">
        <f t="shared" si="21"/>
        <v>0</v>
      </c>
      <c r="J179" s="148">
        <f t="shared" si="21"/>
        <v>0</v>
      </c>
    </row>
    <row r="180" spans="1:10" ht="12" thickTop="1" thickBot="1" x14ac:dyDescent="0.2">
      <c r="A180" s="146"/>
      <c r="C180" s="114"/>
      <c r="D180" s="173"/>
      <c r="E180" s="156"/>
      <c r="F180" s="156"/>
      <c r="G180" s="156"/>
      <c r="H180" s="156"/>
      <c r="J180" s="164"/>
    </row>
    <row r="181" spans="1:10" ht="11.25" thickBot="1" x14ac:dyDescent="0.2">
      <c r="A181" s="728" t="s">
        <v>267</v>
      </c>
      <c r="B181" s="728"/>
      <c r="C181" s="728"/>
      <c r="D181" s="114"/>
      <c r="E181" s="168">
        <f t="shared" ref="E181:J181" si="22">E170+E179</f>
        <v>0</v>
      </c>
      <c r="F181" s="168">
        <f t="shared" si="22"/>
        <v>0</v>
      </c>
      <c r="G181" s="168">
        <f t="shared" si="22"/>
        <v>0</v>
      </c>
      <c r="H181" s="168">
        <f t="shared" si="22"/>
        <v>0</v>
      </c>
      <c r="I181" s="168">
        <f t="shared" si="22"/>
        <v>0</v>
      </c>
      <c r="J181" s="168">
        <f t="shared" si="22"/>
        <v>0</v>
      </c>
    </row>
    <row r="182" spans="1:10" x14ac:dyDescent="0.15">
      <c r="A182" s="146"/>
      <c r="C182" s="114" t="s">
        <v>203</v>
      </c>
      <c r="D182" s="114"/>
      <c r="E182" s="156"/>
      <c r="F182" s="156"/>
      <c r="G182" s="156"/>
      <c r="H182" s="156"/>
      <c r="J182" s="164"/>
    </row>
    <row r="183" spans="1:10" ht="11.25" thickBot="1" x14ac:dyDescent="0.2">
      <c r="A183" s="146"/>
      <c r="C183" s="114"/>
      <c r="D183" s="169"/>
      <c r="E183" s="156"/>
      <c r="F183" s="156"/>
      <c r="G183" s="156"/>
      <c r="H183" s="156"/>
      <c r="J183" s="164"/>
    </row>
    <row r="184" spans="1:10" ht="12" thickTop="1" thickBot="1" x14ac:dyDescent="0.2">
      <c r="C184" s="169" t="s">
        <v>204</v>
      </c>
      <c r="E184" s="170">
        <f t="shared" ref="E184:J184" si="23">E88</f>
        <v>0</v>
      </c>
      <c r="F184" s="170">
        <f t="shared" si="23"/>
        <v>0</v>
      </c>
      <c r="G184" s="170">
        <f t="shared" si="23"/>
        <v>0</v>
      </c>
      <c r="H184" s="170">
        <f t="shared" si="23"/>
        <v>0</v>
      </c>
      <c r="I184" s="170">
        <f t="shared" si="23"/>
        <v>0</v>
      </c>
      <c r="J184" s="170">
        <f t="shared" si="23"/>
        <v>0</v>
      </c>
    </row>
    <row r="185" spans="1:10" ht="11.25" thickTop="1" x14ac:dyDescent="0.15">
      <c r="D185" s="169"/>
      <c r="E185" s="155"/>
      <c r="J185" s="164"/>
    </row>
    <row r="186" spans="1:10" x14ac:dyDescent="0.15">
      <c r="C186" s="169" t="s">
        <v>205</v>
      </c>
      <c r="E186" s="155">
        <f t="shared" ref="E186:J186" si="24">E181-E184</f>
        <v>0</v>
      </c>
      <c r="F186" s="155">
        <f t="shared" si="24"/>
        <v>0</v>
      </c>
      <c r="G186" s="155">
        <f t="shared" si="24"/>
        <v>0</v>
      </c>
      <c r="H186" s="155">
        <f t="shared" si="24"/>
        <v>0</v>
      </c>
      <c r="I186" s="155">
        <f t="shared" si="24"/>
        <v>0</v>
      </c>
      <c r="J186" s="164">
        <f t="shared" si="24"/>
        <v>0</v>
      </c>
    </row>
    <row r="187" spans="1:10" x14ac:dyDescent="0.15">
      <c r="J187" s="164"/>
    </row>
    <row r="188" spans="1:10" x14ac:dyDescent="0.15">
      <c r="J188" s="164"/>
    </row>
    <row r="189" spans="1:10" x14ac:dyDescent="0.15">
      <c r="A189" s="114" t="s">
        <v>1306</v>
      </c>
    </row>
    <row r="192" spans="1:10" x14ac:dyDescent="0.15">
      <c r="A192" s="18" t="s">
        <v>1104</v>
      </c>
      <c r="D192" s="114"/>
    </row>
    <row r="193" spans="2:3" x14ac:dyDescent="0.15">
      <c r="B193" s="180" t="s">
        <v>1292</v>
      </c>
      <c r="C193" s="114" t="s">
        <v>159</v>
      </c>
    </row>
    <row r="194" spans="2:3" x14ac:dyDescent="0.15">
      <c r="B194" s="181" t="s">
        <v>162</v>
      </c>
      <c r="C194" s="114" t="s">
        <v>160</v>
      </c>
    </row>
    <row r="195" spans="2:3" x14ac:dyDescent="0.15">
      <c r="B195" s="181" t="s">
        <v>163</v>
      </c>
      <c r="C195" s="114" t="s">
        <v>161</v>
      </c>
    </row>
    <row r="196" spans="2:3" x14ac:dyDescent="0.15">
      <c r="B196" s="180" t="s">
        <v>73</v>
      </c>
      <c r="C196" s="114" t="s">
        <v>74</v>
      </c>
    </row>
    <row r="197" spans="2:3" x14ac:dyDescent="0.15">
      <c r="B197" s="180" t="s">
        <v>75</v>
      </c>
      <c r="C197" s="114" t="s">
        <v>76</v>
      </c>
    </row>
    <row r="198" spans="2:3" x14ac:dyDescent="0.15">
      <c r="B198" s="180" t="s">
        <v>77</v>
      </c>
      <c r="C198" s="114" t="s">
        <v>78</v>
      </c>
    </row>
  </sheetData>
  <sheetProtection formatCells="0" formatColumns="0" formatRows="0"/>
  <mergeCells count="3">
    <mergeCell ref="A181:C181"/>
    <mergeCell ref="A88:C88"/>
    <mergeCell ref="A170:C170"/>
  </mergeCells>
  <phoneticPr fontId="15" type="noConversion"/>
  <pageMargins left="0.5" right="0.5" top="0.75" bottom="0.75" header="0.5" footer="0.5"/>
  <pageSetup scale="61" firstPageNumber="31" fitToHeight="0" orientation="portrait" horizontalDpi="300" verticalDpi="300" r:id="rId1"/>
  <headerFooter alignWithMargins="0">
    <oddFooter>&amp;LCDE, Public Scool Finance Unit&amp;C&amp;P&amp;RRevised March, 2009</oddFooter>
  </headerFooter>
  <rowBreaks count="2" manualBreakCount="2">
    <brk id="92" max="16383" man="1"/>
    <brk id="18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I91"/>
  <sheetViews>
    <sheetView zoomScaleNormal="100" workbookViewId="0">
      <selection activeCell="A2" sqref="A2"/>
    </sheetView>
  </sheetViews>
  <sheetFormatPr defaultRowHeight="10.5" x14ac:dyDescent="0.15"/>
  <cols>
    <col min="1" max="1" width="10" style="155" customWidth="1"/>
    <col min="2" max="2" width="3.6640625" style="155" customWidth="1"/>
    <col min="3" max="3" width="70.83203125" style="155" customWidth="1"/>
    <col min="4" max="4" width="15.83203125" style="155" customWidth="1"/>
    <col min="5" max="5" width="18" style="155" customWidth="1"/>
    <col min="6" max="6" width="17.33203125" style="155" customWidth="1"/>
    <col min="7" max="7" width="16.6640625" style="155" customWidth="1"/>
    <col min="8" max="8" width="14.83203125" style="155" customWidth="1"/>
    <col min="9" max="9" width="18.83203125" style="155" customWidth="1"/>
    <col min="10" max="16384" width="9.33203125" style="155"/>
  </cols>
  <sheetData>
    <row r="1" spans="1:9" x14ac:dyDescent="0.15">
      <c r="A1" s="155" t="s">
        <v>1044</v>
      </c>
      <c r="C1" s="160">
        <f>+'Page 1 - FY2016-17'!B5</f>
        <v>0</v>
      </c>
      <c r="D1" s="160" t="s">
        <v>889</v>
      </c>
      <c r="E1" s="161">
        <f>+'Page 1 - FY2016-17'!F7</f>
        <v>0</v>
      </c>
      <c r="G1" s="37" t="s">
        <v>891</v>
      </c>
    </row>
    <row r="2" spans="1:9" x14ac:dyDescent="0.15">
      <c r="A2" s="15" t="s">
        <v>1514</v>
      </c>
    </row>
    <row r="3" spans="1:9" ht="42" x14ac:dyDescent="0.15">
      <c r="D3" s="580" t="s">
        <v>1607</v>
      </c>
      <c r="E3" s="580" t="s">
        <v>1606</v>
      </c>
      <c r="F3" s="580" t="s">
        <v>1605</v>
      </c>
      <c r="G3" s="580" t="s">
        <v>1604</v>
      </c>
      <c r="H3" s="580" t="s">
        <v>1603</v>
      </c>
      <c r="I3" s="580" t="s">
        <v>1602</v>
      </c>
    </row>
    <row r="4" spans="1:9" ht="52.5" x14ac:dyDescent="0.15">
      <c r="D4" s="424"/>
      <c r="E4" s="424"/>
      <c r="F4" s="424"/>
      <c r="G4" s="424"/>
      <c r="H4" s="713" t="s">
        <v>1541</v>
      </c>
      <c r="I4" s="715" t="s">
        <v>1516</v>
      </c>
    </row>
    <row r="5" spans="1:9" ht="11.25" thickBot="1" x14ac:dyDescent="0.2">
      <c r="D5" s="163"/>
      <c r="E5" s="163"/>
      <c r="F5" s="163"/>
      <c r="G5" s="163"/>
      <c r="I5" s="164"/>
    </row>
    <row r="6" spans="1:9" ht="11.25" thickBot="1" x14ac:dyDescent="0.2">
      <c r="A6" s="34" t="s">
        <v>1132</v>
      </c>
      <c r="B6" s="34" t="s">
        <v>892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168">
        <f>G6+H6</f>
        <v>0</v>
      </c>
    </row>
    <row r="7" spans="1:9" x14ac:dyDescent="0.15">
      <c r="A7" s="35" t="s">
        <v>895</v>
      </c>
      <c r="C7" s="206" t="s">
        <v>1133</v>
      </c>
      <c r="E7" s="156"/>
      <c r="F7" s="156"/>
      <c r="G7" s="156"/>
      <c r="I7" s="164"/>
    </row>
    <row r="8" spans="1:9" x14ac:dyDescent="0.15">
      <c r="A8" s="134" t="s">
        <v>905</v>
      </c>
      <c r="B8" s="290" t="s">
        <v>560</v>
      </c>
      <c r="C8" s="1" t="s">
        <v>1332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92">
        <f>G8+H8</f>
        <v>0</v>
      </c>
    </row>
    <row r="9" spans="1:9" x14ac:dyDescent="0.15">
      <c r="A9" s="183" t="s">
        <v>19</v>
      </c>
      <c r="B9" s="290" t="s">
        <v>561</v>
      </c>
      <c r="C9" s="1" t="s">
        <v>20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2">
        <f t="shared" ref="I9:I25" si="0">G9+H9</f>
        <v>0</v>
      </c>
    </row>
    <row r="10" spans="1:9" x14ac:dyDescent="0.15">
      <c r="A10" s="183" t="s">
        <v>153</v>
      </c>
      <c r="B10" s="290" t="s">
        <v>562</v>
      </c>
      <c r="C10" s="1" t="s">
        <v>1554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2">
        <f t="shared" si="0"/>
        <v>0</v>
      </c>
    </row>
    <row r="11" spans="1:9" x14ac:dyDescent="0.15">
      <c r="A11" s="184" t="s">
        <v>66</v>
      </c>
      <c r="B11" s="290" t="s">
        <v>625</v>
      </c>
      <c r="C11" s="1" t="s">
        <v>67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2">
        <f t="shared" si="0"/>
        <v>0</v>
      </c>
    </row>
    <row r="12" spans="1:9" x14ac:dyDescent="0.15">
      <c r="A12" s="183" t="s">
        <v>271</v>
      </c>
      <c r="B12" s="290" t="s">
        <v>626</v>
      </c>
      <c r="C12" s="1" t="s">
        <v>272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92">
        <f t="shared" si="0"/>
        <v>0</v>
      </c>
    </row>
    <row r="13" spans="1:9" x14ac:dyDescent="0.15">
      <c r="A13" s="183" t="s">
        <v>271</v>
      </c>
      <c r="B13" s="290" t="s">
        <v>627</v>
      </c>
      <c r="C13" s="1" t="s">
        <v>273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92">
        <f t="shared" si="0"/>
        <v>0</v>
      </c>
    </row>
    <row r="14" spans="1:9" x14ac:dyDescent="0.15">
      <c r="A14" s="183" t="s">
        <v>271</v>
      </c>
      <c r="B14" s="290" t="s">
        <v>628</v>
      </c>
      <c r="C14" s="1" t="s">
        <v>274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92">
        <f t="shared" si="0"/>
        <v>0</v>
      </c>
    </row>
    <row r="15" spans="1:9" x14ac:dyDescent="0.15">
      <c r="A15" s="183" t="s">
        <v>271</v>
      </c>
      <c r="B15" s="289" t="s">
        <v>1555</v>
      </c>
      <c r="C15" s="1" t="s">
        <v>1556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92">
        <f t="shared" ref="I15" si="1">G15+H15</f>
        <v>0</v>
      </c>
    </row>
    <row r="16" spans="1:9" x14ac:dyDescent="0.15">
      <c r="A16" s="134" t="s">
        <v>1292</v>
      </c>
      <c r="B16" s="290" t="s">
        <v>629</v>
      </c>
      <c r="C16" s="1" t="s">
        <v>133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92">
        <f t="shared" si="0"/>
        <v>0</v>
      </c>
    </row>
    <row r="17" spans="1:9" x14ac:dyDescent="0.15">
      <c r="A17" s="134" t="s">
        <v>1292</v>
      </c>
      <c r="B17" s="290" t="s">
        <v>637</v>
      </c>
      <c r="C17" s="1" t="s">
        <v>1557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92">
        <f t="shared" si="0"/>
        <v>0</v>
      </c>
    </row>
    <row r="18" spans="1:9" x14ac:dyDescent="0.15">
      <c r="A18" s="134" t="s">
        <v>1292</v>
      </c>
      <c r="B18" s="289" t="s">
        <v>1402</v>
      </c>
      <c r="C18" s="1" t="s">
        <v>1558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92">
        <f t="shared" ref="I18" si="2">G18+H18</f>
        <v>0</v>
      </c>
    </row>
    <row r="19" spans="1:9" x14ac:dyDescent="0.15">
      <c r="A19" s="134" t="s">
        <v>162</v>
      </c>
      <c r="B19" s="290" t="s">
        <v>275</v>
      </c>
      <c r="C19" s="1" t="s">
        <v>1371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92">
        <f t="shared" si="0"/>
        <v>0</v>
      </c>
    </row>
    <row r="20" spans="1:9" x14ac:dyDescent="0.15">
      <c r="A20" s="134" t="s">
        <v>1043</v>
      </c>
      <c r="B20" s="290" t="s">
        <v>276</v>
      </c>
      <c r="C20" s="2" t="s">
        <v>972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92">
        <f t="shared" si="0"/>
        <v>0</v>
      </c>
    </row>
    <row r="21" spans="1:9" x14ac:dyDescent="0.15">
      <c r="A21" s="134"/>
      <c r="B21" s="290" t="s">
        <v>638</v>
      </c>
      <c r="C21" s="135" t="s">
        <v>479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92">
        <f t="shared" si="0"/>
        <v>0</v>
      </c>
    </row>
    <row r="22" spans="1:9" hidden="1" x14ac:dyDescent="0.15">
      <c r="A22" s="165"/>
      <c r="B22" s="171"/>
      <c r="C22" s="135"/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92">
        <f t="shared" si="0"/>
        <v>0</v>
      </c>
    </row>
    <row r="23" spans="1:9" hidden="1" x14ac:dyDescent="0.15">
      <c r="A23" s="165"/>
      <c r="B23" s="171"/>
      <c r="C23" s="135"/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92">
        <f t="shared" si="0"/>
        <v>0</v>
      </c>
    </row>
    <row r="24" spans="1:9" hidden="1" x14ac:dyDescent="0.15">
      <c r="A24" s="114"/>
      <c r="B24" s="171"/>
      <c r="C24" s="620"/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92">
        <f t="shared" si="0"/>
        <v>0</v>
      </c>
    </row>
    <row r="25" spans="1:9" hidden="1" x14ac:dyDescent="0.15">
      <c r="B25" s="171"/>
      <c r="C25" s="114"/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92">
        <f t="shared" si="0"/>
        <v>0</v>
      </c>
    </row>
    <row r="26" spans="1:9" ht="11.25" thickBot="1" x14ac:dyDescent="0.2">
      <c r="C26" s="114"/>
      <c r="D26" s="14"/>
      <c r="E26" s="14"/>
      <c r="F26" s="14"/>
      <c r="G26" s="14"/>
      <c r="I26" s="164"/>
    </row>
    <row r="27" spans="1:9" ht="12" thickTop="1" thickBot="1" x14ac:dyDescent="0.2">
      <c r="B27" s="171">
        <v>13</v>
      </c>
      <c r="C27" s="34" t="s">
        <v>1503</v>
      </c>
      <c r="D27" s="166">
        <f t="shared" ref="D27:I27" si="3">SUM(D8:D25)</f>
        <v>0</v>
      </c>
      <c r="E27" s="166">
        <f t="shared" si="3"/>
        <v>0</v>
      </c>
      <c r="F27" s="166">
        <f t="shared" si="3"/>
        <v>0</v>
      </c>
      <c r="G27" s="166">
        <f t="shared" si="3"/>
        <v>0</v>
      </c>
      <c r="H27" s="166">
        <f t="shared" si="3"/>
        <v>0</v>
      </c>
      <c r="I27" s="166">
        <f t="shared" si="3"/>
        <v>0</v>
      </c>
    </row>
    <row r="28" spans="1:9" ht="12" thickTop="1" thickBot="1" x14ac:dyDescent="0.2">
      <c r="C28" s="149"/>
      <c r="D28" s="167"/>
      <c r="E28" s="167"/>
      <c r="F28" s="167"/>
      <c r="G28" s="167"/>
      <c r="I28" s="164"/>
    </row>
    <row r="29" spans="1:9" ht="10.5" customHeight="1" thickBot="1" x14ac:dyDescent="0.2">
      <c r="A29" s="34" t="s">
        <v>1581</v>
      </c>
      <c r="D29" s="168">
        <f t="shared" ref="D29:I29" si="4">D6+D27</f>
        <v>0</v>
      </c>
      <c r="E29" s="168">
        <f t="shared" si="4"/>
        <v>0</v>
      </c>
      <c r="F29" s="168">
        <f t="shared" si="4"/>
        <v>0</v>
      </c>
      <c r="G29" s="168">
        <f t="shared" si="4"/>
        <v>0</v>
      </c>
      <c r="H29" s="168">
        <f t="shared" si="4"/>
        <v>0</v>
      </c>
      <c r="I29" s="168">
        <f t="shared" si="4"/>
        <v>0</v>
      </c>
    </row>
    <row r="30" spans="1:9" x14ac:dyDescent="0.15">
      <c r="E30" s="156"/>
      <c r="F30" s="156"/>
      <c r="G30" s="156"/>
      <c r="I30" s="164"/>
    </row>
    <row r="31" spans="1:9" x14ac:dyDescent="0.15">
      <c r="A31" s="563" t="s">
        <v>290</v>
      </c>
      <c r="B31" s="413"/>
      <c r="C31" s="427" t="s">
        <v>286</v>
      </c>
      <c r="D31" s="412"/>
      <c r="E31" s="412"/>
      <c r="F31" s="412"/>
      <c r="G31" s="412"/>
      <c r="H31" s="412"/>
      <c r="I31" s="176"/>
    </row>
    <row r="32" spans="1:9" x14ac:dyDescent="0.15">
      <c r="A32" s="417" t="s">
        <v>1043</v>
      </c>
      <c r="B32" s="693" t="s">
        <v>980</v>
      </c>
      <c r="C32" s="2" t="s">
        <v>293</v>
      </c>
      <c r="D32" s="40">
        <v>0</v>
      </c>
      <c r="E32" s="40">
        <v>0</v>
      </c>
      <c r="F32" s="40">
        <v>0</v>
      </c>
      <c r="G32" s="40">
        <v>0</v>
      </c>
      <c r="H32" s="463">
        <v>0</v>
      </c>
      <c r="I32" s="464">
        <f>SUM(G32+H32)</f>
        <v>0</v>
      </c>
    </row>
    <row r="33" spans="1:9" x14ac:dyDescent="0.15">
      <c r="A33" s="417"/>
      <c r="B33" s="433"/>
      <c r="C33" s="2"/>
      <c r="D33" s="14"/>
      <c r="E33" s="14"/>
      <c r="F33" s="14"/>
      <c r="G33" s="14"/>
      <c r="H33" s="301"/>
      <c r="I33" s="298"/>
    </row>
    <row r="34" spans="1:9" x14ac:dyDescent="0.15">
      <c r="A34" s="563" t="s">
        <v>144</v>
      </c>
      <c r="B34" s="413"/>
      <c r="C34" s="412"/>
      <c r="D34" s="412"/>
      <c r="E34" s="412"/>
      <c r="F34" s="412"/>
      <c r="G34" s="412"/>
      <c r="H34" s="412"/>
      <c r="I34" s="412"/>
    </row>
    <row r="35" spans="1:9" x14ac:dyDescent="0.15">
      <c r="A35" s="35" t="s">
        <v>1135</v>
      </c>
      <c r="C35" s="206" t="s">
        <v>1136</v>
      </c>
      <c r="E35" s="156"/>
      <c r="F35" s="156"/>
      <c r="G35" s="156"/>
      <c r="I35" s="164"/>
    </row>
    <row r="36" spans="1:9" hidden="1" x14ac:dyDescent="0.15">
      <c r="A36" s="35"/>
      <c r="B36" s="39"/>
      <c r="E36" s="156"/>
      <c r="F36" s="156"/>
      <c r="G36" s="156"/>
      <c r="I36" s="164"/>
    </row>
    <row r="37" spans="1:9" x14ac:dyDescent="0.15">
      <c r="A37" s="304" t="s">
        <v>1312</v>
      </c>
      <c r="B37" s="697">
        <v>14</v>
      </c>
      <c r="C37" s="305" t="s">
        <v>337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92">
        <f>G37+H37</f>
        <v>0</v>
      </c>
    </row>
    <row r="38" spans="1:9" hidden="1" x14ac:dyDescent="0.15">
      <c r="A38" s="304" t="s">
        <v>881</v>
      </c>
      <c r="B38" s="697" t="s">
        <v>641</v>
      </c>
      <c r="C38" s="305" t="s">
        <v>1165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92">
        <f t="shared" ref="I38:I48" si="5">G38+H38</f>
        <v>0</v>
      </c>
    </row>
    <row r="39" spans="1:9" x14ac:dyDescent="0.15">
      <c r="A39" s="149" t="s">
        <v>1313</v>
      </c>
      <c r="B39" s="698">
        <v>15</v>
      </c>
      <c r="C39" s="114" t="s">
        <v>338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92">
        <f t="shared" si="5"/>
        <v>0</v>
      </c>
    </row>
    <row r="40" spans="1:9" x14ac:dyDescent="0.15">
      <c r="A40" s="134" t="s">
        <v>1316</v>
      </c>
      <c r="B40" s="289" t="s">
        <v>646</v>
      </c>
      <c r="C40" s="1" t="s">
        <v>1064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92">
        <f t="shared" si="5"/>
        <v>0</v>
      </c>
    </row>
    <row r="41" spans="1:9" x14ac:dyDescent="0.15">
      <c r="A41" s="134" t="s">
        <v>193</v>
      </c>
      <c r="B41" s="289" t="s">
        <v>649</v>
      </c>
      <c r="C41" s="1" t="s">
        <v>756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92">
        <f t="shared" si="5"/>
        <v>0</v>
      </c>
    </row>
    <row r="42" spans="1:9" x14ac:dyDescent="0.15">
      <c r="A42" s="134" t="s">
        <v>29</v>
      </c>
      <c r="B42" s="289" t="s">
        <v>650</v>
      </c>
      <c r="C42" s="1" t="s">
        <v>192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92">
        <f t="shared" ref="I42:I44" si="6">G42+H42</f>
        <v>0</v>
      </c>
    </row>
    <row r="43" spans="1:9" x14ac:dyDescent="0.15">
      <c r="A43" s="134" t="s">
        <v>110</v>
      </c>
      <c r="B43" s="289" t="s">
        <v>651</v>
      </c>
      <c r="C43" s="1" t="s">
        <v>194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92">
        <f t="shared" si="6"/>
        <v>0</v>
      </c>
    </row>
    <row r="44" spans="1:9" x14ac:dyDescent="0.15">
      <c r="A44" s="134" t="s">
        <v>111</v>
      </c>
      <c r="B44" s="289" t="s">
        <v>652</v>
      </c>
      <c r="C44" s="1" t="s">
        <v>195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92">
        <f t="shared" si="6"/>
        <v>0</v>
      </c>
    </row>
    <row r="45" spans="1:9" x14ac:dyDescent="0.15">
      <c r="A45" s="107" t="s">
        <v>1020</v>
      </c>
      <c r="B45" s="289" t="s">
        <v>657</v>
      </c>
      <c r="C45" s="1" t="s">
        <v>1021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92">
        <f t="shared" si="5"/>
        <v>0</v>
      </c>
    </row>
    <row r="46" spans="1:9" x14ac:dyDescent="0.15">
      <c r="A46" s="134" t="s">
        <v>114</v>
      </c>
      <c r="B46" s="289" t="s">
        <v>659</v>
      </c>
      <c r="C46" s="1" t="s">
        <v>1121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92">
        <f t="shared" si="5"/>
        <v>0</v>
      </c>
    </row>
    <row r="47" spans="1:9" x14ac:dyDescent="0.15">
      <c r="A47" s="149"/>
      <c r="B47" s="149"/>
      <c r="C47" s="568" t="s">
        <v>981</v>
      </c>
      <c r="D47" s="696">
        <f t="shared" ref="D47:I47" si="7">+D32</f>
        <v>0</v>
      </c>
      <c r="E47" s="696">
        <f t="shared" si="7"/>
        <v>0</v>
      </c>
      <c r="F47" s="696">
        <f t="shared" si="7"/>
        <v>0</v>
      </c>
      <c r="G47" s="696">
        <f t="shared" si="7"/>
        <v>0</v>
      </c>
      <c r="H47" s="696">
        <f t="shared" si="7"/>
        <v>0</v>
      </c>
      <c r="I47" s="696">
        <f t="shared" si="7"/>
        <v>0</v>
      </c>
    </row>
    <row r="48" spans="1:9" x14ac:dyDescent="0.15">
      <c r="A48" s="134" t="s">
        <v>196</v>
      </c>
      <c r="B48" s="132" t="s">
        <v>660</v>
      </c>
      <c r="C48" s="1" t="s">
        <v>815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92">
        <f t="shared" si="5"/>
        <v>0</v>
      </c>
    </row>
    <row r="49" spans="1:9" ht="11.25" thickBot="1" x14ac:dyDescent="0.2">
      <c r="C49" s="169"/>
      <c r="D49" s="14"/>
      <c r="E49" s="14"/>
      <c r="F49" s="14"/>
      <c r="G49" s="14"/>
      <c r="I49" s="164"/>
    </row>
    <row r="50" spans="1:9" ht="12" thickTop="1" thickBot="1" x14ac:dyDescent="0.2">
      <c r="A50" s="157"/>
      <c r="B50" s="157">
        <v>27</v>
      </c>
      <c r="C50" s="699" t="s">
        <v>1504</v>
      </c>
      <c r="D50" s="153">
        <f t="shared" ref="D50:I50" si="8">SUM(D37:D49)</f>
        <v>0</v>
      </c>
      <c r="E50" s="153">
        <f t="shared" si="8"/>
        <v>0</v>
      </c>
      <c r="F50" s="153">
        <f t="shared" si="8"/>
        <v>0</v>
      </c>
      <c r="G50" s="153">
        <f t="shared" si="8"/>
        <v>0</v>
      </c>
      <c r="H50" s="153">
        <f t="shared" si="8"/>
        <v>0</v>
      </c>
      <c r="I50" s="170">
        <f t="shared" si="8"/>
        <v>0</v>
      </c>
    </row>
    <row r="51" spans="1:9" ht="11.25" hidden="1" thickTop="1" x14ac:dyDescent="0.15">
      <c r="A51" s="149"/>
      <c r="B51" s="149"/>
      <c r="D51" s="14"/>
      <c r="E51" s="14"/>
      <c r="F51" s="14"/>
      <c r="G51" s="14"/>
      <c r="I51" s="164"/>
    </row>
    <row r="52" spans="1:9" hidden="1" x14ac:dyDescent="0.15">
      <c r="A52" s="152" t="s">
        <v>1048</v>
      </c>
      <c r="B52"/>
      <c r="C52" s="206" t="s">
        <v>211</v>
      </c>
      <c r="D52" s="14"/>
      <c r="E52" s="14"/>
      <c r="F52" s="14"/>
      <c r="G52" s="14"/>
      <c r="I52" s="164"/>
    </row>
    <row r="53" spans="1:9" hidden="1" x14ac:dyDescent="0.15">
      <c r="A53" s="486" t="s">
        <v>827</v>
      </c>
      <c r="B53" s="290" t="s">
        <v>663</v>
      </c>
      <c r="C53" s="135" t="s">
        <v>821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92">
        <f>G53+H53</f>
        <v>0</v>
      </c>
    </row>
    <row r="54" spans="1:9" hidden="1" x14ac:dyDescent="0.15">
      <c r="A54" s="627" t="s">
        <v>1394</v>
      </c>
      <c r="B54" s="290" t="s">
        <v>664</v>
      </c>
      <c r="C54" s="135" t="s">
        <v>822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92">
        <f t="shared" ref="I54:I63" si="9">G54+H54</f>
        <v>0</v>
      </c>
    </row>
    <row r="55" spans="1:9" hidden="1" x14ac:dyDescent="0.15">
      <c r="A55" s="627" t="s">
        <v>1395</v>
      </c>
      <c r="B55" s="290" t="s">
        <v>665</v>
      </c>
      <c r="C55" s="135" t="s">
        <v>823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92">
        <f t="shared" si="9"/>
        <v>0</v>
      </c>
    </row>
    <row r="56" spans="1:9" hidden="1" x14ac:dyDescent="0.15">
      <c r="A56" s="627" t="s">
        <v>1396</v>
      </c>
      <c r="B56" s="290" t="s">
        <v>666</v>
      </c>
      <c r="C56" s="625" t="s">
        <v>1397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92">
        <f t="shared" si="9"/>
        <v>0</v>
      </c>
    </row>
    <row r="57" spans="1:9" hidden="1" x14ac:dyDescent="0.15">
      <c r="A57" s="486" t="s">
        <v>831</v>
      </c>
      <c r="B57" s="290" t="s">
        <v>667</v>
      </c>
      <c r="C57" s="135" t="s">
        <v>825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92">
        <f t="shared" si="9"/>
        <v>0</v>
      </c>
    </row>
    <row r="58" spans="1:9" hidden="1" x14ac:dyDescent="0.15">
      <c r="A58" s="146"/>
      <c r="B58" s="290" t="s">
        <v>668</v>
      </c>
      <c r="C58" s="1" t="s">
        <v>1421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92">
        <f t="shared" si="9"/>
        <v>0</v>
      </c>
    </row>
    <row r="59" spans="1:9" hidden="1" x14ac:dyDescent="0.15">
      <c r="A59" s="555"/>
      <c r="B59" s="557"/>
      <c r="C59" s="556"/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92">
        <f t="shared" si="9"/>
        <v>0</v>
      </c>
    </row>
    <row r="60" spans="1:9" hidden="1" x14ac:dyDescent="0.15">
      <c r="B60" s="157"/>
      <c r="C60" s="114"/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92">
        <f t="shared" si="9"/>
        <v>0</v>
      </c>
    </row>
    <row r="61" spans="1:9" hidden="1" x14ac:dyDescent="0.15">
      <c r="C61" s="114"/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92">
        <f t="shared" si="9"/>
        <v>0</v>
      </c>
    </row>
    <row r="62" spans="1:9" hidden="1" x14ac:dyDescent="0.15">
      <c r="B62" s="157"/>
      <c r="C62" s="169"/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92">
        <f t="shared" si="9"/>
        <v>0</v>
      </c>
    </row>
    <row r="63" spans="1:9" hidden="1" x14ac:dyDescent="0.15">
      <c r="C63" s="114"/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92">
        <f t="shared" si="9"/>
        <v>0</v>
      </c>
    </row>
    <row r="64" spans="1:9" ht="11.25" hidden="1" thickBot="1" x14ac:dyDescent="0.2">
      <c r="A64" s="302"/>
      <c r="B64" s="302"/>
      <c r="C64" s="305"/>
      <c r="D64" s="14"/>
      <c r="E64" s="14"/>
      <c r="F64" s="14"/>
      <c r="G64" s="14"/>
      <c r="I64" s="164"/>
    </row>
    <row r="65" spans="1:9" ht="12" hidden="1" thickTop="1" thickBot="1" x14ac:dyDescent="0.2">
      <c r="A65" s="511"/>
      <c r="B65" s="511"/>
      <c r="C65" s="305"/>
      <c r="D65" s="153">
        <f t="shared" ref="D65:I65" si="10">SUM(D53:D63)</f>
        <v>0</v>
      </c>
      <c r="E65" s="153">
        <f>SUM(E53:E63)</f>
        <v>0</v>
      </c>
      <c r="F65" s="153">
        <f t="shared" si="10"/>
        <v>0</v>
      </c>
      <c r="G65" s="153">
        <f t="shared" si="10"/>
        <v>0</v>
      </c>
      <c r="H65" s="153">
        <f t="shared" si="10"/>
        <v>0</v>
      </c>
      <c r="I65" s="170">
        <f t="shared" si="10"/>
        <v>0</v>
      </c>
    </row>
    <row r="66" spans="1:9" ht="11.25" hidden="1" thickTop="1" x14ac:dyDescent="0.15">
      <c r="A66" s="511"/>
      <c r="B66" s="511"/>
      <c r="C66" s="305"/>
      <c r="D66" s="14"/>
      <c r="E66" s="14"/>
      <c r="F66" s="14"/>
      <c r="G66" s="14"/>
      <c r="I66" s="164"/>
    </row>
    <row r="67" spans="1:9" hidden="1" x14ac:dyDescent="0.15">
      <c r="A67" s="694"/>
      <c r="B67" s="695"/>
      <c r="C67" s="454"/>
      <c r="D67" s="14"/>
      <c r="E67" s="14"/>
      <c r="F67" s="14"/>
      <c r="G67" s="14"/>
      <c r="I67" s="164"/>
    </row>
    <row r="68" spans="1:9" hidden="1" x14ac:dyDescent="0.15">
      <c r="A68" s="416"/>
      <c r="B68" s="695"/>
      <c r="C68" s="305"/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92">
        <f>G68+H68</f>
        <v>0</v>
      </c>
    </row>
    <row r="69" spans="1:9" hidden="1" x14ac:dyDescent="0.15">
      <c r="A69" s="302"/>
      <c r="B69" s="302"/>
      <c r="C69" s="305"/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92">
        <f>G69+H69</f>
        <v>0</v>
      </c>
    </row>
    <row r="70" spans="1:9" hidden="1" x14ac:dyDescent="0.15">
      <c r="A70" s="302"/>
      <c r="B70" s="511"/>
      <c r="C70" s="305"/>
      <c r="D70" s="158"/>
      <c r="E70" s="158"/>
      <c r="F70" s="158"/>
      <c r="G70" s="158"/>
      <c r="H70" s="285"/>
      <c r="I70" s="574"/>
    </row>
    <row r="71" spans="1:9" hidden="1" x14ac:dyDescent="0.15">
      <c r="C71" s="114"/>
      <c r="D71" s="459">
        <f t="shared" ref="D71:I71" si="11">+D32</f>
        <v>0</v>
      </c>
      <c r="E71" s="459">
        <f t="shared" si="11"/>
        <v>0</v>
      </c>
      <c r="F71" s="459">
        <f t="shared" si="11"/>
        <v>0</v>
      </c>
      <c r="G71" s="459">
        <f t="shared" si="11"/>
        <v>0</v>
      </c>
      <c r="H71" s="459">
        <f t="shared" si="11"/>
        <v>0</v>
      </c>
      <c r="I71" s="459">
        <f t="shared" si="11"/>
        <v>0</v>
      </c>
    </row>
    <row r="72" spans="1:9" ht="11.25" hidden="1" thickBot="1" x14ac:dyDescent="0.2">
      <c r="B72" s="200" t="s">
        <v>1363</v>
      </c>
      <c r="C72" s="34" t="s">
        <v>1365</v>
      </c>
      <c r="D72" s="14"/>
      <c r="E72" s="14"/>
      <c r="F72" s="14"/>
      <c r="G72" s="14"/>
      <c r="I72" s="164"/>
    </row>
    <row r="73" spans="1:9" ht="12" thickTop="1" thickBot="1" x14ac:dyDescent="0.2">
      <c r="D73" s="170">
        <f t="shared" ref="D73:I73" si="12">SUM(D68:D72)</f>
        <v>0</v>
      </c>
      <c r="E73" s="170">
        <f t="shared" si="12"/>
        <v>0</v>
      </c>
      <c r="F73" s="170">
        <f t="shared" si="12"/>
        <v>0</v>
      </c>
      <c r="G73" s="170">
        <f t="shared" si="12"/>
        <v>0</v>
      </c>
      <c r="H73" s="170">
        <f t="shared" si="12"/>
        <v>0</v>
      </c>
      <c r="I73" s="170">
        <f t="shared" si="12"/>
        <v>0</v>
      </c>
    </row>
    <row r="74" spans="1:9" ht="11.25" thickTop="1" x14ac:dyDescent="0.15">
      <c r="A74" s="152" t="s">
        <v>1048</v>
      </c>
      <c r="C74" s="206" t="s">
        <v>211</v>
      </c>
      <c r="D74" s="156"/>
      <c r="E74" s="156"/>
      <c r="F74" s="156"/>
      <c r="G74" s="156"/>
      <c r="I74" s="164"/>
    </row>
    <row r="75" spans="1:9" x14ac:dyDescent="0.15">
      <c r="A75" s="486" t="s">
        <v>827</v>
      </c>
      <c r="B75" s="157" t="s">
        <v>1413</v>
      </c>
      <c r="C75" s="135" t="s">
        <v>821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92">
        <f>G75+H75</f>
        <v>0</v>
      </c>
    </row>
    <row r="76" spans="1:9" x14ac:dyDescent="0.15">
      <c r="A76" s="627" t="s">
        <v>1394</v>
      </c>
      <c r="B76" s="157" t="s">
        <v>1414</v>
      </c>
      <c r="C76" s="135" t="s">
        <v>822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92">
        <f>G76+H76</f>
        <v>0</v>
      </c>
    </row>
    <row r="77" spans="1:9" x14ac:dyDescent="0.15">
      <c r="A77" s="627" t="s">
        <v>1395</v>
      </c>
      <c r="B77" s="157" t="s">
        <v>1415</v>
      </c>
      <c r="C77" s="135" t="s">
        <v>823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92">
        <f>G77+H77</f>
        <v>0</v>
      </c>
    </row>
    <row r="78" spans="1:9" ht="9.75" customHeight="1" x14ac:dyDescent="0.15">
      <c r="A78" s="627" t="s">
        <v>1396</v>
      </c>
      <c r="B78" s="157" t="s">
        <v>1416</v>
      </c>
      <c r="C78" s="625" t="s">
        <v>1397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92">
        <f>G78+H78</f>
        <v>0</v>
      </c>
    </row>
    <row r="79" spans="1:9" ht="11.25" thickBot="1" x14ac:dyDescent="0.2">
      <c r="A79" s="486" t="s">
        <v>831</v>
      </c>
      <c r="B79" s="157" t="s">
        <v>1417</v>
      </c>
      <c r="C79" s="135" t="s">
        <v>825</v>
      </c>
      <c r="D79" s="147">
        <v>0</v>
      </c>
      <c r="E79" s="147">
        <v>0</v>
      </c>
      <c r="F79" s="147">
        <v>0</v>
      </c>
      <c r="G79" s="147">
        <v>0</v>
      </c>
      <c r="H79" s="40">
        <v>0</v>
      </c>
      <c r="I79" s="492">
        <f>G79+H79</f>
        <v>0</v>
      </c>
    </row>
    <row r="80" spans="1:9" ht="12" thickTop="1" thickBot="1" x14ac:dyDescent="0.2">
      <c r="A80" s="146"/>
      <c r="B80" s="157" t="s">
        <v>1364</v>
      </c>
      <c r="C80" s="1" t="s">
        <v>1418</v>
      </c>
      <c r="D80" s="148">
        <f>SUM(D75:D79)</f>
        <v>0</v>
      </c>
      <c r="E80" s="148">
        <f>SUM(E75:E79)</f>
        <v>0</v>
      </c>
      <c r="F80" s="148">
        <f t="shared" ref="F80:I80" si="13">SUM(F75:F79)</f>
        <v>0</v>
      </c>
      <c r="G80" s="148">
        <f t="shared" si="13"/>
        <v>0</v>
      </c>
      <c r="H80" s="148">
        <f t="shared" si="13"/>
        <v>0</v>
      </c>
      <c r="I80" s="166">
        <f t="shared" si="13"/>
        <v>0</v>
      </c>
    </row>
    <row r="81" spans="1:9" ht="12" thickTop="1" thickBot="1" x14ac:dyDescent="0.2">
      <c r="A81" s="146"/>
      <c r="C81" s="114"/>
      <c r="D81" s="156"/>
      <c r="E81" s="156"/>
      <c r="F81" s="156"/>
      <c r="G81" s="156"/>
      <c r="I81" s="164"/>
    </row>
    <row r="82" spans="1:9" ht="11.25" thickBot="1" x14ac:dyDescent="0.2">
      <c r="A82" s="728" t="s">
        <v>1505</v>
      </c>
      <c r="B82" s="728"/>
      <c r="C82" s="729"/>
      <c r="D82" s="208">
        <f t="shared" ref="D82:I82" si="14">D50+D80</f>
        <v>0</v>
      </c>
      <c r="E82" s="208">
        <f t="shared" si="14"/>
        <v>0</v>
      </c>
      <c r="F82" s="208">
        <f t="shared" si="14"/>
        <v>0</v>
      </c>
      <c r="G82" s="208">
        <f t="shared" si="14"/>
        <v>0</v>
      </c>
      <c r="H82" s="208">
        <f t="shared" si="14"/>
        <v>0</v>
      </c>
      <c r="I82" s="208">
        <f t="shared" si="14"/>
        <v>0</v>
      </c>
    </row>
    <row r="83" spans="1:9" x14ac:dyDescent="0.15">
      <c r="A83" s="146"/>
      <c r="C83" s="114" t="s">
        <v>203</v>
      </c>
      <c r="D83" s="156"/>
      <c r="E83" s="156"/>
      <c r="F83" s="156"/>
      <c r="G83" s="156"/>
      <c r="I83" s="164"/>
    </row>
    <row r="84" spans="1:9" ht="11.25" thickBot="1" x14ac:dyDescent="0.2">
      <c r="A84" s="146"/>
      <c r="C84" s="114"/>
      <c r="D84" s="156"/>
      <c r="E84" s="156"/>
      <c r="F84" s="156"/>
      <c r="G84" s="156"/>
      <c r="I84" s="164"/>
    </row>
    <row r="85" spans="1:9" ht="12" thickTop="1" thickBot="1" x14ac:dyDescent="0.2">
      <c r="C85" s="169" t="s">
        <v>204</v>
      </c>
      <c r="D85" s="170">
        <f t="shared" ref="D85:I85" si="15">D29</f>
        <v>0</v>
      </c>
      <c r="E85" s="170">
        <f t="shared" si="15"/>
        <v>0</v>
      </c>
      <c r="F85" s="170">
        <f t="shared" si="15"/>
        <v>0</v>
      </c>
      <c r="G85" s="170">
        <f t="shared" si="15"/>
        <v>0</v>
      </c>
      <c r="H85" s="170">
        <f t="shared" si="15"/>
        <v>0</v>
      </c>
      <c r="I85" s="170">
        <f t="shared" si="15"/>
        <v>0</v>
      </c>
    </row>
    <row r="86" spans="1:9" ht="11.25" thickTop="1" x14ac:dyDescent="0.15">
      <c r="I86" s="164"/>
    </row>
    <row r="87" spans="1:9" x14ac:dyDescent="0.15">
      <c r="C87" s="169" t="s">
        <v>205</v>
      </c>
      <c r="D87" s="155">
        <f t="shared" ref="D87:I87" si="16">D82-D85</f>
        <v>0</v>
      </c>
      <c r="E87" s="155">
        <f>E82-E85</f>
        <v>0</v>
      </c>
      <c r="F87" s="155">
        <f t="shared" si="16"/>
        <v>0</v>
      </c>
      <c r="G87" s="155">
        <f t="shared" si="16"/>
        <v>0</v>
      </c>
      <c r="H87" s="155">
        <f t="shared" si="16"/>
        <v>0</v>
      </c>
      <c r="I87" s="164">
        <f t="shared" si="16"/>
        <v>0</v>
      </c>
    </row>
    <row r="88" spans="1:9" x14ac:dyDescent="0.15">
      <c r="B88" s="3"/>
      <c r="D88" s="3"/>
      <c r="E88" s="8"/>
      <c r="F88" s="8"/>
      <c r="G88" s="156"/>
      <c r="I88" s="164"/>
    </row>
    <row r="89" spans="1:9" x14ac:dyDescent="0.15">
      <c r="A89" s="3"/>
      <c r="D89" s="3"/>
      <c r="E89" s="8"/>
      <c r="F89" s="8"/>
      <c r="G89" s="156"/>
      <c r="I89" s="164"/>
    </row>
    <row r="90" spans="1:9" x14ac:dyDescent="0.15">
      <c r="B90" s="3"/>
      <c r="D90" s="3"/>
      <c r="E90" s="8"/>
      <c r="F90" s="8"/>
      <c r="G90" s="156"/>
    </row>
    <row r="91" spans="1:9" x14ac:dyDescent="0.15">
      <c r="A91" s="719" t="s">
        <v>1559</v>
      </c>
      <c r="B91" s="587" t="s">
        <v>1560</v>
      </c>
      <c r="D91" s="3"/>
      <c r="E91" s="8"/>
      <c r="F91" s="8"/>
      <c r="G91" s="156"/>
    </row>
  </sheetData>
  <sheetProtection password="CB03" sheet="1" objects="1" scenarios="1" formatCells="0" formatColumns="0" formatRows="0"/>
  <mergeCells count="1">
    <mergeCell ref="A82:C82"/>
  </mergeCells>
  <phoneticPr fontId="15" type="noConversion"/>
  <pageMargins left="0.75" right="0.75" top="1" bottom="1" header="0.5" footer="0.5"/>
  <pageSetup scale="60" firstPageNumber="29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pageSetUpPr fitToPage="1"/>
  </sheetPr>
  <dimension ref="A1:AG123"/>
  <sheetViews>
    <sheetView zoomScale="80" zoomScaleNormal="80" workbookViewId="0">
      <selection activeCell="A2" sqref="A2"/>
    </sheetView>
  </sheetViews>
  <sheetFormatPr defaultRowHeight="10.5" x14ac:dyDescent="0.15"/>
  <cols>
    <col min="1" max="1" width="9.33203125" style="283"/>
    <col min="3" max="3" width="61.33203125" customWidth="1"/>
    <col min="4" max="4" width="11.5" customWidth="1"/>
    <col min="5" max="5" width="10.83203125" customWidth="1"/>
    <col min="6" max="6" width="11.83203125" customWidth="1"/>
    <col min="7" max="7" width="11.6640625" customWidth="1"/>
    <col min="8" max="8" width="11" customWidth="1"/>
    <col min="9" max="9" width="11.5" customWidth="1"/>
    <col min="10" max="10" width="12.6640625" customWidth="1"/>
    <col min="11" max="12" width="11.5" customWidth="1"/>
    <col min="13" max="21" width="13.83203125" customWidth="1"/>
    <col min="22" max="22" width="13.83203125" style="283" customWidth="1"/>
    <col min="23" max="23" width="13.83203125" customWidth="1"/>
    <col min="24" max="24" width="12.6640625" customWidth="1"/>
    <col min="25" max="25" width="12" customWidth="1"/>
    <col min="27" max="27" width="16.6640625" customWidth="1"/>
    <col min="28" max="32" width="12.33203125" customWidth="1"/>
    <col min="33" max="33" width="13.83203125" customWidth="1"/>
  </cols>
  <sheetData>
    <row r="1" spans="1:25" ht="15.75" customHeight="1" x14ac:dyDescent="0.25">
      <c r="A1" s="316"/>
      <c r="C1" s="316"/>
      <c r="D1" s="372">
        <f t="shared" ref="D1:W1" si="0">IF(D3&gt;4000,300,IF(D3&gt;3000,200,100))</f>
        <v>100</v>
      </c>
      <c r="E1" s="372">
        <f t="shared" si="0"/>
        <v>100</v>
      </c>
      <c r="F1" s="372">
        <f t="shared" si="0"/>
        <v>100</v>
      </c>
      <c r="G1" s="372">
        <f t="shared" si="0"/>
        <v>100</v>
      </c>
      <c r="H1" s="372">
        <f t="shared" si="0"/>
        <v>100</v>
      </c>
      <c r="I1" s="372">
        <f t="shared" si="0"/>
        <v>100</v>
      </c>
      <c r="J1" s="372">
        <f t="shared" si="0"/>
        <v>100</v>
      </c>
      <c r="K1" s="372">
        <f t="shared" si="0"/>
        <v>100</v>
      </c>
      <c r="L1" s="372">
        <f t="shared" si="0"/>
        <v>100</v>
      </c>
      <c r="M1" s="372">
        <f t="shared" si="0"/>
        <v>100</v>
      </c>
      <c r="N1" s="372">
        <f t="shared" si="0"/>
        <v>100</v>
      </c>
      <c r="O1" s="372">
        <f t="shared" si="0"/>
        <v>100</v>
      </c>
      <c r="P1" s="372">
        <f t="shared" si="0"/>
        <v>100</v>
      </c>
      <c r="Q1" s="372">
        <f t="shared" si="0"/>
        <v>100</v>
      </c>
      <c r="R1" s="372">
        <f t="shared" si="0"/>
        <v>100</v>
      </c>
      <c r="S1" s="372">
        <f t="shared" si="0"/>
        <v>100</v>
      </c>
      <c r="T1" s="372">
        <f t="shared" si="0"/>
        <v>100</v>
      </c>
      <c r="U1" s="372">
        <f t="shared" si="0"/>
        <v>100</v>
      </c>
      <c r="V1" s="372">
        <f t="shared" si="0"/>
        <v>100</v>
      </c>
      <c r="W1" s="372">
        <f t="shared" si="0"/>
        <v>100</v>
      </c>
      <c r="X1" s="319"/>
    </row>
    <row r="2" spans="1:25" ht="15" x14ac:dyDescent="0.25">
      <c r="A2" s="363" t="s">
        <v>1608</v>
      </c>
      <c r="C2" s="320"/>
      <c r="D2" s="372">
        <f>D1+COUNTIF($D$1:D$1,D1)</f>
        <v>101</v>
      </c>
      <c r="E2" s="372">
        <f>E1+COUNTIF($D$1:E$1,E1)</f>
        <v>102</v>
      </c>
      <c r="F2" s="372">
        <f>F1+COUNTIF($D$1:F$1,F1)</f>
        <v>103</v>
      </c>
      <c r="G2" s="372">
        <f>G1+COUNTIF($D$1:G$1,G1)</f>
        <v>104</v>
      </c>
      <c r="H2" s="372">
        <f>H1+COUNTIF($D$1:H$1,H1)</f>
        <v>105</v>
      </c>
      <c r="I2" s="372">
        <f>I1+COUNTIF($D$1:I$1,I1)</f>
        <v>106</v>
      </c>
      <c r="J2" s="372">
        <f>J1+COUNTIF($D$1:J$1,J1)</f>
        <v>107</v>
      </c>
      <c r="K2" s="372">
        <f>K1+COUNTIF($D$1:K$1,K1)</f>
        <v>108</v>
      </c>
      <c r="L2" s="372">
        <f>L1+COUNTIF($D$1:L$1,L1)</f>
        <v>109</v>
      </c>
      <c r="M2" s="372">
        <f>M1+COUNTIF($D$1:M$1,M1)</f>
        <v>110</v>
      </c>
      <c r="N2" s="372">
        <f>N1+COUNTIF($D$1:N$1,N1)</f>
        <v>111</v>
      </c>
      <c r="O2" s="372">
        <f>O1+COUNTIF($D$1:O$1,O1)</f>
        <v>112</v>
      </c>
      <c r="P2" s="372">
        <f>P1+COUNTIF($D$1:P$1,P1)</f>
        <v>113</v>
      </c>
      <c r="Q2" s="372">
        <f>Q1+COUNTIF($D$1:Q$1,Q1)</f>
        <v>114</v>
      </c>
      <c r="R2" s="372">
        <f>R1+COUNTIF($D$1:R$1,R1)</f>
        <v>115</v>
      </c>
      <c r="S2" s="372">
        <f>S1+COUNTIF($D$1:S$1,S1)</f>
        <v>116</v>
      </c>
      <c r="T2" s="372">
        <f>T1+COUNTIF($D$1:T$1,T1)</f>
        <v>117</v>
      </c>
      <c r="U2" s="372">
        <f>U1+COUNTIF($D$1:U$1,U1)</f>
        <v>118</v>
      </c>
      <c r="V2" s="372">
        <f>V1+COUNTIF($D$1:V$1,V1)</f>
        <v>119</v>
      </c>
      <c r="W2" s="372">
        <f>W1+COUNTIF($D$1:W$1,W1)</f>
        <v>120</v>
      </c>
      <c r="X2" s="319"/>
    </row>
    <row r="3" spans="1:25" s="132" customFormat="1" ht="12.75" x14ac:dyDescent="0.2">
      <c r="A3" s="358"/>
      <c r="C3" s="544" t="s">
        <v>1222</v>
      </c>
      <c r="D3" s="575"/>
      <c r="E3" s="576"/>
      <c r="F3" s="576"/>
      <c r="G3" s="575"/>
      <c r="H3" s="577"/>
      <c r="I3" s="576"/>
      <c r="J3" s="576"/>
      <c r="K3" s="575"/>
      <c r="L3" s="577"/>
      <c r="M3" s="577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359"/>
    </row>
    <row r="4" spans="1:25" ht="11.25" x14ac:dyDescent="0.15">
      <c r="A4" s="321" t="s">
        <v>1202</v>
      </c>
      <c r="B4" s="321" t="s">
        <v>1135</v>
      </c>
      <c r="C4" s="322" t="s">
        <v>608</v>
      </c>
      <c r="D4" s="541"/>
      <c r="E4" s="541"/>
      <c r="F4" s="541"/>
      <c r="G4" s="541"/>
      <c r="H4" s="541"/>
      <c r="I4" s="541"/>
      <c r="J4" s="542"/>
      <c r="K4" s="541"/>
      <c r="L4" s="543"/>
      <c r="M4" s="543"/>
      <c r="N4" s="543"/>
      <c r="O4" s="543"/>
      <c r="P4" s="543"/>
      <c r="Q4" s="543"/>
      <c r="R4" s="543"/>
      <c r="S4" s="543"/>
      <c r="T4" s="543"/>
      <c r="U4" s="543"/>
      <c r="V4" s="543"/>
      <c r="W4" s="543"/>
      <c r="X4" s="323" t="s">
        <v>611</v>
      </c>
      <c r="Y4" s="324"/>
    </row>
    <row r="5" spans="1:25" ht="11.25" x14ac:dyDescent="0.15">
      <c r="A5" s="325"/>
      <c r="C5" s="326"/>
      <c r="D5" s="327"/>
      <c r="E5" s="327"/>
      <c r="F5" s="327"/>
      <c r="G5" s="327"/>
      <c r="H5" s="327"/>
      <c r="I5" s="327"/>
      <c r="J5" s="327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9"/>
    </row>
    <row r="6" spans="1:25" ht="11.25" x14ac:dyDescent="0.15">
      <c r="A6" s="325"/>
      <c r="C6" s="326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30"/>
    </row>
    <row r="7" spans="1:25" ht="11.25" x14ac:dyDescent="0.2">
      <c r="A7" s="331">
        <v>1</v>
      </c>
      <c r="C7" s="320" t="s">
        <v>1203</v>
      </c>
      <c r="D7" s="517">
        <v>0</v>
      </c>
      <c r="E7" s="517">
        <v>0</v>
      </c>
      <c r="F7" s="517">
        <v>0</v>
      </c>
      <c r="G7" s="517">
        <v>0</v>
      </c>
      <c r="H7" s="517">
        <v>0</v>
      </c>
      <c r="I7" s="517">
        <v>0</v>
      </c>
      <c r="J7" s="517">
        <v>0</v>
      </c>
      <c r="K7" s="517">
        <v>0</v>
      </c>
      <c r="L7" s="517">
        <v>0</v>
      </c>
      <c r="M7" s="517">
        <v>0</v>
      </c>
      <c r="N7" s="517">
        <v>0</v>
      </c>
      <c r="O7" s="517">
        <v>0</v>
      </c>
      <c r="P7" s="517">
        <v>0</v>
      </c>
      <c r="Q7" s="517">
        <v>0</v>
      </c>
      <c r="R7" s="517">
        <v>0</v>
      </c>
      <c r="S7" s="517">
        <v>0</v>
      </c>
      <c r="T7" s="517">
        <v>0</v>
      </c>
      <c r="U7" s="517">
        <v>0</v>
      </c>
      <c r="V7" s="517">
        <v>0</v>
      </c>
      <c r="W7" s="517">
        <v>0</v>
      </c>
      <c r="X7" s="332">
        <f>SUM(D7:W7)</f>
        <v>0</v>
      </c>
      <c r="Y7" s="333"/>
    </row>
    <row r="8" spans="1:25" ht="11.25" x14ac:dyDescent="0.2">
      <c r="A8" s="331" t="s">
        <v>1204</v>
      </c>
      <c r="C8" s="334" t="s">
        <v>987</v>
      </c>
      <c r="D8" s="517">
        <v>0</v>
      </c>
      <c r="E8" s="517">
        <v>0</v>
      </c>
      <c r="F8" s="517">
        <v>0</v>
      </c>
      <c r="G8" s="517">
        <v>0</v>
      </c>
      <c r="H8" s="517">
        <v>0</v>
      </c>
      <c r="I8" s="517">
        <v>0</v>
      </c>
      <c r="J8" s="517">
        <v>0</v>
      </c>
      <c r="K8" s="517">
        <v>0</v>
      </c>
      <c r="L8" s="517">
        <v>0</v>
      </c>
      <c r="M8" s="517">
        <v>0</v>
      </c>
      <c r="N8" s="517">
        <v>0</v>
      </c>
      <c r="O8" s="517">
        <v>0</v>
      </c>
      <c r="P8" s="517">
        <v>0</v>
      </c>
      <c r="Q8" s="517">
        <v>0</v>
      </c>
      <c r="R8" s="517">
        <v>0</v>
      </c>
      <c r="S8" s="517">
        <v>0</v>
      </c>
      <c r="T8" s="517">
        <v>0</v>
      </c>
      <c r="U8" s="517">
        <v>0</v>
      </c>
      <c r="V8" s="517">
        <v>0</v>
      </c>
      <c r="W8" s="517">
        <v>0</v>
      </c>
      <c r="X8" s="332">
        <f>SUM(D8:W8)</f>
        <v>0</v>
      </c>
    </row>
    <row r="9" spans="1:25" ht="11.25" x14ac:dyDescent="0.2">
      <c r="A9" s="331" t="s">
        <v>1205</v>
      </c>
      <c r="C9" s="334" t="s">
        <v>994</v>
      </c>
      <c r="D9" s="517">
        <v>0</v>
      </c>
      <c r="E9" s="517">
        <v>0</v>
      </c>
      <c r="F9" s="517">
        <v>0</v>
      </c>
      <c r="G9" s="517">
        <v>0</v>
      </c>
      <c r="H9" s="517">
        <v>0</v>
      </c>
      <c r="I9" s="517">
        <v>0</v>
      </c>
      <c r="J9" s="517">
        <v>0</v>
      </c>
      <c r="K9" s="517">
        <v>0</v>
      </c>
      <c r="L9" s="517">
        <v>0</v>
      </c>
      <c r="M9" s="517">
        <v>0</v>
      </c>
      <c r="N9" s="517">
        <v>0</v>
      </c>
      <c r="O9" s="517">
        <v>0</v>
      </c>
      <c r="P9" s="517">
        <v>0</v>
      </c>
      <c r="Q9" s="517">
        <v>0</v>
      </c>
      <c r="R9" s="517">
        <v>0</v>
      </c>
      <c r="S9" s="517">
        <v>0</v>
      </c>
      <c r="T9" s="517">
        <v>0</v>
      </c>
      <c r="U9" s="517">
        <v>0</v>
      </c>
      <c r="V9" s="517">
        <v>0</v>
      </c>
      <c r="W9" s="517">
        <v>0</v>
      </c>
      <c r="X9" s="332">
        <f>SUM(D9:W9)</f>
        <v>0</v>
      </c>
    </row>
    <row r="10" spans="1:25" ht="11.25" x14ac:dyDescent="0.2">
      <c r="A10" s="331">
        <v>3</v>
      </c>
      <c r="C10" s="320" t="s">
        <v>1206</v>
      </c>
      <c r="D10" s="517">
        <v>0</v>
      </c>
      <c r="E10" s="517">
        <v>0</v>
      </c>
      <c r="F10" s="517">
        <v>0</v>
      </c>
      <c r="G10" s="517">
        <v>0</v>
      </c>
      <c r="H10" s="517">
        <v>0</v>
      </c>
      <c r="I10" s="517">
        <v>0</v>
      </c>
      <c r="J10" s="517">
        <v>0</v>
      </c>
      <c r="K10" s="517">
        <v>0</v>
      </c>
      <c r="L10" s="517">
        <v>0</v>
      </c>
      <c r="M10" s="517">
        <v>0</v>
      </c>
      <c r="N10" s="517">
        <v>0</v>
      </c>
      <c r="O10" s="517">
        <v>0</v>
      </c>
      <c r="P10" s="517">
        <v>0</v>
      </c>
      <c r="Q10" s="517">
        <v>0</v>
      </c>
      <c r="R10" s="517">
        <v>0</v>
      </c>
      <c r="S10" s="517">
        <v>0</v>
      </c>
      <c r="T10" s="517">
        <v>0</v>
      </c>
      <c r="U10" s="517">
        <v>0</v>
      </c>
      <c r="V10" s="517">
        <v>0</v>
      </c>
      <c r="W10" s="517">
        <v>0</v>
      </c>
      <c r="X10" s="332">
        <f>SUM(D10:W10)</f>
        <v>0</v>
      </c>
    </row>
    <row r="11" spans="1:25" ht="11.25" x14ac:dyDescent="0.2">
      <c r="A11" s="331" t="s">
        <v>1207</v>
      </c>
      <c r="C11" s="320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2"/>
    </row>
    <row r="12" spans="1:25" ht="11.25" x14ac:dyDescent="0.2">
      <c r="A12" s="331">
        <v>4</v>
      </c>
      <c r="C12" s="337" t="s">
        <v>1229</v>
      </c>
      <c r="D12" s="338">
        <f>SUM(D7:D10)</f>
        <v>0</v>
      </c>
      <c r="E12" s="338">
        <f>SUM(E7:E10)</f>
        <v>0</v>
      </c>
      <c r="F12" s="338">
        <f>SUM(F7:F10)</f>
        <v>0</v>
      </c>
      <c r="G12" s="338">
        <f>SUM(G7:G10)</f>
        <v>0</v>
      </c>
      <c r="H12" s="338">
        <f t="shared" ref="H12:V12" si="1">SUM(H7:H10)</f>
        <v>0</v>
      </c>
      <c r="I12" s="338">
        <f t="shared" si="1"/>
        <v>0</v>
      </c>
      <c r="J12" s="338">
        <f t="shared" si="1"/>
        <v>0</v>
      </c>
      <c r="K12" s="338">
        <f t="shared" si="1"/>
        <v>0</v>
      </c>
      <c r="L12" s="338">
        <f t="shared" si="1"/>
        <v>0</v>
      </c>
      <c r="M12" s="338">
        <f t="shared" si="1"/>
        <v>0</v>
      </c>
      <c r="N12" s="338">
        <f t="shared" si="1"/>
        <v>0</v>
      </c>
      <c r="O12" s="338">
        <f t="shared" si="1"/>
        <v>0</v>
      </c>
      <c r="P12" s="338">
        <f t="shared" si="1"/>
        <v>0</v>
      </c>
      <c r="Q12" s="338">
        <f t="shared" si="1"/>
        <v>0</v>
      </c>
      <c r="R12" s="338">
        <f t="shared" si="1"/>
        <v>0</v>
      </c>
      <c r="S12" s="338">
        <f t="shared" si="1"/>
        <v>0</v>
      </c>
      <c r="T12" s="338">
        <f t="shared" si="1"/>
        <v>0</v>
      </c>
      <c r="U12" s="338">
        <f t="shared" si="1"/>
        <v>0</v>
      </c>
      <c r="V12" s="338">
        <f t="shared" si="1"/>
        <v>0</v>
      </c>
      <c r="W12" s="338">
        <f>SUM(W7:W10)</f>
        <v>0</v>
      </c>
      <c r="X12" s="332">
        <f>SUM(D12:W12)</f>
        <v>0</v>
      </c>
    </row>
    <row r="13" spans="1:25" ht="11.25" x14ac:dyDescent="0.2">
      <c r="A13" s="362" t="s">
        <v>761</v>
      </c>
      <c r="B13" s="360"/>
      <c r="C13" s="339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</row>
    <row r="14" spans="1:25" ht="11.25" hidden="1" x14ac:dyDescent="0.2">
      <c r="A14" s="331">
        <v>5</v>
      </c>
      <c r="B14" s="516" t="s">
        <v>880</v>
      </c>
      <c r="C14" s="305" t="s">
        <v>1164</v>
      </c>
      <c r="D14" s="458">
        <v>0</v>
      </c>
      <c r="E14" s="458"/>
      <c r="F14" s="458"/>
      <c r="G14" s="458"/>
      <c r="H14" s="458"/>
      <c r="I14" s="458"/>
      <c r="J14" s="458"/>
      <c r="K14" s="458"/>
      <c r="L14" s="458"/>
      <c r="M14" s="458"/>
      <c r="N14" s="458"/>
      <c r="O14" s="458"/>
      <c r="P14" s="458"/>
      <c r="Q14" s="458"/>
      <c r="R14" s="458"/>
      <c r="S14" s="458"/>
      <c r="T14" s="458"/>
      <c r="U14" s="458"/>
      <c r="V14" s="458"/>
      <c r="W14" s="458"/>
      <c r="X14" s="338">
        <f t="shared" ref="X14:X22" si="2">SUM(D14:W14)</f>
        <v>0</v>
      </c>
    </row>
    <row r="15" spans="1:25" ht="11.25" x14ac:dyDescent="0.2">
      <c r="A15" s="331" t="s">
        <v>766</v>
      </c>
      <c r="B15" s="516" t="s">
        <v>880</v>
      </c>
      <c r="C15" s="305" t="s">
        <v>340</v>
      </c>
      <c r="D15" s="144">
        <v>0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44">
        <v>0</v>
      </c>
      <c r="S15" s="144">
        <v>0</v>
      </c>
      <c r="T15" s="144">
        <v>0</v>
      </c>
      <c r="U15" s="144">
        <v>0</v>
      </c>
      <c r="V15" s="144">
        <v>0</v>
      </c>
      <c r="W15" s="144">
        <v>0</v>
      </c>
      <c r="X15" s="332">
        <f t="shared" si="2"/>
        <v>0</v>
      </c>
    </row>
    <row r="16" spans="1:25" ht="11.25" hidden="1" x14ac:dyDescent="0.2">
      <c r="A16" s="331">
        <v>6</v>
      </c>
      <c r="B16" s="516" t="s">
        <v>881</v>
      </c>
      <c r="C16" s="305" t="s">
        <v>1015</v>
      </c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58"/>
      <c r="U16" s="458"/>
      <c r="V16" s="458"/>
      <c r="W16" s="458"/>
      <c r="X16" s="332">
        <f t="shared" si="2"/>
        <v>0</v>
      </c>
    </row>
    <row r="17" spans="1:32" ht="11.25" x14ac:dyDescent="0.2">
      <c r="A17" s="331" t="s">
        <v>767</v>
      </c>
      <c r="B17" s="516" t="s">
        <v>881</v>
      </c>
      <c r="C17" s="305" t="s">
        <v>341</v>
      </c>
      <c r="D17" s="518">
        <v>0</v>
      </c>
      <c r="E17" s="518">
        <v>0</v>
      </c>
      <c r="F17" s="518">
        <v>0</v>
      </c>
      <c r="G17" s="518">
        <v>0</v>
      </c>
      <c r="H17" s="518">
        <v>0</v>
      </c>
      <c r="I17" s="518">
        <v>0</v>
      </c>
      <c r="J17" s="518">
        <v>0</v>
      </c>
      <c r="K17" s="518">
        <v>0</v>
      </c>
      <c r="L17" s="518">
        <v>0</v>
      </c>
      <c r="M17" s="518">
        <v>0</v>
      </c>
      <c r="N17" s="518">
        <v>0</v>
      </c>
      <c r="O17" s="518">
        <v>0</v>
      </c>
      <c r="P17" s="518">
        <v>0</v>
      </c>
      <c r="Q17" s="518">
        <v>0</v>
      </c>
      <c r="R17" s="518">
        <v>0</v>
      </c>
      <c r="S17" s="518">
        <v>0</v>
      </c>
      <c r="T17" s="518">
        <v>0</v>
      </c>
      <c r="U17" s="518">
        <v>0</v>
      </c>
      <c r="V17" s="518">
        <v>0</v>
      </c>
      <c r="W17" s="518">
        <v>0</v>
      </c>
      <c r="X17" s="332">
        <f t="shared" si="2"/>
        <v>0</v>
      </c>
    </row>
    <row r="18" spans="1:32" ht="11.25" x14ac:dyDescent="0.2">
      <c r="A18" s="331">
        <v>7</v>
      </c>
      <c r="B18" s="185" t="s">
        <v>882</v>
      </c>
      <c r="C18" s="320" t="s">
        <v>1208</v>
      </c>
      <c r="D18" s="518">
        <v>0</v>
      </c>
      <c r="E18" s="518">
        <v>0</v>
      </c>
      <c r="F18" s="518">
        <v>0</v>
      </c>
      <c r="G18" s="518">
        <v>0</v>
      </c>
      <c r="H18" s="518">
        <v>0</v>
      </c>
      <c r="I18" s="518">
        <v>0</v>
      </c>
      <c r="J18" s="518">
        <v>0</v>
      </c>
      <c r="K18" s="518">
        <v>0</v>
      </c>
      <c r="L18" s="519">
        <v>0</v>
      </c>
      <c r="M18" s="519">
        <v>0</v>
      </c>
      <c r="N18" s="519">
        <v>0</v>
      </c>
      <c r="O18" s="519">
        <v>0</v>
      </c>
      <c r="P18" s="519">
        <v>0</v>
      </c>
      <c r="Q18" s="519">
        <v>0</v>
      </c>
      <c r="R18" s="519">
        <v>0</v>
      </c>
      <c r="S18" s="519">
        <v>0</v>
      </c>
      <c r="T18" s="519">
        <v>0</v>
      </c>
      <c r="U18" s="519">
        <v>0</v>
      </c>
      <c r="V18" s="519">
        <v>0</v>
      </c>
      <c r="W18" s="519">
        <v>0</v>
      </c>
      <c r="X18" s="332">
        <f t="shared" si="2"/>
        <v>0</v>
      </c>
    </row>
    <row r="19" spans="1:32" ht="11.25" x14ac:dyDescent="0.2">
      <c r="A19" s="331">
        <v>8</v>
      </c>
      <c r="B19" s="185" t="s">
        <v>884</v>
      </c>
      <c r="C19" s="320" t="s">
        <v>1209</v>
      </c>
      <c r="D19" s="518">
        <v>0</v>
      </c>
      <c r="E19" s="518">
        <v>0</v>
      </c>
      <c r="F19" s="518">
        <v>0</v>
      </c>
      <c r="G19" s="518">
        <v>0</v>
      </c>
      <c r="H19" s="518">
        <v>0</v>
      </c>
      <c r="I19" s="518">
        <v>0</v>
      </c>
      <c r="J19" s="518">
        <v>0</v>
      </c>
      <c r="K19" s="518">
        <v>0</v>
      </c>
      <c r="L19" s="519">
        <v>0</v>
      </c>
      <c r="M19" s="519">
        <v>0</v>
      </c>
      <c r="N19" s="519">
        <v>0</v>
      </c>
      <c r="O19" s="519">
        <v>0</v>
      </c>
      <c r="P19" s="519">
        <v>0</v>
      </c>
      <c r="Q19" s="519">
        <v>0</v>
      </c>
      <c r="R19" s="519">
        <v>0</v>
      </c>
      <c r="S19" s="519">
        <v>0</v>
      </c>
      <c r="T19" s="519">
        <v>0</v>
      </c>
      <c r="U19" s="519">
        <v>0</v>
      </c>
      <c r="V19" s="519">
        <v>0</v>
      </c>
      <c r="W19" s="519">
        <v>0</v>
      </c>
      <c r="X19" s="332">
        <f t="shared" si="2"/>
        <v>0</v>
      </c>
    </row>
    <row r="20" spans="1:32" ht="11.25" x14ac:dyDescent="0.2">
      <c r="A20" s="331">
        <v>9</v>
      </c>
      <c r="B20" s="185" t="s">
        <v>885</v>
      </c>
      <c r="C20" s="320" t="s">
        <v>1210</v>
      </c>
      <c r="D20" s="518">
        <v>0</v>
      </c>
      <c r="E20" s="518">
        <v>0</v>
      </c>
      <c r="F20" s="518">
        <v>0</v>
      </c>
      <c r="G20" s="518">
        <v>0</v>
      </c>
      <c r="H20" s="518">
        <v>0</v>
      </c>
      <c r="I20" s="518">
        <v>0</v>
      </c>
      <c r="J20" s="518">
        <v>0</v>
      </c>
      <c r="K20" s="518">
        <v>0</v>
      </c>
      <c r="L20" s="519">
        <v>0</v>
      </c>
      <c r="M20" s="519">
        <v>0</v>
      </c>
      <c r="N20" s="519">
        <v>0</v>
      </c>
      <c r="O20" s="519">
        <v>0</v>
      </c>
      <c r="P20" s="519">
        <v>0</v>
      </c>
      <c r="Q20" s="519">
        <v>0</v>
      </c>
      <c r="R20" s="519">
        <v>0</v>
      </c>
      <c r="S20" s="519">
        <v>0</v>
      </c>
      <c r="T20" s="519">
        <v>0</v>
      </c>
      <c r="U20" s="519">
        <v>0</v>
      </c>
      <c r="V20" s="519">
        <v>0</v>
      </c>
      <c r="W20" s="519">
        <v>0</v>
      </c>
      <c r="X20" s="332">
        <f t="shared" si="2"/>
        <v>0</v>
      </c>
    </row>
    <row r="21" spans="1:32" ht="11.25" x14ac:dyDescent="0.2">
      <c r="A21" s="341">
        <v>10</v>
      </c>
      <c r="B21" s="185" t="s">
        <v>887</v>
      </c>
      <c r="C21" s="318" t="s">
        <v>1211</v>
      </c>
      <c r="D21" s="518">
        <v>0</v>
      </c>
      <c r="E21" s="518">
        <v>0</v>
      </c>
      <c r="F21" s="518">
        <v>0</v>
      </c>
      <c r="G21" s="518">
        <v>0</v>
      </c>
      <c r="H21" s="518">
        <v>0</v>
      </c>
      <c r="I21" s="518">
        <v>0</v>
      </c>
      <c r="J21" s="518">
        <v>0</v>
      </c>
      <c r="K21" s="518">
        <v>0</v>
      </c>
      <c r="L21" s="519">
        <v>0</v>
      </c>
      <c r="M21" s="519">
        <v>0</v>
      </c>
      <c r="N21" s="519">
        <v>0</v>
      </c>
      <c r="O21" s="519">
        <v>0</v>
      </c>
      <c r="P21" s="519">
        <v>0</v>
      </c>
      <c r="Q21" s="519">
        <v>0</v>
      </c>
      <c r="R21" s="519">
        <v>0</v>
      </c>
      <c r="S21" s="519">
        <v>0</v>
      </c>
      <c r="T21" s="519">
        <v>0</v>
      </c>
      <c r="U21" s="519">
        <v>0</v>
      </c>
      <c r="V21" s="519">
        <v>0</v>
      </c>
      <c r="W21" s="519">
        <v>0</v>
      </c>
      <c r="X21" s="332">
        <f t="shared" si="2"/>
        <v>0</v>
      </c>
    </row>
    <row r="22" spans="1:32" ht="11.25" x14ac:dyDescent="0.2">
      <c r="A22" s="331">
        <v>11</v>
      </c>
      <c r="C22" s="337" t="s">
        <v>929</v>
      </c>
      <c r="D22" s="338">
        <f>SUM(D14:D21)</f>
        <v>0</v>
      </c>
      <c r="E22" s="338">
        <f t="shared" ref="E22:W22" si="3">SUM(E14:E21)</f>
        <v>0</v>
      </c>
      <c r="F22" s="338">
        <f t="shared" si="3"/>
        <v>0</v>
      </c>
      <c r="G22" s="338">
        <f t="shared" si="3"/>
        <v>0</v>
      </c>
      <c r="H22" s="338">
        <f t="shared" si="3"/>
        <v>0</v>
      </c>
      <c r="I22" s="338">
        <f t="shared" si="3"/>
        <v>0</v>
      </c>
      <c r="J22" s="338">
        <f t="shared" si="3"/>
        <v>0</v>
      </c>
      <c r="K22" s="338">
        <f t="shared" si="3"/>
        <v>0</v>
      </c>
      <c r="L22" s="338">
        <f t="shared" si="3"/>
        <v>0</v>
      </c>
      <c r="M22" s="338">
        <f t="shared" si="3"/>
        <v>0</v>
      </c>
      <c r="N22" s="338">
        <f t="shared" si="3"/>
        <v>0</v>
      </c>
      <c r="O22" s="338">
        <f t="shared" si="3"/>
        <v>0</v>
      </c>
      <c r="P22" s="338">
        <f t="shared" si="3"/>
        <v>0</v>
      </c>
      <c r="Q22" s="338">
        <f t="shared" si="3"/>
        <v>0</v>
      </c>
      <c r="R22" s="338">
        <f t="shared" si="3"/>
        <v>0</v>
      </c>
      <c r="S22" s="338">
        <f t="shared" si="3"/>
        <v>0</v>
      </c>
      <c r="T22" s="338">
        <f t="shared" si="3"/>
        <v>0</v>
      </c>
      <c r="U22" s="338">
        <f t="shared" si="3"/>
        <v>0</v>
      </c>
      <c r="V22" s="338">
        <f t="shared" si="3"/>
        <v>0</v>
      </c>
      <c r="W22" s="338">
        <f t="shared" si="3"/>
        <v>0</v>
      </c>
      <c r="X22" s="332">
        <f t="shared" si="2"/>
        <v>0</v>
      </c>
    </row>
    <row r="23" spans="1:32" ht="11.25" x14ac:dyDescent="0.2">
      <c r="A23" s="362" t="s">
        <v>762</v>
      </c>
      <c r="B23" s="360"/>
      <c r="C23" s="339"/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</row>
    <row r="24" spans="1:32" ht="11.25" hidden="1" x14ac:dyDescent="0.2">
      <c r="A24" s="331">
        <v>5</v>
      </c>
      <c r="B24" s="516" t="s">
        <v>880</v>
      </c>
      <c r="C24" s="305" t="s">
        <v>1164</v>
      </c>
      <c r="D24" s="458">
        <v>0</v>
      </c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8"/>
      <c r="P24" s="458"/>
      <c r="Q24" s="458"/>
      <c r="R24" s="458"/>
      <c r="S24" s="458"/>
      <c r="T24" s="458"/>
      <c r="U24" s="458"/>
      <c r="V24" s="458"/>
      <c r="W24" s="458"/>
      <c r="X24" s="338">
        <f t="shared" ref="X24:X32" si="4">SUM(D24:W24)</f>
        <v>0</v>
      </c>
    </row>
    <row r="25" spans="1:32" ht="11.25" x14ac:dyDescent="0.2">
      <c r="A25" s="331" t="s">
        <v>766</v>
      </c>
      <c r="B25" s="516" t="s">
        <v>880</v>
      </c>
      <c r="C25" s="305" t="s">
        <v>340</v>
      </c>
      <c r="D25" s="144">
        <v>0</v>
      </c>
      <c r="E25" s="144">
        <v>0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44">
        <v>0</v>
      </c>
      <c r="M25" s="144">
        <v>0</v>
      </c>
      <c r="N25" s="144">
        <v>0</v>
      </c>
      <c r="O25" s="144">
        <v>0</v>
      </c>
      <c r="P25" s="144">
        <v>0</v>
      </c>
      <c r="Q25" s="144">
        <v>0</v>
      </c>
      <c r="R25" s="144">
        <v>0</v>
      </c>
      <c r="S25" s="144">
        <v>0</v>
      </c>
      <c r="T25" s="144">
        <v>0</v>
      </c>
      <c r="U25" s="144">
        <v>0</v>
      </c>
      <c r="V25" s="144">
        <v>0</v>
      </c>
      <c r="W25" s="144">
        <v>0</v>
      </c>
      <c r="X25" s="332">
        <f t="shared" si="4"/>
        <v>0</v>
      </c>
    </row>
    <row r="26" spans="1:32" ht="11.25" hidden="1" x14ac:dyDescent="0.2">
      <c r="A26" s="331">
        <v>6</v>
      </c>
      <c r="B26" s="516" t="s">
        <v>881</v>
      </c>
      <c r="C26" s="305" t="s">
        <v>1015</v>
      </c>
      <c r="D26" s="458">
        <v>0</v>
      </c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458"/>
      <c r="R26" s="458"/>
      <c r="S26" s="458"/>
      <c r="T26" s="458"/>
      <c r="U26" s="458"/>
      <c r="V26" s="458"/>
      <c r="W26" s="458"/>
      <c r="X26" s="332">
        <f t="shared" si="4"/>
        <v>0</v>
      </c>
    </row>
    <row r="27" spans="1:32" ht="11.25" x14ac:dyDescent="0.2">
      <c r="A27" s="331" t="s">
        <v>767</v>
      </c>
      <c r="B27" s="516" t="s">
        <v>881</v>
      </c>
      <c r="C27" s="305" t="s">
        <v>338</v>
      </c>
      <c r="D27" s="518">
        <v>0</v>
      </c>
      <c r="E27" s="518">
        <v>0</v>
      </c>
      <c r="F27" s="518">
        <v>0</v>
      </c>
      <c r="G27" s="518">
        <v>0</v>
      </c>
      <c r="H27" s="518">
        <v>0</v>
      </c>
      <c r="I27" s="518">
        <v>0</v>
      </c>
      <c r="J27" s="518">
        <v>0</v>
      </c>
      <c r="K27" s="518">
        <v>0</v>
      </c>
      <c r="L27" s="518">
        <v>0</v>
      </c>
      <c r="M27" s="518">
        <v>0</v>
      </c>
      <c r="N27" s="518">
        <v>0</v>
      </c>
      <c r="O27" s="518">
        <v>0</v>
      </c>
      <c r="P27" s="518">
        <v>0</v>
      </c>
      <c r="Q27" s="518">
        <v>0</v>
      </c>
      <c r="R27" s="518">
        <v>0</v>
      </c>
      <c r="S27" s="518">
        <v>0</v>
      </c>
      <c r="T27" s="518">
        <v>0</v>
      </c>
      <c r="U27" s="518">
        <v>0</v>
      </c>
      <c r="V27" s="518">
        <v>0</v>
      </c>
      <c r="W27" s="518">
        <v>0</v>
      </c>
      <c r="X27" s="332">
        <f t="shared" si="4"/>
        <v>0</v>
      </c>
    </row>
    <row r="28" spans="1:32" ht="11.25" x14ac:dyDescent="0.2">
      <c r="A28" s="331">
        <v>7</v>
      </c>
      <c r="B28" s="185" t="s">
        <v>882</v>
      </c>
      <c r="C28" s="320" t="s">
        <v>1208</v>
      </c>
      <c r="D28" s="518">
        <v>0</v>
      </c>
      <c r="E28" s="518">
        <v>0</v>
      </c>
      <c r="F28" s="518">
        <v>0</v>
      </c>
      <c r="G28" s="518">
        <v>0</v>
      </c>
      <c r="H28" s="518">
        <v>0</v>
      </c>
      <c r="I28" s="518">
        <v>0</v>
      </c>
      <c r="J28" s="518">
        <v>0</v>
      </c>
      <c r="K28" s="518">
        <v>0</v>
      </c>
      <c r="L28" s="519">
        <v>0</v>
      </c>
      <c r="M28" s="519">
        <v>0</v>
      </c>
      <c r="N28" s="519">
        <v>0</v>
      </c>
      <c r="O28" s="519">
        <v>0</v>
      </c>
      <c r="P28" s="519">
        <v>0</v>
      </c>
      <c r="Q28" s="519">
        <v>0</v>
      </c>
      <c r="R28" s="519">
        <v>0</v>
      </c>
      <c r="S28" s="519">
        <v>0</v>
      </c>
      <c r="T28" s="519">
        <v>0</v>
      </c>
      <c r="U28" s="519">
        <v>0</v>
      </c>
      <c r="V28" s="519">
        <v>0</v>
      </c>
      <c r="W28" s="519">
        <v>0</v>
      </c>
      <c r="X28" s="332">
        <f t="shared" si="4"/>
        <v>0</v>
      </c>
    </row>
    <row r="29" spans="1:32" ht="11.25" x14ac:dyDescent="0.2">
      <c r="A29" s="331">
        <v>8</v>
      </c>
      <c r="B29" s="185" t="s">
        <v>884</v>
      </c>
      <c r="C29" s="320" t="s">
        <v>1209</v>
      </c>
      <c r="D29" s="518">
        <v>0</v>
      </c>
      <c r="E29" s="518">
        <v>0</v>
      </c>
      <c r="F29" s="518">
        <v>0</v>
      </c>
      <c r="G29" s="518">
        <v>0</v>
      </c>
      <c r="H29" s="518">
        <v>0</v>
      </c>
      <c r="I29" s="518">
        <v>0</v>
      </c>
      <c r="J29" s="518">
        <v>0</v>
      </c>
      <c r="K29" s="518">
        <v>0</v>
      </c>
      <c r="L29" s="519">
        <v>0</v>
      </c>
      <c r="M29" s="519">
        <v>0</v>
      </c>
      <c r="N29" s="519">
        <v>0</v>
      </c>
      <c r="O29" s="519">
        <v>0</v>
      </c>
      <c r="P29" s="519">
        <v>0</v>
      </c>
      <c r="Q29" s="519">
        <v>0</v>
      </c>
      <c r="R29" s="519">
        <v>0</v>
      </c>
      <c r="S29" s="519">
        <v>0</v>
      </c>
      <c r="T29" s="519">
        <v>0</v>
      </c>
      <c r="U29" s="519">
        <v>0</v>
      </c>
      <c r="V29" s="519">
        <v>0</v>
      </c>
      <c r="W29" s="519">
        <v>0</v>
      </c>
      <c r="X29" s="332">
        <f t="shared" si="4"/>
        <v>0</v>
      </c>
    </row>
    <row r="30" spans="1:32" ht="11.25" x14ac:dyDescent="0.2">
      <c r="A30" s="331">
        <v>9</v>
      </c>
      <c r="B30" s="185" t="s">
        <v>885</v>
      </c>
      <c r="C30" s="320" t="s">
        <v>1210</v>
      </c>
      <c r="D30" s="518">
        <v>0</v>
      </c>
      <c r="E30" s="518">
        <v>0</v>
      </c>
      <c r="F30" s="518">
        <v>0</v>
      </c>
      <c r="G30" s="518">
        <v>0</v>
      </c>
      <c r="H30" s="518">
        <v>0</v>
      </c>
      <c r="I30" s="518">
        <v>0</v>
      </c>
      <c r="J30" s="518">
        <v>0</v>
      </c>
      <c r="K30" s="518">
        <v>0</v>
      </c>
      <c r="L30" s="519">
        <v>0</v>
      </c>
      <c r="M30" s="519">
        <v>0</v>
      </c>
      <c r="N30" s="519">
        <v>0</v>
      </c>
      <c r="O30" s="519">
        <v>0</v>
      </c>
      <c r="P30" s="519">
        <v>0</v>
      </c>
      <c r="Q30" s="519">
        <v>0</v>
      </c>
      <c r="R30" s="519">
        <v>0</v>
      </c>
      <c r="S30" s="519">
        <v>0</v>
      </c>
      <c r="T30" s="519">
        <v>0</v>
      </c>
      <c r="U30" s="519">
        <v>0</v>
      </c>
      <c r="V30" s="519">
        <v>0</v>
      </c>
      <c r="W30" s="519">
        <v>0</v>
      </c>
      <c r="X30" s="332">
        <f t="shared" si="4"/>
        <v>0</v>
      </c>
    </row>
    <row r="31" spans="1:32" ht="11.25" x14ac:dyDescent="0.2">
      <c r="A31" s="341">
        <v>10</v>
      </c>
      <c r="B31" s="185" t="s">
        <v>887</v>
      </c>
      <c r="C31" s="318" t="s">
        <v>1211</v>
      </c>
      <c r="D31" s="518">
        <v>0</v>
      </c>
      <c r="E31" s="518">
        <v>0</v>
      </c>
      <c r="F31" s="518">
        <v>0</v>
      </c>
      <c r="G31" s="518">
        <v>0</v>
      </c>
      <c r="H31" s="518">
        <v>0</v>
      </c>
      <c r="I31" s="518">
        <v>0</v>
      </c>
      <c r="J31" s="518">
        <v>0</v>
      </c>
      <c r="K31" s="518">
        <v>0</v>
      </c>
      <c r="L31" s="519">
        <v>0</v>
      </c>
      <c r="M31" s="519">
        <v>0</v>
      </c>
      <c r="N31" s="519">
        <v>0</v>
      </c>
      <c r="O31" s="519">
        <v>0</v>
      </c>
      <c r="P31" s="519">
        <v>0</v>
      </c>
      <c r="Q31" s="519">
        <v>0</v>
      </c>
      <c r="R31" s="519">
        <v>0</v>
      </c>
      <c r="S31" s="519">
        <v>0</v>
      </c>
      <c r="T31" s="519">
        <v>0</v>
      </c>
      <c r="U31" s="519">
        <v>0</v>
      </c>
      <c r="V31" s="519">
        <v>0</v>
      </c>
      <c r="W31" s="519">
        <v>0</v>
      </c>
      <c r="X31" s="332">
        <f t="shared" si="4"/>
        <v>0</v>
      </c>
      <c r="AA31" s="639"/>
      <c r="AB31" s="639"/>
      <c r="AC31" s="639"/>
      <c r="AD31" s="639"/>
      <c r="AE31" s="639"/>
      <c r="AF31" s="639"/>
    </row>
    <row r="32" spans="1:32" ht="11.25" x14ac:dyDescent="0.2">
      <c r="A32" s="331">
        <v>11</v>
      </c>
      <c r="C32" s="337" t="s">
        <v>930</v>
      </c>
      <c r="D32" s="338">
        <f>SUM(D24:D31)</f>
        <v>0</v>
      </c>
      <c r="E32" s="338">
        <f t="shared" ref="E32:W32" si="5">SUM(E24:E31)</f>
        <v>0</v>
      </c>
      <c r="F32" s="338">
        <f t="shared" si="5"/>
        <v>0</v>
      </c>
      <c r="G32" s="338">
        <f t="shared" si="5"/>
        <v>0</v>
      </c>
      <c r="H32" s="338">
        <f t="shared" si="5"/>
        <v>0</v>
      </c>
      <c r="I32" s="338">
        <f t="shared" si="5"/>
        <v>0</v>
      </c>
      <c r="J32" s="338">
        <f t="shared" si="5"/>
        <v>0</v>
      </c>
      <c r="K32" s="338">
        <f t="shared" si="5"/>
        <v>0</v>
      </c>
      <c r="L32" s="338">
        <f t="shared" si="5"/>
        <v>0</v>
      </c>
      <c r="M32" s="338">
        <f t="shared" si="5"/>
        <v>0</v>
      </c>
      <c r="N32" s="338">
        <f t="shared" si="5"/>
        <v>0</v>
      </c>
      <c r="O32" s="338">
        <f t="shared" si="5"/>
        <v>0</v>
      </c>
      <c r="P32" s="338">
        <f t="shared" si="5"/>
        <v>0</v>
      </c>
      <c r="Q32" s="338">
        <f t="shared" si="5"/>
        <v>0</v>
      </c>
      <c r="R32" s="338">
        <f t="shared" si="5"/>
        <v>0</v>
      </c>
      <c r="S32" s="338">
        <f t="shared" si="5"/>
        <v>0</v>
      </c>
      <c r="T32" s="338">
        <f t="shared" si="5"/>
        <v>0</v>
      </c>
      <c r="U32" s="338">
        <f t="shared" si="5"/>
        <v>0</v>
      </c>
      <c r="V32" s="338">
        <f t="shared" si="5"/>
        <v>0</v>
      </c>
      <c r="W32" s="338">
        <f t="shared" si="5"/>
        <v>0</v>
      </c>
      <c r="X32" s="332">
        <f t="shared" si="4"/>
        <v>0</v>
      </c>
      <c r="AA32" s="639"/>
      <c r="AB32" s="639"/>
      <c r="AC32" s="639"/>
      <c r="AD32" s="639"/>
      <c r="AE32" s="639"/>
      <c r="AF32" s="639"/>
    </row>
    <row r="33" spans="1:33" ht="11.25" x14ac:dyDescent="0.2">
      <c r="A33" s="362" t="s">
        <v>499</v>
      </c>
      <c r="B33" s="360"/>
      <c r="C33" s="339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AA33" s="639"/>
      <c r="AB33" s="639"/>
      <c r="AC33" s="639"/>
      <c r="AD33" s="639"/>
      <c r="AE33" s="639"/>
      <c r="AF33" s="639"/>
    </row>
    <row r="34" spans="1:33" ht="11.25" hidden="1" x14ac:dyDescent="0.2">
      <c r="A34" s="331">
        <v>5</v>
      </c>
      <c r="B34" s="516" t="s">
        <v>880</v>
      </c>
      <c r="C34" s="305" t="s">
        <v>1164</v>
      </c>
      <c r="D34" s="638">
        <v>0</v>
      </c>
      <c r="E34" s="458"/>
      <c r="F34" s="458"/>
      <c r="G34" s="458"/>
      <c r="H34" s="458"/>
      <c r="I34" s="458"/>
      <c r="J34" s="458"/>
      <c r="K34" s="458"/>
      <c r="L34" s="458"/>
      <c r="M34" s="458"/>
      <c r="N34" s="458"/>
      <c r="O34" s="458"/>
      <c r="P34" s="458"/>
      <c r="Q34" s="458"/>
      <c r="R34" s="458"/>
      <c r="S34" s="458"/>
      <c r="T34" s="458"/>
      <c r="U34" s="458"/>
      <c r="V34" s="458"/>
      <c r="W34" s="458"/>
      <c r="X34" s="338">
        <f t="shared" ref="X34:X42" si="6">SUM(D34:W34)</f>
        <v>0</v>
      </c>
      <c r="AA34" s="639"/>
      <c r="AB34" s="639"/>
      <c r="AC34" s="639"/>
      <c r="AD34" s="639"/>
      <c r="AE34" s="639"/>
      <c r="AF34" s="639"/>
    </row>
    <row r="35" spans="1:33" ht="11.25" x14ac:dyDescent="0.2">
      <c r="A35" s="331" t="s">
        <v>766</v>
      </c>
      <c r="B35" s="516" t="s">
        <v>880</v>
      </c>
      <c r="C35" s="305" t="s">
        <v>340</v>
      </c>
      <c r="D35" s="308">
        <v>0</v>
      </c>
      <c r="E35" s="308">
        <v>0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  <c r="M35" s="144">
        <v>0</v>
      </c>
      <c r="N35" s="144">
        <v>0</v>
      </c>
      <c r="O35" s="144">
        <v>0</v>
      </c>
      <c r="P35" s="144">
        <v>0</v>
      </c>
      <c r="Q35" s="144">
        <v>0</v>
      </c>
      <c r="R35" s="144">
        <v>0</v>
      </c>
      <c r="S35" s="144">
        <v>0</v>
      </c>
      <c r="T35" s="144">
        <v>0</v>
      </c>
      <c r="U35" s="144">
        <v>0</v>
      </c>
      <c r="V35" s="144">
        <v>0</v>
      </c>
      <c r="W35" s="144">
        <v>0</v>
      </c>
      <c r="X35" s="332">
        <f t="shared" si="6"/>
        <v>0</v>
      </c>
      <c r="AA35" s="639"/>
      <c r="AB35" s="639"/>
      <c r="AC35" s="639"/>
      <c r="AD35" s="639"/>
      <c r="AE35" s="639"/>
      <c r="AF35" s="639"/>
    </row>
    <row r="36" spans="1:33" ht="11.25" hidden="1" x14ac:dyDescent="0.2">
      <c r="A36" s="331">
        <v>6</v>
      </c>
      <c r="B36" s="516" t="s">
        <v>881</v>
      </c>
      <c r="C36" s="305" t="s">
        <v>1015</v>
      </c>
      <c r="D36" s="638"/>
      <c r="E36" s="638"/>
      <c r="F36" s="458"/>
      <c r="G36" s="458"/>
      <c r="H36" s="458"/>
      <c r="I36" s="458"/>
      <c r="J36" s="458"/>
      <c r="K36" s="458"/>
      <c r="L36" s="458"/>
      <c r="M36" s="458"/>
      <c r="N36" s="458"/>
      <c r="O36" s="458"/>
      <c r="P36" s="458"/>
      <c r="Q36" s="458"/>
      <c r="R36" s="458"/>
      <c r="S36" s="458"/>
      <c r="T36" s="458"/>
      <c r="U36" s="458"/>
      <c r="V36" s="458"/>
      <c r="W36" s="458"/>
      <c r="X36" s="332">
        <f t="shared" si="6"/>
        <v>0</v>
      </c>
      <c r="AA36" s="639"/>
      <c r="AB36" s="639"/>
      <c r="AC36" s="639"/>
      <c r="AD36" s="639"/>
      <c r="AE36" s="639"/>
      <c r="AF36" s="639"/>
    </row>
    <row r="37" spans="1:33" ht="11.25" x14ac:dyDescent="0.2">
      <c r="A37" s="331" t="s">
        <v>767</v>
      </c>
      <c r="B37" s="516" t="s">
        <v>881</v>
      </c>
      <c r="C37" s="305" t="s">
        <v>338</v>
      </c>
      <c r="D37" s="518">
        <v>0</v>
      </c>
      <c r="E37" s="518">
        <v>0</v>
      </c>
      <c r="F37" s="518">
        <v>0</v>
      </c>
      <c r="G37" s="518">
        <v>0</v>
      </c>
      <c r="H37" s="518">
        <v>0</v>
      </c>
      <c r="I37" s="518">
        <v>0</v>
      </c>
      <c r="J37" s="518">
        <v>0</v>
      </c>
      <c r="K37" s="518">
        <v>0</v>
      </c>
      <c r="L37" s="518">
        <v>0</v>
      </c>
      <c r="M37" s="518">
        <v>0</v>
      </c>
      <c r="N37" s="518">
        <v>0</v>
      </c>
      <c r="O37" s="518">
        <v>0</v>
      </c>
      <c r="P37" s="518">
        <v>0</v>
      </c>
      <c r="Q37" s="518">
        <v>0</v>
      </c>
      <c r="R37" s="518">
        <v>0</v>
      </c>
      <c r="S37" s="518">
        <v>0</v>
      </c>
      <c r="T37" s="518">
        <v>0</v>
      </c>
      <c r="U37" s="518">
        <v>0</v>
      </c>
      <c r="V37" s="518">
        <v>0</v>
      </c>
      <c r="W37" s="518">
        <v>0</v>
      </c>
      <c r="X37" s="332">
        <f t="shared" si="6"/>
        <v>0</v>
      </c>
      <c r="AA37" s="639"/>
      <c r="AB37" s="639"/>
      <c r="AC37" s="639"/>
      <c r="AD37" s="639"/>
      <c r="AE37" s="639"/>
      <c r="AF37" s="639"/>
    </row>
    <row r="38" spans="1:33" ht="11.25" x14ac:dyDescent="0.2">
      <c r="A38" s="331">
        <v>7</v>
      </c>
      <c r="B38" s="185" t="s">
        <v>882</v>
      </c>
      <c r="C38" s="320" t="s">
        <v>1208</v>
      </c>
      <c r="D38" s="518">
        <v>0</v>
      </c>
      <c r="E38" s="518">
        <v>0</v>
      </c>
      <c r="F38" s="518">
        <v>0</v>
      </c>
      <c r="G38" s="518">
        <v>0</v>
      </c>
      <c r="H38" s="518">
        <v>0</v>
      </c>
      <c r="I38" s="518">
        <v>0</v>
      </c>
      <c r="J38" s="518">
        <v>0</v>
      </c>
      <c r="K38" s="518">
        <v>0</v>
      </c>
      <c r="L38" s="519">
        <v>0</v>
      </c>
      <c r="M38" s="519">
        <v>0</v>
      </c>
      <c r="N38" s="519">
        <v>0</v>
      </c>
      <c r="O38" s="519">
        <v>0</v>
      </c>
      <c r="P38" s="519">
        <v>0</v>
      </c>
      <c r="Q38" s="519">
        <v>0</v>
      </c>
      <c r="R38" s="519">
        <v>0</v>
      </c>
      <c r="S38" s="519">
        <v>0</v>
      </c>
      <c r="T38" s="519">
        <v>0</v>
      </c>
      <c r="U38" s="519">
        <v>0</v>
      </c>
      <c r="V38" s="519">
        <v>0</v>
      </c>
      <c r="W38" s="519">
        <v>0</v>
      </c>
      <c r="X38" s="332">
        <f t="shared" si="6"/>
        <v>0</v>
      </c>
      <c r="AA38" s="639"/>
      <c r="AB38" s="639"/>
      <c r="AC38" s="639"/>
      <c r="AD38" s="639"/>
      <c r="AE38" s="639"/>
      <c r="AF38" s="639"/>
    </row>
    <row r="39" spans="1:33" ht="11.25" x14ac:dyDescent="0.2">
      <c r="A39" s="331">
        <v>8</v>
      </c>
      <c r="B39" s="185" t="s">
        <v>884</v>
      </c>
      <c r="C39" s="320" t="s">
        <v>1209</v>
      </c>
      <c r="D39" s="518">
        <v>0</v>
      </c>
      <c r="E39" s="518">
        <v>0</v>
      </c>
      <c r="F39" s="518">
        <v>0</v>
      </c>
      <c r="G39" s="518">
        <v>0</v>
      </c>
      <c r="H39" s="518">
        <v>0</v>
      </c>
      <c r="I39" s="518">
        <v>0</v>
      </c>
      <c r="J39" s="518">
        <v>0</v>
      </c>
      <c r="K39" s="518">
        <v>0</v>
      </c>
      <c r="L39" s="519">
        <v>0</v>
      </c>
      <c r="M39" s="519">
        <v>0</v>
      </c>
      <c r="N39" s="519">
        <v>0</v>
      </c>
      <c r="O39" s="519">
        <v>0</v>
      </c>
      <c r="P39" s="519">
        <v>0</v>
      </c>
      <c r="Q39" s="519">
        <v>0</v>
      </c>
      <c r="R39" s="519">
        <v>0</v>
      </c>
      <c r="S39" s="519">
        <v>0</v>
      </c>
      <c r="T39" s="519">
        <v>0</v>
      </c>
      <c r="U39" s="519">
        <v>0</v>
      </c>
      <c r="V39" s="519">
        <v>0</v>
      </c>
      <c r="W39" s="519">
        <v>0</v>
      </c>
      <c r="X39" s="332">
        <f t="shared" si="6"/>
        <v>0</v>
      </c>
      <c r="AA39" s="639"/>
      <c r="AB39" s="639"/>
      <c r="AC39" s="639"/>
      <c r="AD39" s="639"/>
      <c r="AE39" s="639"/>
      <c r="AF39" s="639"/>
    </row>
    <row r="40" spans="1:33" ht="11.25" x14ac:dyDescent="0.2">
      <c r="A40" s="331">
        <v>9</v>
      </c>
      <c r="B40" s="185" t="s">
        <v>885</v>
      </c>
      <c r="C40" s="320" t="s">
        <v>1210</v>
      </c>
      <c r="D40" s="518">
        <v>0</v>
      </c>
      <c r="E40" s="518">
        <v>0</v>
      </c>
      <c r="F40" s="518">
        <v>0</v>
      </c>
      <c r="G40" s="518">
        <v>0</v>
      </c>
      <c r="H40" s="518">
        <v>0</v>
      </c>
      <c r="I40" s="518">
        <v>0</v>
      </c>
      <c r="J40" s="518">
        <v>0</v>
      </c>
      <c r="K40" s="518">
        <v>0</v>
      </c>
      <c r="L40" s="519">
        <v>0</v>
      </c>
      <c r="M40" s="519">
        <v>0</v>
      </c>
      <c r="N40" s="519">
        <v>0</v>
      </c>
      <c r="O40" s="519">
        <v>0</v>
      </c>
      <c r="P40" s="519">
        <v>0</v>
      </c>
      <c r="Q40" s="519">
        <v>0</v>
      </c>
      <c r="R40" s="519">
        <v>0</v>
      </c>
      <c r="S40" s="519">
        <v>0</v>
      </c>
      <c r="T40" s="519">
        <v>0</v>
      </c>
      <c r="U40" s="519">
        <v>0</v>
      </c>
      <c r="V40" s="519">
        <v>0</v>
      </c>
      <c r="W40" s="519">
        <v>0</v>
      </c>
      <c r="X40" s="332">
        <f t="shared" si="6"/>
        <v>0</v>
      </c>
      <c r="AA40" s="639"/>
      <c r="AB40" s="639"/>
      <c r="AC40" s="639"/>
      <c r="AD40" s="639"/>
      <c r="AE40" s="639"/>
      <c r="AF40" s="639"/>
      <c r="AG40" s="639"/>
    </row>
    <row r="41" spans="1:33" ht="11.25" x14ac:dyDescent="0.2">
      <c r="A41" s="341">
        <v>10</v>
      </c>
      <c r="B41" s="185" t="s">
        <v>887</v>
      </c>
      <c r="C41" s="318" t="s">
        <v>1211</v>
      </c>
      <c r="D41" s="518">
        <v>0</v>
      </c>
      <c r="E41" s="518">
        <v>0</v>
      </c>
      <c r="F41" s="518">
        <v>0</v>
      </c>
      <c r="G41" s="518">
        <v>0</v>
      </c>
      <c r="H41" s="518">
        <v>0</v>
      </c>
      <c r="I41" s="518">
        <v>0</v>
      </c>
      <c r="J41" s="518">
        <v>0</v>
      </c>
      <c r="K41" s="518">
        <v>0</v>
      </c>
      <c r="L41" s="519">
        <v>0</v>
      </c>
      <c r="M41" s="519">
        <v>0</v>
      </c>
      <c r="N41" s="519">
        <v>0</v>
      </c>
      <c r="O41" s="519">
        <v>0</v>
      </c>
      <c r="P41" s="519">
        <v>0</v>
      </c>
      <c r="Q41" s="519">
        <v>0</v>
      </c>
      <c r="R41" s="519">
        <v>0</v>
      </c>
      <c r="S41" s="519">
        <v>0</v>
      </c>
      <c r="T41" s="519">
        <v>0</v>
      </c>
      <c r="U41" s="519">
        <v>0</v>
      </c>
      <c r="V41" s="519">
        <v>0</v>
      </c>
      <c r="W41" s="519">
        <v>0</v>
      </c>
      <c r="X41" s="332">
        <f t="shared" si="6"/>
        <v>0</v>
      </c>
      <c r="AG41" s="639"/>
    </row>
    <row r="42" spans="1:33" ht="11.25" x14ac:dyDescent="0.2">
      <c r="A42" s="331">
        <v>11</v>
      </c>
      <c r="C42" s="337" t="s">
        <v>931</v>
      </c>
      <c r="D42" s="338">
        <f>SUM(D34:D41)</f>
        <v>0</v>
      </c>
      <c r="E42" s="338">
        <f t="shared" ref="E42:W42" si="7">SUM(E34:E41)</f>
        <v>0</v>
      </c>
      <c r="F42" s="338">
        <f t="shared" si="7"/>
        <v>0</v>
      </c>
      <c r="G42" s="338">
        <f t="shared" si="7"/>
        <v>0</v>
      </c>
      <c r="H42" s="338">
        <f t="shared" si="7"/>
        <v>0</v>
      </c>
      <c r="I42" s="338">
        <f t="shared" si="7"/>
        <v>0</v>
      </c>
      <c r="J42" s="338">
        <f t="shared" si="7"/>
        <v>0</v>
      </c>
      <c r="K42" s="338">
        <f t="shared" si="7"/>
        <v>0</v>
      </c>
      <c r="L42" s="338">
        <f t="shared" si="7"/>
        <v>0</v>
      </c>
      <c r="M42" s="338">
        <f t="shared" si="7"/>
        <v>0</v>
      </c>
      <c r="N42" s="338">
        <f t="shared" si="7"/>
        <v>0</v>
      </c>
      <c r="O42" s="338">
        <f t="shared" si="7"/>
        <v>0</v>
      </c>
      <c r="P42" s="338">
        <f t="shared" si="7"/>
        <v>0</v>
      </c>
      <c r="Q42" s="338">
        <f t="shared" si="7"/>
        <v>0</v>
      </c>
      <c r="R42" s="338">
        <f t="shared" si="7"/>
        <v>0</v>
      </c>
      <c r="S42" s="338">
        <f t="shared" si="7"/>
        <v>0</v>
      </c>
      <c r="T42" s="338">
        <f t="shared" si="7"/>
        <v>0</v>
      </c>
      <c r="U42" s="338">
        <f t="shared" si="7"/>
        <v>0</v>
      </c>
      <c r="V42" s="338">
        <f t="shared" si="7"/>
        <v>0</v>
      </c>
      <c r="W42" s="338">
        <f t="shared" si="7"/>
        <v>0</v>
      </c>
      <c r="X42" s="332">
        <f t="shared" si="6"/>
        <v>0</v>
      </c>
    </row>
    <row r="43" spans="1:33" ht="11.25" x14ac:dyDescent="0.2">
      <c r="A43" s="362" t="s">
        <v>763</v>
      </c>
      <c r="B43" s="360"/>
      <c r="C43" s="339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</row>
    <row r="44" spans="1:33" ht="11.25" hidden="1" x14ac:dyDescent="0.2">
      <c r="A44" s="331">
        <v>5</v>
      </c>
      <c r="B44" s="516" t="s">
        <v>880</v>
      </c>
      <c r="C44" s="305" t="s">
        <v>1164</v>
      </c>
      <c r="D44" s="458">
        <v>0</v>
      </c>
      <c r="E44" s="458"/>
      <c r="F44" s="458"/>
      <c r="G44" s="458"/>
      <c r="H44" s="458"/>
      <c r="I44" s="458"/>
      <c r="J44" s="458"/>
      <c r="K44" s="458"/>
      <c r="L44" s="458"/>
      <c r="M44" s="458"/>
      <c r="N44" s="458"/>
      <c r="O44" s="458"/>
      <c r="P44" s="458"/>
      <c r="Q44" s="458"/>
      <c r="R44" s="458"/>
      <c r="S44" s="458"/>
      <c r="T44" s="458"/>
      <c r="U44" s="458"/>
      <c r="V44" s="458"/>
      <c r="W44" s="458"/>
      <c r="X44" s="338">
        <f t="shared" ref="X44:X52" si="8">SUM(D44:W44)</f>
        <v>0</v>
      </c>
    </row>
    <row r="45" spans="1:33" ht="11.25" x14ac:dyDescent="0.2">
      <c r="A45" s="331" t="s">
        <v>766</v>
      </c>
      <c r="B45" s="516" t="s">
        <v>880</v>
      </c>
      <c r="C45" s="305" t="s">
        <v>340</v>
      </c>
      <c r="D45" s="144">
        <v>0</v>
      </c>
      <c r="E45" s="144">
        <v>0</v>
      </c>
      <c r="F45" s="144">
        <v>0</v>
      </c>
      <c r="G45" s="144">
        <v>0</v>
      </c>
      <c r="H45" s="144">
        <v>0</v>
      </c>
      <c r="I45" s="144">
        <v>0</v>
      </c>
      <c r="J45" s="144">
        <v>0</v>
      </c>
      <c r="K45" s="144">
        <v>0</v>
      </c>
      <c r="L45" s="144">
        <v>0</v>
      </c>
      <c r="M45" s="144">
        <v>0</v>
      </c>
      <c r="N45" s="144">
        <v>0</v>
      </c>
      <c r="O45" s="144">
        <v>0</v>
      </c>
      <c r="P45" s="144">
        <v>0</v>
      </c>
      <c r="Q45" s="144">
        <v>0</v>
      </c>
      <c r="R45" s="144">
        <v>0</v>
      </c>
      <c r="S45" s="144">
        <v>0</v>
      </c>
      <c r="T45" s="144">
        <v>0</v>
      </c>
      <c r="U45" s="144">
        <v>0</v>
      </c>
      <c r="V45" s="144">
        <v>0</v>
      </c>
      <c r="W45" s="144">
        <v>0</v>
      </c>
      <c r="X45" s="332">
        <f t="shared" si="8"/>
        <v>0</v>
      </c>
    </row>
    <row r="46" spans="1:33" ht="11.25" hidden="1" x14ac:dyDescent="0.2">
      <c r="A46" s="331">
        <v>6</v>
      </c>
      <c r="B46" s="516" t="s">
        <v>881</v>
      </c>
      <c r="C46" s="305" t="s">
        <v>1015</v>
      </c>
      <c r="D46" s="458"/>
      <c r="E46" s="458"/>
      <c r="F46" s="458"/>
      <c r="G46" s="458"/>
      <c r="H46" s="458"/>
      <c r="I46" s="458"/>
      <c r="J46" s="458"/>
      <c r="K46" s="458"/>
      <c r="L46" s="458"/>
      <c r="M46" s="458"/>
      <c r="N46" s="458"/>
      <c r="O46" s="458"/>
      <c r="P46" s="458"/>
      <c r="Q46" s="458"/>
      <c r="R46" s="458"/>
      <c r="S46" s="458"/>
      <c r="T46" s="458"/>
      <c r="U46" s="458"/>
      <c r="V46" s="458"/>
      <c r="W46" s="458"/>
      <c r="X46" s="332">
        <f t="shared" si="8"/>
        <v>0</v>
      </c>
    </row>
    <row r="47" spans="1:33" ht="11.25" x14ac:dyDescent="0.2">
      <c r="A47" s="331" t="s">
        <v>767</v>
      </c>
      <c r="B47" s="516" t="s">
        <v>881</v>
      </c>
      <c r="C47" s="305" t="s">
        <v>341</v>
      </c>
      <c r="D47" s="518">
        <v>0</v>
      </c>
      <c r="E47" s="518">
        <v>0</v>
      </c>
      <c r="F47" s="518">
        <v>0</v>
      </c>
      <c r="G47" s="518">
        <v>0</v>
      </c>
      <c r="H47" s="518">
        <v>0</v>
      </c>
      <c r="I47" s="518">
        <v>0</v>
      </c>
      <c r="J47" s="518">
        <v>0</v>
      </c>
      <c r="K47" s="518">
        <v>0</v>
      </c>
      <c r="L47" s="518">
        <v>0</v>
      </c>
      <c r="M47" s="518">
        <v>0</v>
      </c>
      <c r="N47" s="518">
        <v>0</v>
      </c>
      <c r="O47" s="518">
        <v>0</v>
      </c>
      <c r="P47" s="518">
        <v>0</v>
      </c>
      <c r="Q47" s="518">
        <v>0</v>
      </c>
      <c r="R47" s="518">
        <v>0</v>
      </c>
      <c r="S47" s="518">
        <v>0</v>
      </c>
      <c r="T47" s="518">
        <v>0</v>
      </c>
      <c r="U47" s="518">
        <v>0</v>
      </c>
      <c r="V47" s="518">
        <v>0</v>
      </c>
      <c r="W47" s="518">
        <v>0</v>
      </c>
      <c r="X47" s="332">
        <f t="shared" si="8"/>
        <v>0</v>
      </c>
    </row>
    <row r="48" spans="1:33" ht="11.25" x14ac:dyDescent="0.2">
      <c r="A48" s="331">
        <v>7</v>
      </c>
      <c r="B48" s="185" t="s">
        <v>882</v>
      </c>
      <c r="C48" s="320" t="s">
        <v>1208</v>
      </c>
      <c r="D48" s="518">
        <v>0</v>
      </c>
      <c r="E48" s="518">
        <v>0</v>
      </c>
      <c r="F48" s="518">
        <v>0</v>
      </c>
      <c r="G48" s="518">
        <v>0</v>
      </c>
      <c r="H48" s="518">
        <v>0</v>
      </c>
      <c r="I48" s="518">
        <v>0</v>
      </c>
      <c r="J48" s="518">
        <v>0</v>
      </c>
      <c r="K48" s="518">
        <v>0</v>
      </c>
      <c r="L48" s="519">
        <v>0</v>
      </c>
      <c r="M48" s="519">
        <v>0</v>
      </c>
      <c r="N48" s="519">
        <v>0</v>
      </c>
      <c r="O48" s="519">
        <v>0</v>
      </c>
      <c r="P48" s="519">
        <v>0</v>
      </c>
      <c r="Q48" s="519">
        <v>0</v>
      </c>
      <c r="R48" s="519">
        <v>0</v>
      </c>
      <c r="S48" s="519">
        <v>0</v>
      </c>
      <c r="T48" s="519">
        <v>0</v>
      </c>
      <c r="U48" s="519">
        <v>0</v>
      </c>
      <c r="V48" s="519">
        <v>0</v>
      </c>
      <c r="W48" s="519">
        <v>0</v>
      </c>
      <c r="X48" s="332">
        <f t="shared" si="8"/>
        <v>0</v>
      </c>
    </row>
    <row r="49" spans="1:24" ht="11.25" x14ac:dyDescent="0.2">
      <c r="A49" s="331">
        <v>8</v>
      </c>
      <c r="B49" s="185" t="s">
        <v>884</v>
      </c>
      <c r="C49" s="320" t="s">
        <v>1209</v>
      </c>
      <c r="D49" s="518">
        <v>0</v>
      </c>
      <c r="E49" s="518">
        <v>0</v>
      </c>
      <c r="F49" s="518">
        <v>0</v>
      </c>
      <c r="G49" s="518">
        <v>0</v>
      </c>
      <c r="H49" s="518">
        <v>0</v>
      </c>
      <c r="I49" s="518">
        <v>0</v>
      </c>
      <c r="J49" s="518">
        <v>0</v>
      </c>
      <c r="K49" s="518">
        <v>0</v>
      </c>
      <c r="L49" s="519">
        <v>0</v>
      </c>
      <c r="M49" s="519">
        <v>0</v>
      </c>
      <c r="N49" s="519">
        <v>0</v>
      </c>
      <c r="O49" s="519">
        <v>0</v>
      </c>
      <c r="P49" s="519">
        <v>0</v>
      </c>
      <c r="Q49" s="519">
        <v>0</v>
      </c>
      <c r="R49" s="519">
        <v>0</v>
      </c>
      <c r="S49" s="519">
        <v>0</v>
      </c>
      <c r="T49" s="519">
        <v>0</v>
      </c>
      <c r="U49" s="519">
        <v>0</v>
      </c>
      <c r="V49" s="519">
        <v>0</v>
      </c>
      <c r="W49" s="519">
        <v>0</v>
      </c>
      <c r="X49" s="332">
        <f t="shared" si="8"/>
        <v>0</v>
      </c>
    </row>
    <row r="50" spans="1:24" ht="11.25" x14ac:dyDescent="0.2">
      <c r="A50" s="331">
        <v>9</v>
      </c>
      <c r="B50" s="185" t="s">
        <v>885</v>
      </c>
      <c r="C50" s="320" t="s">
        <v>1210</v>
      </c>
      <c r="D50" s="518">
        <v>0</v>
      </c>
      <c r="E50" s="518">
        <v>0</v>
      </c>
      <c r="F50" s="518">
        <v>0</v>
      </c>
      <c r="G50" s="518">
        <v>0</v>
      </c>
      <c r="H50" s="518">
        <v>0</v>
      </c>
      <c r="I50" s="518">
        <v>0</v>
      </c>
      <c r="J50" s="518">
        <v>0</v>
      </c>
      <c r="K50" s="518">
        <v>0</v>
      </c>
      <c r="L50" s="519">
        <v>0</v>
      </c>
      <c r="M50" s="519">
        <v>0</v>
      </c>
      <c r="N50" s="519">
        <v>0</v>
      </c>
      <c r="O50" s="519">
        <v>0</v>
      </c>
      <c r="P50" s="519">
        <v>0</v>
      </c>
      <c r="Q50" s="519">
        <v>0</v>
      </c>
      <c r="R50" s="519">
        <v>0</v>
      </c>
      <c r="S50" s="519">
        <v>0</v>
      </c>
      <c r="T50" s="519">
        <v>0</v>
      </c>
      <c r="U50" s="519">
        <v>0</v>
      </c>
      <c r="V50" s="519">
        <v>0</v>
      </c>
      <c r="W50" s="519">
        <v>0</v>
      </c>
      <c r="X50" s="332">
        <f t="shared" si="8"/>
        <v>0</v>
      </c>
    </row>
    <row r="51" spans="1:24" ht="11.25" x14ac:dyDescent="0.2">
      <c r="A51" s="341">
        <v>10</v>
      </c>
      <c r="B51" s="185" t="s">
        <v>887</v>
      </c>
      <c r="C51" s="318" t="s">
        <v>1211</v>
      </c>
      <c r="D51" s="518">
        <v>0</v>
      </c>
      <c r="E51" s="518">
        <v>0</v>
      </c>
      <c r="F51" s="518">
        <v>0</v>
      </c>
      <c r="G51" s="518">
        <v>0</v>
      </c>
      <c r="H51" s="518">
        <v>0</v>
      </c>
      <c r="I51" s="518">
        <v>0</v>
      </c>
      <c r="J51" s="518">
        <v>0</v>
      </c>
      <c r="K51" s="518">
        <v>0</v>
      </c>
      <c r="L51" s="519">
        <v>0</v>
      </c>
      <c r="M51" s="519">
        <v>0</v>
      </c>
      <c r="N51" s="519">
        <v>0</v>
      </c>
      <c r="O51" s="519">
        <v>0</v>
      </c>
      <c r="P51" s="519">
        <v>0</v>
      </c>
      <c r="Q51" s="519">
        <v>0</v>
      </c>
      <c r="R51" s="519">
        <v>0</v>
      </c>
      <c r="S51" s="519">
        <v>0</v>
      </c>
      <c r="T51" s="519">
        <v>0</v>
      </c>
      <c r="U51" s="519">
        <v>0</v>
      </c>
      <c r="V51" s="519">
        <v>0</v>
      </c>
      <c r="W51" s="519">
        <v>0</v>
      </c>
      <c r="X51" s="332">
        <f t="shared" si="8"/>
        <v>0</v>
      </c>
    </row>
    <row r="52" spans="1:24" ht="11.25" x14ac:dyDescent="0.2">
      <c r="A52" s="331">
        <v>11</v>
      </c>
      <c r="C52" s="337" t="s">
        <v>932</v>
      </c>
      <c r="D52" s="338">
        <f>SUM(D44:D51)</f>
        <v>0</v>
      </c>
      <c r="E52" s="338">
        <f t="shared" ref="E52:W52" si="9">SUM(E44:E51)</f>
        <v>0</v>
      </c>
      <c r="F52" s="338">
        <f t="shared" si="9"/>
        <v>0</v>
      </c>
      <c r="G52" s="338">
        <f t="shared" si="9"/>
        <v>0</v>
      </c>
      <c r="H52" s="338">
        <f t="shared" si="9"/>
        <v>0</v>
      </c>
      <c r="I52" s="338">
        <f t="shared" si="9"/>
        <v>0</v>
      </c>
      <c r="J52" s="338">
        <f t="shared" si="9"/>
        <v>0</v>
      </c>
      <c r="K52" s="338">
        <f t="shared" si="9"/>
        <v>0</v>
      </c>
      <c r="L52" s="338">
        <f t="shared" si="9"/>
        <v>0</v>
      </c>
      <c r="M52" s="338">
        <f t="shared" si="9"/>
        <v>0</v>
      </c>
      <c r="N52" s="338">
        <f t="shared" si="9"/>
        <v>0</v>
      </c>
      <c r="O52" s="338">
        <f t="shared" si="9"/>
        <v>0</v>
      </c>
      <c r="P52" s="338">
        <f t="shared" si="9"/>
        <v>0</v>
      </c>
      <c r="Q52" s="338">
        <f t="shared" si="9"/>
        <v>0</v>
      </c>
      <c r="R52" s="338">
        <f t="shared" si="9"/>
        <v>0</v>
      </c>
      <c r="S52" s="338">
        <f t="shared" si="9"/>
        <v>0</v>
      </c>
      <c r="T52" s="338">
        <f t="shared" si="9"/>
        <v>0</v>
      </c>
      <c r="U52" s="338">
        <f t="shared" si="9"/>
        <v>0</v>
      </c>
      <c r="V52" s="338">
        <f t="shared" si="9"/>
        <v>0</v>
      </c>
      <c r="W52" s="338">
        <f t="shared" si="9"/>
        <v>0</v>
      </c>
      <c r="X52" s="332">
        <f t="shared" si="8"/>
        <v>0</v>
      </c>
    </row>
    <row r="53" spans="1:24" ht="11.25" x14ac:dyDescent="0.2">
      <c r="A53" s="362" t="s">
        <v>500</v>
      </c>
      <c r="B53" s="360"/>
      <c r="C53" s="339"/>
      <c r="D53" s="340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</row>
    <row r="54" spans="1:24" ht="11.25" hidden="1" x14ac:dyDescent="0.2">
      <c r="A54" s="331">
        <v>5</v>
      </c>
      <c r="B54" s="516" t="s">
        <v>880</v>
      </c>
      <c r="C54" s="305" t="s">
        <v>1164</v>
      </c>
      <c r="D54" s="458">
        <v>0</v>
      </c>
      <c r="E54" s="458"/>
      <c r="F54" s="458"/>
      <c r="G54" s="458"/>
      <c r="H54" s="458"/>
      <c r="I54" s="458"/>
      <c r="J54" s="458"/>
      <c r="K54" s="458"/>
      <c r="L54" s="458"/>
      <c r="M54" s="458"/>
      <c r="N54" s="458"/>
      <c r="O54" s="458"/>
      <c r="P54" s="458"/>
      <c r="Q54" s="458"/>
      <c r="R54" s="458"/>
      <c r="S54" s="458"/>
      <c r="T54" s="458"/>
      <c r="U54" s="458"/>
      <c r="V54" s="458"/>
      <c r="W54" s="458"/>
      <c r="X54" s="338">
        <f t="shared" ref="X54:X62" si="10">SUM(D54:W54)</f>
        <v>0</v>
      </c>
    </row>
    <row r="55" spans="1:24" ht="11.25" x14ac:dyDescent="0.2">
      <c r="A55" s="331" t="s">
        <v>766</v>
      </c>
      <c r="B55" s="516" t="s">
        <v>880</v>
      </c>
      <c r="C55" s="305" t="s">
        <v>340</v>
      </c>
      <c r="D55" s="144">
        <v>0</v>
      </c>
      <c r="E55" s="144">
        <v>0</v>
      </c>
      <c r="F55" s="144">
        <v>0</v>
      </c>
      <c r="G55" s="144">
        <v>0</v>
      </c>
      <c r="H55" s="144">
        <v>0</v>
      </c>
      <c r="I55" s="144">
        <v>0</v>
      </c>
      <c r="J55" s="144">
        <v>0</v>
      </c>
      <c r="K55" s="144">
        <v>0</v>
      </c>
      <c r="L55" s="144">
        <v>0</v>
      </c>
      <c r="M55" s="144">
        <v>0</v>
      </c>
      <c r="N55" s="144">
        <v>0</v>
      </c>
      <c r="O55" s="144">
        <v>0</v>
      </c>
      <c r="P55" s="144">
        <v>0</v>
      </c>
      <c r="Q55" s="144">
        <v>0</v>
      </c>
      <c r="R55" s="144">
        <v>0</v>
      </c>
      <c r="S55" s="144">
        <v>0</v>
      </c>
      <c r="T55" s="144">
        <v>0</v>
      </c>
      <c r="U55" s="144">
        <v>0</v>
      </c>
      <c r="V55" s="144">
        <v>0</v>
      </c>
      <c r="W55" s="144">
        <v>0</v>
      </c>
      <c r="X55" s="332">
        <f t="shared" si="10"/>
        <v>0</v>
      </c>
    </row>
    <row r="56" spans="1:24" ht="11.25" hidden="1" x14ac:dyDescent="0.2">
      <c r="A56" s="331">
        <v>6</v>
      </c>
      <c r="B56" s="516" t="s">
        <v>881</v>
      </c>
      <c r="C56" s="305" t="s">
        <v>1015</v>
      </c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458"/>
      <c r="R56" s="458"/>
      <c r="S56" s="458"/>
      <c r="T56" s="458"/>
      <c r="U56" s="458"/>
      <c r="V56" s="458"/>
      <c r="W56" s="458"/>
      <c r="X56" s="332">
        <f t="shared" si="10"/>
        <v>0</v>
      </c>
    </row>
    <row r="57" spans="1:24" ht="11.25" x14ac:dyDescent="0.2">
      <c r="A57" s="331" t="s">
        <v>767</v>
      </c>
      <c r="B57" s="516" t="s">
        <v>881</v>
      </c>
      <c r="C57" s="305" t="s">
        <v>341</v>
      </c>
      <c r="D57" s="518">
        <v>0</v>
      </c>
      <c r="E57" s="518">
        <v>0</v>
      </c>
      <c r="F57" s="518">
        <v>0</v>
      </c>
      <c r="G57" s="518">
        <v>0</v>
      </c>
      <c r="H57" s="518">
        <v>0</v>
      </c>
      <c r="I57" s="518">
        <v>0</v>
      </c>
      <c r="J57" s="518">
        <v>0</v>
      </c>
      <c r="K57" s="518">
        <v>0</v>
      </c>
      <c r="L57" s="518">
        <v>0</v>
      </c>
      <c r="M57" s="518">
        <v>0</v>
      </c>
      <c r="N57" s="518">
        <v>0</v>
      </c>
      <c r="O57" s="518">
        <v>0</v>
      </c>
      <c r="P57" s="518">
        <v>0</v>
      </c>
      <c r="Q57" s="518">
        <v>0</v>
      </c>
      <c r="R57" s="518">
        <v>0</v>
      </c>
      <c r="S57" s="518">
        <v>0</v>
      </c>
      <c r="T57" s="518">
        <v>0</v>
      </c>
      <c r="U57" s="518">
        <v>0</v>
      </c>
      <c r="V57" s="518">
        <v>0</v>
      </c>
      <c r="W57" s="518">
        <v>0</v>
      </c>
      <c r="X57" s="332">
        <f t="shared" si="10"/>
        <v>0</v>
      </c>
    </row>
    <row r="58" spans="1:24" ht="11.25" x14ac:dyDescent="0.2">
      <c r="A58" s="331">
        <v>7</v>
      </c>
      <c r="B58" s="185" t="s">
        <v>882</v>
      </c>
      <c r="C58" s="320" t="s">
        <v>1208</v>
      </c>
      <c r="D58" s="518">
        <v>0</v>
      </c>
      <c r="E58" s="518">
        <v>0</v>
      </c>
      <c r="F58" s="518">
        <v>0</v>
      </c>
      <c r="G58" s="518">
        <v>0</v>
      </c>
      <c r="H58" s="518">
        <v>0</v>
      </c>
      <c r="I58" s="518">
        <v>0</v>
      </c>
      <c r="J58" s="518">
        <v>0</v>
      </c>
      <c r="K58" s="518">
        <v>0</v>
      </c>
      <c r="L58" s="519">
        <v>0</v>
      </c>
      <c r="M58" s="519">
        <v>0</v>
      </c>
      <c r="N58" s="519">
        <v>0</v>
      </c>
      <c r="O58" s="519">
        <v>0</v>
      </c>
      <c r="P58" s="519">
        <v>0</v>
      </c>
      <c r="Q58" s="519">
        <v>0</v>
      </c>
      <c r="R58" s="519">
        <v>0</v>
      </c>
      <c r="S58" s="519">
        <v>0</v>
      </c>
      <c r="T58" s="519">
        <v>0</v>
      </c>
      <c r="U58" s="519">
        <v>0</v>
      </c>
      <c r="V58" s="519">
        <v>0</v>
      </c>
      <c r="W58" s="519">
        <v>0</v>
      </c>
      <c r="X58" s="332">
        <f t="shared" si="10"/>
        <v>0</v>
      </c>
    </row>
    <row r="59" spans="1:24" ht="11.25" x14ac:dyDescent="0.2">
      <c r="A59" s="331">
        <v>8</v>
      </c>
      <c r="B59" s="185" t="s">
        <v>884</v>
      </c>
      <c r="C59" s="320" t="s">
        <v>1209</v>
      </c>
      <c r="D59" s="518">
        <v>0</v>
      </c>
      <c r="E59" s="518">
        <v>0</v>
      </c>
      <c r="F59" s="518">
        <v>0</v>
      </c>
      <c r="G59" s="518">
        <v>0</v>
      </c>
      <c r="H59" s="518">
        <v>0</v>
      </c>
      <c r="I59" s="518">
        <v>0</v>
      </c>
      <c r="J59" s="518">
        <v>0</v>
      </c>
      <c r="K59" s="518">
        <v>0</v>
      </c>
      <c r="L59" s="519">
        <v>0</v>
      </c>
      <c r="M59" s="519">
        <v>0</v>
      </c>
      <c r="N59" s="519">
        <v>0</v>
      </c>
      <c r="O59" s="519">
        <v>0</v>
      </c>
      <c r="P59" s="519">
        <v>0</v>
      </c>
      <c r="Q59" s="519">
        <v>0</v>
      </c>
      <c r="R59" s="519">
        <v>0</v>
      </c>
      <c r="S59" s="519">
        <v>0</v>
      </c>
      <c r="T59" s="519">
        <v>0</v>
      </c>
      <c r="U59" s="519">
        <v>0</v>
      </c>
      <c r="V59" s="519">
        <v>0</v>
      </c>
      <c r="W59" s="519">
        <v>0</v>
      </c>
      <c r="X59" s="332">
        <f t="shared" si="10"/>
        <v>0</v>
      </c>
    </row>
    <row r="60" spans="1:24" ht="11.25" x14ac:dyDescent="0.2">
      <c r="A60" s="331">
        <v>9</v>
      </c>
      <c r="B60" s="185" t="s">
        <v>885</v>
      </c>
      <c r="C60" s="320" t="s">
        <v>1210</v>
      </c>
      <c r="D60" s="518">
        <v>0</v>
      </c>
      <c r="E60" s="518">
        <v>0</v>
      </c>
      <c r="F60" s="518">
        <v>0</v>
      </c>
      <c r="G60" s="518">
        <v>0</v>
      </c>
      <c r="H60" s="518">
        <v>0</v>
      </c>
      <c r="I60" s="518">
        <v>0</v>
      </c>
      <c r="J60" s="518">
        <v>0</v>
      </c>
      <c r="K60" s="518">
        <v>0</v>
      </c>
      <c r="L60" s="519">
        <v>0</v>
      </c>
      <c r="M60" s="519">
        <v>0</v>
      </c>
      <c r="N60" s="519">
        <v>0</v>
      </c>
      <c r="O60" s="519">
        <v>0</v>
      </c>
      <c r="P60" s="519">
        <v>0</v>
      </c>
      <c r="Q60" s="519">
        <v>0</v>
      </c>
      <c r="R60" s="519">
        <v>0</v>
      </c>
      <c r="S60" s="519">
        <v>0</v>
      </c>
      <c r="T60" s="519">
        <v>0</v>
      </c>
      <c r="U60" s="519">
        <v>0</v>
      </c>
      <c r="V60" s="519">
        <v>0</v>
      </c>
      <c r="W60" s="519">
        <v>0</v>
      </c>
      <c r="X60" s="332">
        <f t="shared" si="10"/>
        <v>0</v>
      </c>
    </row>
    <row r="61" spans="1:24" ht="11.25" x14ac:dyDescent="0.2">
      <c r="A61" s="341">
        <v>10</v>
      </c>
      <c r="B61" s="185" t="s">
        <v>887</v>
      </c>
      <c r="C61" s="318" t="s">
        <v>1211</v>
      </c>
      <c r="D61" s="518">
        <v>0</v>
      </c>
      <c r="E61" s="518">
        <v>0</v>
      </c>
      <c r="F61" s="518">
        <v>0</v>
      </c>
      <c r="G61" s="518">
        <v>0</v>
      </c>
      <c r="H61" s="518">
        <v>0</v>
      </c>
      <c r="I61" s="518">
        <v>0</v>
      </c>
      <c r="J61" s="518">
        <v>0</v>
      </c>
      <c r="K61" s="518">
        <v>0</v>
      </c>
      <c r="L61" s="519">
        <v>0</v>
      </c>
      <c r="M61" s="519">
        <v>0</v>
      </c>
      <c r="N61" s="519">
        <v>0</v>
      </c>
      <c r="O61" s="519">
        <v>0</v>
      </c>
      <c r="P61" s="519">
        <v>0</v>
      </c>
      <c r="Q61" s="519">
        <v>0</v>
      </c>
      <c r="R61" s="519">
        <v>0</v>
      </c>
      <c r="S61" s="519">
        <v>0</v>
      </c>
      <c r="T61" s="519">
        <v>0</v>
      </c>
      <c r="U61" s="519">
        <v>0</v>
      </c>
      <c r="V61" s="519">
        <v>0</v>
      </c>
      <c r="W61" s="519">
        <v>0</v>
      </c>
      <c r="X61" s="332">
        <f t="shared" si="10"/>
        <v>0</v>
      </c>
    </row>
    <row r="62" spans="1:24" ht="11.25" x14ac:dyDescent="0.2">
      <c r="A62" s="331">
        <v>11</v>
      </c>
      <c r="C62" s="337" t="s">
        <v>933</v>
      </c>
      <c r="D62" s="338">
        <f>SUM(D54:D61)</f>
        <v>0</v>
      </c>
      <c r="E62" s="338">
        <f t="shared" ref="E62:W62" si="11">SUM(E54:E61)</f>
        <v>0</v>
      </c>
      <c r="F62" s="338">
        <f t="shared" si="11"/>
        <v>0</v>
      </c>
      <c r="G62" s="338">
        <f t="shared" si="11"/>
        <v>0</v>
      </c>
      <c r="H62" s="338">
        <f t="shared" si="11"/>
        <v>0</v>
      </c>
      <c r="I62" s="338">
        <f t="shared" si="11"/>
        <v>0</v>
      </c>
      <c r="J62" s="338">
        <f t="shared" si="11"/>
        <v>0</v>
      </c>
      <c r="K62" s="338">
        <f t="shared" si="11"/>
        <v>0</v>
      </c>
      <c r="L62" s="338">
        <f t="shared" si="11"/>
        <v>0</v>
      </c>
      <c r="M62" s="338">
        <f t="shared" si="11"/>
        <v>0</v>
      </c>
      <c r="N62" s="338">
        <f t="shared" si="11"/>
        <v>0</v>
      </c>
      <c r="O62" s="338">
        <f t="shared" si="11"/>
        <v>0</v>
      </c>
      <c r="P62" s="338">
        <f t="shared" si="11"/>
        <v>0</v>
      </c>
      <c r="Q62" s="338">
        <f t="shared" si="11"/>
        <v>0</v>
      </c>
      <c r="R62" s="338">
        <f t="shared" si="11"/>
        <v>0</v>
      </c>
      <c r="S62" s="338">
        <f t="shared" si="11"/>
        <v>0</v>
      </c>
      <c r="T62" s="338">
        <f t="shared" si="11"/>
        <v>0</v>
      </c>
      <c r="U62" s="338">
        <f t="shared" si="11"/>
        <v>0</v>
      </c>
      <c r="V62" s="338">
        <f t="shared" si="11"/>
        <v>0</v>
      </c>
      <c r="W62" s="338">
        <f t="shared" si="11"/>
        <v>0</v>
      </c>
      <c r="X62" s="332">
        <f t="shared" si="10"/>
        <v>0</v>
      </c>
    </row>
    <row r="63" spans="1:24" ht="11.25" x14ac:dyDescent="0.2">
      <c r="A63" s="361" t="s">
        <v>123</v>
      </c>
      <c r="B63" s="360"/>
      <c r="C63" s="339"/>
      <c r="D63" s="340"/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</row>
    <row r="64" spans="1:24" ht="11.25" x14ac:dyDescent="0.2">
      <c r="A64" s="361" t="s">
        <v>124</v>
      </c>
      <c r="B64" s="360"/>
      <c r="C64" s="339"/>
      <c r="D64" s="340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</row>
    <row r="65" spans="1:24" ht="11.25" x14ac:dyDescent="0.2">
      <c r="A65" s="361" t="s">
        <v>136</v>
      </c>
      <c r="B65" s="360"/>
      <c r="C65" s="339"/>
      <c r="D65" s="340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</row>
    <row r="66" spans="1:24" ht="11.25" x14ac:dyDescent="0.2">
      <c r="A66" s="361" t="s">
        <v>138</v>
      </c>
      <c r="B66" s="360"/>
      <c r="C66" s="339"/>
      <c r="D66" s="340"/>
      <c r="E66" s="340"/>
      <c r="F66" s="340"/>
      <c r="G66" s="340"/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S66" s="340"/>
      <c r="T66" s="340"/>
      <c r="U66" s="340"/>
      <c r="V66" s="340"/>
      <c r="W66" s="340"/>
      <c r="X66" s="340"/>
    </row>
    <row r="67" spans="1:24" ht="11.25" x14ac:dyDescent="0.2">
      <c r="A67" s="361" t="s">
        <v>140</v>
      </c>
      <c r="B67" s="360"/>
      <c r="C67" s="339"/>
      <c r="D67" s="340"/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340"/>
      <c r="P67" s="340"/>
      <c r="Q67" s="340"/>
      <c r="R67" s="340"/>
      <c r="S67" s="340"/>
      <c r="T67" s="340"/>
      <c r="U67" s="340"/>
      <c r="V67" s="340"/>
      <c r="W67" s="340"/>
      <c r="X67" s="340"/>
    </row>
    <row r="68" spans="1:24" ht="11.25" x14ac:dyDescent="0.2">
      <c r="A68" s="361" t="s">
        <v>1590</v>
      </c>
      <c r="B68" s="360"/>
      <c r="C68" s="339"/>
      <c r="D68" s="340"/>
      <c r="E68" s="340"/>
      <c r="F68" s="340"/>
      <c r="G68" s="340"/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S68" s="340"/>
      <c r="T68" s="340"/>
      <c r="U68" s="340"/>
      <c r="V68" s="340"/>
      <c r="W68" s="340"/>
      <c r="X68" s="340"/>
    </row>
    <row r="69" spans="1:24" ht="11.25" x14ac:dyDescent="0.2">
      <c r="A69" s="361" t="s">
        <v>142</v>
      </c>
      <c r="B69" s="360"/>
      <c r="C69" s="339"/>
      <c r="D69" s="340"/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40"/>
      <c r="W69" s="340"/>
      <c r="X69" s="340"/>
    </row>
    <row r="70" spans="1:24" ht="11.25" x14ac:dyDescent="0.2">
      <c r="A70" s="361" t="s">
        <v>147</v>
      </c>
      <c r="B70" s="360"/>
      <c r="C70" s="339"/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</row>
    <row r="71" spans="1:24" ht="11.25" hidden="1" x14ac:dyDescent="0.2">
      <c r="A71" s="331">
        <v>12</v>
      </c>
      <c r="B71" s="516" t="s">
        <v>880</v>
      </c>
      <c r="C71" s="305" t="s">
        <v>1164</v>
      </c>
      <c r="D71" s="458">
        <v>0</v>
      </c>
      <c r="E71" s="458"/>
      <c r="F71" s="458"/>
      <c r="G71" s="458"/>
      <c r="H71" s="458"/>
      <c r="I71" s="458"/>
      <c r="J71" s="458"/>
      <c r="K71" s="458"/>
      <c r="L71" s="458"/>
      <c r="M71" s="458"/>
      <c r="N71" s="458"/>
      <c r="O71" s="458"/>
      <c r="P71" s="458"/>
      <c r="Q71" s="458"/>
      <c r="R71" s="458"/>
      <c r="S71" s="458"/>
      <c r="T71" s="458"/>
      <c r="U71" s="458"/>
      <c r="V71" s="458"/>
      <c r="W71" s="458"/>
      <c r="X71" s="338">
        <f t="shared" ref="X71:X80" si="12">SUM(D71:W71)</f>
        <v>0</v>
      </c>
    </row>
    <row r="72" spans="1:24" ht="11.25" x14ac:dyDescent="0.2">
      <c r="A72" s="331" t="s">
        <v>733</v>
      </c>
      <c r="B72" s="516" t="s">
        <v>880</v>
      </c>
      <c r="C72" s="305" t="s">
        <v>340</v>
      </c>
      <c r="D72" s="144">
        <v>0</v>
      </c>
      <c r="E72" s="144">
        <v>0</v>
      </c>
      <c r="F72" s="144">
        <v>0</v>
      </c>
      <c r="G72" s="144">
        <v>0</v>
      </c>
      <c r="H72" s="144">
        <v>0</v>
      </c>
      <c r="I72" s="144">
        <v>0</v>
      </c>
      <c r="J72" s="144">
        <v>0</v>
      </c>
      <c r="K72" s="144">
        <v>0</v>
      </c>
      <c r="L72" s="144">
        <v>0</v>
      </c>
      <c r="M72" s="144">
        <v>0</v>
      </c>
      <c r="N72" s="144">
        <v>0</v>
      </c>
      <c r="O72" s="144">
        <v>0</v>
      </c>
      <c r="P72" s="144">
        <v>0</v>
      </c>
      <c r="Q72" s="144">
        <v>0</v>
      </c>
      <c r="R72" s="144">
        <v>0</v>
      </c>
      <c r="S72" s="144">
        <v>0</v>
      </c>
      <c r="T72" s="144">
        <v>0</v>
      </c>
      <c r="U72" s="144">
        <v>0</v>
      </c>
      <c r="V72" s="144">
        <v>0</v>
      </c>
      <c r="W72" s="144">
        <v>0</v>
      </c>
      <c r="X72" s="332">
        <f t="shared" si="12"/>
        <v>0</v>
      </c>
    </row>
    <row r="73" spans="1:24" ht="11.25" hidden="1" x14ac:dyDescent="0.2">
      <c r="A73" s="341">
        <v>13</v>
      </c>
      <c r="B73" s="516" t="s">
        <v>881</v>
      </c>
      <c r="C73" s="305" t="s">
        <v>1015</v>
      </c>
      <c r="D73" s="458"/>
      <c r="E73" s="458"/>
      <c r="F73" s="458"/>
      <c r="G73" s="458"/>
      <c r="H73" s="458"/>
      <c r="I73" s="458"/>
      <c r="J73" s="458"/>
      <c r="K73" s="458"/>
      <c r="L73" s="458"/>
      <c r="M73" s="458"/>
      <c r="N73" s="458"/>
      <c r="O73" s="458"/>
      <c r="P73" s="458"/>
      <c r="Q73" s="458"/>
      <c r="R73" s="458"/>
      <c r="S73" s="458"/>
      <c r="T73" s="458"/>
      <c r="U73" s="458"/>
      <c r="V73" s="458"/>
      <c r="W73" s="458"/>
      <c r="X73" s="332">
        <f t="shared" si="12"/>
        <v>0</v>
      </c>
    </row>
    <row r="74" spans="1:24" ht="11.25" x14ac:dyDescent="0.2">
      <c r="A74" s="341" t="s">
        <v>768</v>
      </c>
      <c r="B74" s="516" t="s">
        <v>881</v>
      </c>
      <c r="C74" s="305" t="s">
        <v>341</v>
      </c>
      <c r="D74" s="518">
        <v>0</v>
      </c>
      <c r="E74" s="518">
        <v>0</v>
      </c>
      <c r="F74" s="518">
        <v>0</v>
      </c>
      <c r="G74" s="518">
        <v>0</v>
      </c>
      <c r="H74" s="518">
        <v>0</v>
      </c>
      <c r="I74" s="518">
        <v>0</v>
      </c>
      <c r="J74" s="518">
        <v>0</v>
      </c>
      <c r="K74" s="518">
        <v>0</v>
      </c>
      <c r="L74" s="518">
        <v>0</v>
      </c>
      <c r="M74" s="518">
        <v>0</v>
      </c>
      <c r="N74" s="518">
        <v>0</v>
      </c>
      <c r="O74" s="518">
        <v>0</v>
      </c>
      <c r="P74" s="518">
        <v>0</v>
      </c>
      <c r="Q74" s="518">
        <v>0</v>
      </c>
      <c r="R74" s="518">
        <v>0</v>
      </c>
      <c r="S74" s="518">
        <v>0</v>
      </c>
      <c r="T74" s="518">
        <v>0</v>
      </c>
      <c r="U74" s="518">
        <v>0</v>
      </c>
      <c r="V74" s="518">
        <v>0</v>
      </c>
      <c r="W74" s="518">
        <v>0</v>
      </c>
      <c r="X74" s="332">
        <f t="shared" si="12"/>
        <v>0</v>
      </c>
    </row>
    <row r="75" spans="1:24" ht="11.25" x14ac:dyDescent="0.2">
      <c r="A75" s="341">
        <v>14</v>
      </c>
      <c r="B75" s="516" t="s">
        <v>882</v>
      </c>
      <c r="C75" s="320" t="s">
        <v>1208</v>
      </c>
      <c r="D75" s="518">
        <v>0</v>
      </c>
      <c r="E75" s="518">
        <v>0</v>
      </c>
      <c r="F75" s="518">
        <v>0</v>
      </c>
      <c r="G75" s="518">
        <v>0</v>
      </c>
      <c r="H75" s="518">
        <v>0</v>
      </c>
      <c r="I75" s="518">
        <v>0</v>
      </c>
      <c r="J75" s="518">
        <v>0</v>
      </c>
      <c r="K75" s="518">
        <v>0</v>
      </c>
      <c r="L75" s="519">
        <v>0</v>
      </c>
      <c r="M75" s="519">
        <v>0</v>
      </c>
      <c r="N75" s="519">
        <v>0</v>
      </c>
      <c r="O75" s="519">
        <v>0</v>
      </c>
      <c r="P75" s="519">
        <v>0</v>
      </c>
      <c r="Q75" s="519">
        <v>0</v>
      </c>
      <c r="R75" s="519">
        <v>0</v>
      </c>
      <c r="S75" s="519">
        <v>0</v>
      </c>
      <c r="T75" s="519">
        <v>0</v>
      </c>
      <c r="U75" s="519">
        <v>0</v>
      </c>
      <c r="V75" s="519">
        <v>0</v>
      </c>
      <c r="W75" s="519">
        <v>0</v>
      </c>
      <c r="X75" s="332">
        <f t="shared" si="12"/>
        <v>0</v>
      </c>
    </row>
    <row r="76" spans="1:24" ht="11.25" x14ac:dyDescent="0.2">
      <c r="A76" s="341">
        <v>15</v>
      </c>
      <c r="B76" s="516" t="s">
        <v>883</v>
      </c>
      <c r="C76" s="318" t="s">
        <v>1212</v>
      </c>
      <c r="D76" s="518">
        <v>0</v>
      </c>
      <c r="E76" s="518">
        <v>0</v>
      </c>
      <c r="F76" s="518">
        <v>0</v>
      </c>
      <c r="G76" s="518">
        <v>0</v>
      </c>
      <c r="H76" s="518">
        <v>0</v>
      </c>
      <c r="I76" s="518">
        <v>0</v>
      </c>
      <c r="J76" s="518">
        <v>0</v>
      </c>
      <c r="K76" s="518">
        <v>0</v>
      </c>
      <c r="L76" s="519">
        <v>0</v>
      </c>
      <c r="M76" s="519">
        <v>0</v>
      </c>
      <c r="N76" s="519">
        <v>0</v>
      </c>
      <c r="O76" s="519">
        <v>0</v>
      </c>
      <c r="P76" s="519">
        <v>0</v>
      </c>
      <c r="Q76" s="519">
        <v>0</v>
      </c>
      <c r="R76" s="519">
        <v>0</v>
      </c>
      <c r="S76" s="519">
        <v>0</v>
      </c>
      <c r="T76" s="519">
        <v>0</v>
      </c>
      <c r="U76" s="519">
        <v>0</v>
      </c>
      <c r="V76" s="519">
        <v>0</v>
      </c>
      <c r="W76" s="519">
        <v>0</v>
      </c>
      <c r="X76" s="332">
        <f t="shared" si="12"/>
        <v>0</v>
      </c>
    </row>
    <row r="77" spans="1:24" ht="11.25" x14ac:dyDescent="0.2">
      <c r="A77" s="341">
        <v>16</v>
      </c>
      <c r="B77" s="185" t="s">
        <v>884</v>
      </c>
      <c r="C77" s="320" t="s">
        <v>1209</v>
      </c>
      <c r="D77" s="518">
        <v>0</v>
      </c>
      <c r="E77" s="518">
        <v>0</v>
      </c>
      <c r="F77" s="518">
        <v>0</v>
      </c>
      <c r="G77" s="518">
        <v>0</v>
      </c>
      <c r="H77" s="518">
        <v>0</v>
      </c>
      <c r="I77" s="518">
        <v>0</v>
      </c>
      <c r="J77" s="518">
        <v>0</v>
      </c>
      <c r="K77" s="518">
        <v>0</v>
      </c>
      <c r="L77" s="519">
        <v>0</v>
      </c>
      <c r="M77" s="519">
        <v>0</v>
      </c>
      <c r="N77" s="519">
        <v>0</v>
      </c>
      <c r="O77" s="519">
        <v>0</v>
      </c>
      <c r="P77" s="519">
        <v>0</v>
      </c>
      <c r="Q77" s="519">
        <v>0</v>
      </c>
      <c r="R77" s="519">
        <v>0</v>
      </c>
      <c r="S77" s="519">
        <v>0</v>
      </c>
      <c r="T77" s="519">
        <v>0</v>
      </c>
      <c r="U77" s="519">
        <v>0</v>
      </c>
      <c r="V77" s="519">
        <v>0</v>
      </c>
      <c r="W77" s="519">
        <v>0</v>
      </c>
      <c r="X77" s="332">
        <f t="shared" si="12"/>
        <v>0</v>
      </c>
    </row>
    <row r="78" spans="1:24" ht="11.25" x14ac:dyDescent="0.2">
      <c r="A78" s="341">
        <v>17</v>
      </c>
      <c r="B78" s="185" t="s">
        <v>885</v>
      </c>
      <c r="C78" s="318" t="s">
        <v>1210</v>
      </c>
      <c r="D78" s="518">
        <v>0</v>
      </c>
      <c r="E78" s="518">
        <v>0</v>
      </c>
      <c r="F78" s="518">
        <v>0</v>
      </c>
      <c r="G78" s="518">
        <v>0</v>
      </c>
      <c r="H78" s="518">
        <v>0</v>
      </c>
      <c r="I78" s="518">
        <v>0</v>
      </c>
      <c r="J78" s="518">
        <v>0</v>
      </c>
      <c r="K78" s="518">
        <v>0</v>
      </c>
      <c r="L78" s="519">
        <v>0</v>
      </c>
      <c r="M78" s="519">
        <v>0</v>
      </c>
      <c r="N78" s="519">
        <v>0</v>
      </c>
      <c r="O78" s="519">
        <v>0</v>
      </c>
      <c r="P78" s="519">
        <v>0</v>
      </c>
      <c r="Q78" s="519">
        <v>0</v>
      </c>
      <c r="R78" s="519">
        <v>0</v>
      </c>
      <c r="S78" s="519">
        <v>0</v>
      </c>
      <c r="T78" s="519">
        <v>0</v>
      </c>
      <c r="U78" s="519">
        <v>0</v>
      </c>
      <c r="V78" s="519">
        <v>0</v>
      </c>
      <c r="W78" s="519">
        <v>0</v>
      </c>
      <c r="X78" s="332">
        <f t="shared" si="12"/>
        <v>0</v>
      </c>
    </row>
    <row r="79" spans="1:24" ht="11.25" x14ac:dyDescent="0.2">
      <c r="A79" s="341">
        <v>18</v>
      </c>
      <c r="B79" s="185" t="s">
        <v>887</v>
      </c>
      <c r="C79" s="318" t="s">
        <v>1211</v>
      </c>
      <c r="D79" s="518">
        <v>0</v>
      </c>
      <c r="E79" s="518">
        <v>0</v>
      </c>
      <c r="F79" s="518">
        <v>0</v>
      </c>
      <c r="G79" s="518">
        <v>0</v>
      </c>
      <c r="H79" s="518">
        <v>0</v>
      </c>
      <c r="I79" s="518">
        <v>0</v>
      </c>
      <c r="J79" s="518">
        <v>0</v>
      </c>
      <c r="K79" s="518">
        <v>0</v>
      </c>
      <c r="L79" s="519">
        <v>0</v>
      </c>
      <c r="M79" s="519">
        <v>0</v>
      </c>
      <c r="N79" s="519">
        <v>0</v>
      </c>
      <c r="O79" s="519">
        <v>0</v>
      </c>
      <c r="P79" s="519">
        <v>0</v>
      </c>
      <c r="Q79" s="519">
        <v>0</v>
      </c>
      <c r="R79" s="519">
        <v>0</v>
      </c>
      <c r="S79" s="519">
        <v>0</v>
      </c>
      <c r="T79" s="519">
        <v>0</v>
      </c>
      <c r="U79" s="519">
        <v>0</v>
      </c>
      <c r="V79" s="519">
        <v>0</v>
      </c>
      <c r="W79" s="519">
        <v>0</v>
      </c>
      <c r="X79" s="332">
        <f t="shared" si="12"/>
        <v>0</v>
      </c>
    </row>
    <row r="80" spans="1:24" ht="11.25" x14ac:dyDescent="0.2">
      <c r="A80" s="342">
        <v>19</v>
      </c>
      <c r="C80" s="343" t="s">
        <v>1230</v>
      </c>
      <c r="D80" s="338">
        <f>SUM(D71:D79)</f>
        <v>0</v>
      </c>
      <c r="E80" s="338">
        <f t="shared" ref="E80:W80" si="13">SUM(E71:E79)</f>
        <v>0</v>
      </c>
      <c r="F80" s="338">
        <f t="shared" si="13"/>
        <v>0</v>
      </c>
      <c r="G80" s="338">
        <f t="shared" si="13"/>
        <v>0</v>
      </c>
      <c r="H80" s="338">
        <f t="shared" si="13"/>
        <v>0</v>
      </c>
      <c r="I80" s="338">
        <f t="shared" si="13"/>
        <v>0</v>
      </c>
      <c r="J80" s="338">
        <f t="shared" si="13"/>
        <v>0</v>
      </c>
      <c r="K80" s="338">
        <f t="shared" si="13"/>
        <v>0</v>
      </c>
      <c r="L80" s="338">
        <f t="shared" si="13"/>
        <v>0</v>
      </c>
      <c r="M80" s="338">
        <f t="shared" si="13"/>
        <v>0</v>
      </c>
      <c r="N80" s="338">
        <f t="shared" si="13"/>
        <v>0</v>
      </c>
      <c r="O80" s="338">
        <f t="shared" si="13"/>
        <v>0</v>
      </c>
      <c r="P80" s="338">
        <f t="shared" si="13"/>
        <v>0</v>
      </c>
      <c r="Q80" s="338">
        <f t="shared" si="13"/>
        <v>0</v>
      </c>
      <c r="R80" s="338">
        <f t="shared" si="13"/>
        <v>0</v>
      </c>
      <c r="S80" s="338">
        <f t="shared" si="13"/>
        <v>0</v>
      </c>
      <c r="T80" s="338">
        <f t="shared" si="13"/>
        <v>0</v>
      </c>
      <c r="U80" s="338">
        <f t="shared" si="13"/>
        <v>0</v>
      </c>
      <c r="V80" s="338">
        <f t="shared" si="13"/>
        <v>0</v>
      </c>
      <c r="W80" s="338">
        <f t="shared" si="13"/>
        <v>0</v>
      </c>
      <c r="X80" s="332">
        <f t="shared" si="12"/>
        <v>0</v>
      </c>
    </row>
    <row r="81" spans="1:24" ht="11.25" x14ac:dyDescent="0.2">
      <c r="A81" s="362" t="s">
        <v>764</v>
      </c>
      <c r="B81" s="360"/>
      <c r="C81" s="339"/>
      <c r="D81" s="340"/>
      <c r="E81" s="340"/>
      <c r="F81" s="340"/>
      <c r="G81" s="340"/>
      <c r="H81" s="340"/>
      <c r="I81" s="340"/>
      <c r="J81" s="340"/>
      <c r="K81" s="340"/>
      <c r="L81" s="340"/>
      <c r="M81" s="340"/>
      <c r="N81" s="340"/>
      <c r="O81" s="340"/>
      <c r="P81" s="340"/>
      <c r="Q81" s="340"/>
      <c r="R81" s="340"/>
      <c r="S81" s="340"/>
      <c r="T81" s="340"/>
      <c r="U81" s="340"/>
      <c r="V81" s="340"/>
      <c r="W81" s="340"/>
      <c r="X81" s="340"/>
    </row>
    <row r="82" spans="1:24" ht="11.25" hidden="1" x14ac:dyDescent="0.2">
      <c r="A82" s="331">
        <v>20</v>
      </c>
      <c r="B82" s="516" t="s">
        <v>880</v>
      </c>
      <c r="C82" s="305" t="s">
        <v>1164</v>
      </c>
      <c r="D82" s="458">
        <v>0</v>
      </c>
      <c r="E82" s="458"/>
      <c r="F82" s="458"/>
      <c r="G82" s="458"/>
      <c r="H82" s="458"/>
      <c r="I82" s="458"/>
      <c r="J82" s="458"/>
      <c r="K82" s="458"/>
      <c r="L82" s="458"/>
      <c r="M82" s="458"/>
      <c r="N82" s="458"/>
      <c r="O82" s="458"/>
      <c r="P82" s="458"/>
      <c r="Q82" s="458"/>
      <c r="R82" s="458"/>
      <c r="S82" s="458"/>
      <c r="T82" s="458"/>
      <c r="U82" s="458"/>
      <c r="V82" s="458"/>
      <c r="W82" s="458"/>
      <c r="X82" s="338">
        <f t="shared" ref="X82:X90" si="14">SUM(D82:W82)</f>
        <v>0</v>
      </c>
    </row>
    <row r="83" spans="1:24" ht="11.25" x14ac:dyDescent="0.2">
      <c r="A83" s="331" t="s">
        <v>769</v>
      </c>
      <c r="B83" s="516" t="s">
        <v>880</v>
      </c>
      <c r="C83" s="305" t="s">
        <v>340</v>
      </c>
      <c r="D83" s="144">
        <v>0</v>
      </c>
      <c r="E83" s="144">
        <v>0</v>
      </c>
      <c r="F83" s="144">
        <v>0</v>
      </c>
      <c r="G83" s="144">
        <v>0</v>
      </c>
      <c r="H83" s="144">
        <v>0</v>
      </c>
      <c r="I83" s="144">
        <v>0</v>
      </c>
      <c r="J83" s="144">
        <v>0</v>
      </c>
      <c r="K83" s="144">
        <v>0</v>
      </c>
      <c r="L83" s="144">
        <v>0</v>
      </c>
      <c r="M83" s="144">
        <v>0</v>
      </c>
      <c r="N83" s="144">
        <v>0</v>
      </c>
      <c r="O83" s="144">
        <v>0</v>
      </c>
      <c r="P83" s="144">
        <v>0</v>
      </c>
      <c r="Q83" s="144">
        <v>0</v>
      </c>
      <c r="R83" s="144">
        <v>0</v>
      </c>
      <c r="S83" s="144">
        <v>0</v>
      </c>
      <c r="T83" s="144">
        <v>0</v>
      </c>
      <c r="U83" s="144">
        <v>0</v>
      </c>
      <c r="V83" s="144">
        <v>0</v>
      </c>
      <c r="W83" s="144">
        <v>0</v>
      </c>
      <c r="X83" s="332">
        <f t="shared" si="14"/>
        <v>0</v>
      </c>
    </row>
    <row r="84" spans="1:24" ht="11.25" hidden="1" x14ac:dyDescent="0.2">
      <c r="A84" s="331">
        <v>21</v>
      </c>
      <c r="B84" s="516" t="s">
        <v>881</v>
      </c>
      <c r="C84" s="305" t="s">
        <v>1015</v>
      </c>
      <c r="D84" s="458"/>
      <c r="E84" s="458"/>
      <c r="F84" s="458"/>
      <c r="G84" s="458"/>
      <c r="H84" s="458"/>
      <c r="I84" s="458"/>
      <c r="J84" s="458"/>
      <c r="K84" s="458"/>
      <c r="L84" s="458"/>
      <c r="M84" s="458"/>
      <c r="N84" s="458"/>
      <c r="O84" s="458"/>
      <c r="P84" s="458"/>
      <c r="Q84" s="458"/>
      <c r="R84" s="458"/>
      <c r="S84" s="458"/>
      <c r="T84" s="458"/>
      <c r="U84" s="458"/>
      <c r="V84" s="458"/>
      <c r="W84" s="458"/>
      <c r="X84" s="332">
        <f t="shared" si="14"/>
        <v>0</v>
      </c>
    </row>
    <row r="85" spans="1:24" ht="11.25" x14ac:dyDescent="0.2">
      <c r="A85" s="331" t="s">
        <v>770</v>
      </c>
      <c r="B85" s="516" t="s">
        <v>881</v>
      </c>
      <c r="C85" s="305" t="s">
        <v>341</v>
      </c>
      <c r="D85" s="518">
        <v>0</v>
      </c>
      <c r="E85" s="518">
        <v>0</v>
      </c>
      <c r="F85" s="518">
        <v>0</v>
      </c>
      <c r="G85" s="518">
        <v>0</v>
      </c>
      <c r="H85" s="518">
        <v>0</v>
      </c>
      <c r="I85" s="518">
        <v>0</v>
      </c>
      <c r="J85" s="518">
        <v>0</v>
      </c>
      <c r="K85" s="518">
        <v>0</v>
      </c>
      <c r="L85" s="518">
        <v>0</v>
      </c>
      <c r="M85" s="518">
        <v>0</v>
      </c>
      <c r="N85" s="518">
        <v>0</v>
      </c>
      <c r="O85" s="518">
        <v>0</v>
      </c>
      <c r="P85" s="518">
        <v>0</v>
      </c>
      <c r="Q85" s="518">
        <v>0</v>
      </c>
      <c r="R85" s="518">
        <v>0</v>
      </c>
      <c r="S85" s="518">
        <v>0</v>
      </c>
      <c r="T85" s="518">
        <v>0</v>
      </c>
      <c r="U85" s="518">
        <v>0</v>
      </c>
      <c r="V85" s="518">
        <v>0</v>
      </c>
      <c r="W85" s="518">
        <v>0</v>
      </c>
      <c r="X85" s="332">
        <f t="shared" si="14"/>
        <v>0</v>
      </c>
    </row>
    <row r="86" spans="1:24" ht="11.25" x14ac:dyDescent="0.2">
      <c r="A86" s="331">
        <v>22</v>
      </c>
      <c r="B86" s="516" t="s">
        <v>882</v>
      </c>
      <c r="C86" s="320" t="s">
        <v>1208</v>
      </c>
      <c r="D86" s="518">
        <v>0</v>
      </c>
      <c r="E86" s="518">
        <v>0</v>
      </c>
      <c r="F86" s="518">
        <v>0</v>
      </c>
      <c r="G86" s="518">
        <v>0</v>
      </c>
      <c r="H86" s="518">
        <v>0</v>
      </c>
      <c r="I86" s="518">
        <v>0</v>
      </c>
      <c r="J86" s="518">
        <v>0</v>
      </c>
      <c r="K86" s="518">
        <v>0</v>
      </c>
      <c r="L86" s="519">
        <v>0</v>
      </c>
      <c r="M86" s="519">
        <v>0</v>
      </c>
      <c r="N86" s="519">
        <v>0</v>
      </c>
      <c r="O86" s="519">
        <v>0</v>
      </c>
      <c r="P86" s="519">
        <v>0</v>
      </c>
      <c r="Q86" s="519">
        <v>0</v>
      </c>
      <c r="R86" s="519">
        <v>0</v>
      </c>
      <c r="S86" s="519">
        <v>0</v>
      </c>
      <c r="T86" s="519">
        <v>0</v>
      </c>
      <c r="U86" s="519">
        <v>0</v>
      </c>
      <c r="V86" s="519">
        <v>0</v>
      </c>
      <c r="W86" s="519">
        <v>0</v>
      </c>
      <c r="X86" s="332">
        <f t="shared" si="14"/>
        <v>0</v>
      </c>
    </row>
    <row r="87" spans="1:24" ht="11.25" x14ac:dyDescent="0.2">
      <c r="A87" s="331">
        <v>23</v>
      </c>
      <c r="B87" s="185" t="s">
        <v>884</v>
      </c>
      <c r="C87" s="320" t="s">
        <v>1209</v>
      </c>
      <c r="D87" s="518">
        <v>0</v>
      </c>
      <c r="E87" s="518">
        <v>0</v>
      </c>
      <c r="F87" s="518">
        <v>0</v>
      </c>
      <c r="G87" s="518">
        <v>0</v>
      </c>
      <c r="H87" s="518">
        <v>0</v>
      </c>
      <c r="I87" s="518">
        <v>0</v>
      </c>
      <c r="J87" s="518">
        <v>0</v>
      </c>
      <c r="K87" s="518">
        <v>0</v>
      </c>
      <c r="L87" s="519">
        <v>0</v>
      </c>
      <c r="M87" s="519">
        <v>0</v>
      </c>
      <c r="N87" s="519">
        <v>0</v>
      </c>
      <c r="O87" s="519">
        <v>0</v>
      </c>
      <c r="P87" s="519">
        <v>0</v>
      </c>
      <c r="Q87" s="519">
        <v>0</v>
      </c>
      <c r="R87" s="519">
        <v>0</v>
      </c>
      <c r="S87" s="519">
        <v>0</v>
      </c>
      <c r="T87" s="519">
        <v>0</v>
      </c>
      <c r="U87" s="519">
        <v>0</v>
      </c>
      <c r="V87" s="519">
        <v>0</v>
      </c>
      <c r="W87" s="519">
        <v>0</v>
      </c>
      <c r="X87" s="332">
        <f t="shared" si="14"/>
        <v>0</v>
      </c>
    </row>
    <row r="88" spans="1:24" ht="11.25" x14ac:dyDescent="0.2">
      <c r="A88" s="331">
        <v>24</v>
      </c>
      <c r="B88" s="185" t="s">
        <v>885</v>
      </c>
      <c r="C88" s="320" t="s">
        <v>1210</v>
      </c>
      <c r="D88" s="518">
        <v>0</v>
      </c>
      <c r="E88" s="518">
        <v>0</v>
      </c>
      <c r="F88" s="518">
        <v>0</v>
      </c>
      <c r="G88" s="518">
        <v>0</v>
      </c>
      <c r="H88" s="518">
        <v>0</v>
      </c>
      <c r="I88" s="518">
        <v>0</v>
      </c>
      <c r="J88" s="518">
        <v>0</v>
      </c>
      <c r="K88" s="518">
        <v>0</v>
      </c>
      <c r="L88" s="519">
        <v>0</v>
      </c>
      <c r="M88" s="519">
        <v>0</v>
      </c>
      <c r="N88" s="519">
        <v>0</v>
      </c>
      <c r="O88" s="519">
        <v>0</v>
      </c>
      <c r="P88" s="519">
        <v>0</v>
      </c>
      <c r="Q88" s="519">
        <v>0</v>
      </c>
      <c r="R88" s="519">
        <v>0</v>
      </c>
      <c r="S88" s="519">
        <v>0</v>
      </c>
      <c r="T88" s="519">
        <v>0</v>
      </c>
      <c r="U88" s="519">
        <v>0</v>
      </c>
      <c r="V88" s="519">
        <v>0</v>
      </c>
      <c r="W88" s="519">
        <v>0</v>
      </c>
      <c r="X88" s="332">
        <f t="shared" si="14"/>
        <v>0</v>
      </c>
    </row>
    <row r="89" spans="1:24" ht="11.25" x14ac:dyDescent="0.2">
      <c r="A89" s="341">
        <v>25</v>
      </c>
      <c r="B89" s="185" t="s">
        <v>887</v>
      </c>
      <c r="C89" s="318" t="s">
        <v>1211</v>
      </c>
      <c r="D89" s="518">
        <v>0</v>
      </c>
      <c r="E89" s="518">
        <v>0</v>
      </c>
      <c r="F89" s="518">
        <v>0</v>
      </c>
      <c r="G89" s="518">
        <v>0</v>
      </c>
      <c r="H89" s="518">
        <v>0</v>
      </c>
      <c r="I89" s="518">
        <v>0</v>
      </c>
      <c r="J89" s="518">
        <v>0</v>
      </c>
      <c r="K89" s="518">
        <v>0</v>
      </c>
      <c r="L89" s="519">
        <v>0</v>
      </c>
      <c r="M89" s="519">
        <v>0</v>
      </c>
      <c r="N89" s="519">
        <v>0</v>
      </c>
      <c r="O89" s="519">
        <v>0</v>
      </c>
      <c r="P89" s="519">
        <v>0</v>
      </c>
      <c r="Q89" s="519">
        <v>0</v>
      </c>
      <c r="R89" s="519">
        <v>0</v>
      </c>
      <c r="S89" s="519">
        <v>0</v>
      </c>
      <c r="T89" s="519">
        <v>0</v>
      </c>
      <c r="U89" s="519">
        <v>0</v>
      </c>
      <c r="V89" s="519">
        <v>0</v>
      </c>
      <c r="W89" s="519">
        <v>0</v>
      </c>
      <c r="X89" s="332">
        <f t="shared" si="14"/>
        <v>0</v>
      </c>
    </row>
    <row r="90" spans="1:24" ht="11.25" x14ac:dyDescent="0.2">
      <c r="A90" s="331">
        <v>26</v>
      </c>
      <c r="C90" s="337" t="s">
        <v>1231</v>
      </c>
      <c r="D90" s="338">
        <f>SUM(D82:D89)</f>
        <v>0</v>
      </c>
      <c r="E90" s="338">
        <f t="shared" ref="E90:W90" si="15">SUM(E82:E89)</f>
        <v>0</v>
      </c>
      <c r="F90" s="338">
        <f t="shared" si="15"/>
        <v>0</v>
      </c>
      <c r="G90" s="338">
        <f t="shared" si="15"/>
        <v>0</v>
      </c>
      <c r="H90" s="338">
        <f t="shared" si="15"/>
        <v>0</v>
      </c>
      <c r="I90" s="338">
        <f t="shared" si="15"/>
        <v>0</v>
      </c>
      <c r="J90" s="338">
        <f t="shared" si="15"/>
        <v>0</v>
      </c>
      <c r="K90" s="344">
        <f t="shared" si="15"/>
        <v>0</v>
      </c>
      <c r="L90" s="344">
        <f t="shared" si="15"/>
        <v>0</v>
      </c>
      <c r="M90" s="344">
        <f t="shared" si="15"/>
        <v>0</v>
      </c>
      <c r="N90" s="344">
        <f t="shared" si="15"/>
        <v>0</v>
      </c>
      <c r="O90" s="344">
        <f t="shared" si="15"/>
        <v>0</v>
      </c>
      <c r="P90" s="344">
        <f t="shared" si="15"/>
        <v>0</v>
      </c>
      <c r="Q90" s="344">
        <f t="shared" si="15"/>
        <v>0</v>
      </c>
      <c r="R90" s="344">
        <f t="shared" si="15"/>
        <v>0</v>
      </c>
      <c r="S90" s="344">
        <f t="shared" si="15"/>
        <v>0</v>
      </c>
      <c r="T90" s="344">
        <f t="shared" si="15"/>
        <v>0</v>
      </c>
      <c r="U90" s="344">
        <f t="shared" si="15"/>
        <v>0</v>
      </c>
      <c r="V90" s="344">
        <f t="shared" si="15"/>
        <v>0</v>
      </c>
      <c r="W90" s="344">
        <f t="shared" si="15"/>
        <v>0</v>
      </c>
      <c r="X90" s="332">
        <f t="shared" si="14"/>
        <v>0</v>
      </c>
    </row>
    <row r="91" spans="1:24" ht="11.25" x14ac:dyDescent="0.2">
      <c r="A91" s="362" t="s">
        <v>773</v>
      </c>
      <c r="B91" s="360"/>
      <c r="C91" s="339"/>
      <c r="D91" s="340"/>
      <c r="E91" s="340"/>
      <c r="F91" s="340"/>
      <c r="G91" s="340"/>
      <c r="H91" s="340"/>
      <c r="I91" s="340"/>
      <c r="J91" s="340"/>
      <c r="K91" s="340"/>
      <c r="L91" s="340"/>
      <c r="M91" s="340"/>
      <c r="N91" s="340"/>
      <c r="O91" s="340"/>
      <c r="P91" s="340"/>
      <c r="Q91" s="340"/>
      <c r="R91" s="340"/>
      <c r="S91" s="340"/>
      <c r="T91" s="340"/>
      <c r="U91" s="340"/>
      <c r="V91" s="340"/>
      <c r="W91" s="340"/>
      <c r="X91" s="340"/>
    </row>
    <row r="92" spans="1:24" ht="11.25" x14ac:dyDescent="0.2">
      <c r="A92" s="362" t="s">
        <v>1591</v>
      </c>
      <c r="B92" s="360"/>
      <c r="C92" s="339"/>
      <c r="D92" s="340"/>
      <c r="E92" s="340"/>
      <c r="F92" s="340"/>
      <c r="G92" s="340"/>
      <c r="H92" s="340"/>
      <c r="I92" s="340"/>
      <c r="J92" s="340"/>
      <c r="K92" s="340"/>
      <c r="L92" s="340"/>
      <c r="M92" s="340"/>
      <c r="N92" s="340"/>
      <c r="O92" s="340"/>
      <c r="P92" s="340"/>
      <c r="Q92" s="340"/>
      <c r="R92" s="340"/>
      <c r="S92" s="340"/>
      <c r="T92" s="340"/>
      <c r="U92" s="340"/>
      <c r="V92" s="340"/>
      <c r="W92" s="340"/>
      <c r="X92" s="340"/>
    </row>
    <row r="93" spans="1:24" ht="11.25" x14ac:dyDescent="0.2">
      <c r="A93" s="362" t="s">
        <v>1588</v>
      </c>
      <c r="B93" s="360"/>
      <c r="C93" s="339"/>
      <c r="D93" s="340"/>
      <c r="E93" s="340"/>
      <c r="F93" s="340"/>
      <c r="G93" s="340"/>
      <c r="H93" s="340"/>
      <c r="I93" s="340"/>
      <c r="J93" s="340"/>
      <c r="K93" s="340"/>
      <c r="L93" s="340"/>
      <c r="M93" s="340"/>
      <c r="N93" s="340"/>
      <c r="O93" s="340"/>
      <c r="P93" s="340"/>
      <c r="Q93" s="340"/>
      <c r="R93" s="340"/>
      <c r="S93" s="340"/>
      <c r="T93" s="340"/>
      <c r="U93" s="340"/>
      <c r="V93" s="340"/>
      <c r="W93" s="340"/>
      <c r="X93" s="340"/>
    </row>
    <row r="94" spans="1:24" ht="11.25" x14ac:dyDescent="0.2">
      <c r="A94" s="362" t="s">
        <v>765</v>
      </c>
      <c r="B94" s="360"/>
      <c r="C94" s="339"/>
      <c r="D94" s="340"/>
      <c r="E94" s="340"/>
      <c r="F94" s="340"/>
      <c r="G94" s="340"/>
      <c r="H94" s="340"/>
      <c r="I94" s="340"/>
      <c r="J94" s="340"/>
      <c r="K94" s="340"/>
      <c r="L94" s="340"/>
      <c r="M94" s="340"/>
      <c r="N94" s="340"/>
      <c r="O94" s="340"/>
      <c r="P94" s="340"/>
      <c r="Q94" s="340"/>
      <c r="R94" s="340"/>
      <c r="S94" s="340"/>
      <c r="T94" s="340"/>
      <c r="U94" s="340"/>
      <c r="V94" s="340"/>
      <c r="W94" s="340"/>
      <c r="X94" s="340"/>
    </row>
    <row r="95" spans="1:24" ht="11.25" x14ac:dyDescent="0.2">
      <c r="A95" s="362" t="s">
        <v>106</v>
      </c>
      <c r="B95" s="360"/>
      <c r="C95" s="339"/>
      <c r="D95" s="340"/>
      <c r="E95" s="340"/>
      <c r="F95" s="340"/>
      <c r="G95" s="340"/>
      <c r="H95" s="340"/>
      <c r="I95" s="340"/>
      <c r="J95" s="340"/>
      <c r="K95" s="340"/>
      <c r="L95" s="340"/>
      <c r="M95" s="340"/>
      <c r="N95" s="340"/>
      <c r="O95" s="340"/>
      <c r="P95" s="340"/>
      <c r="Q95" s="340"/>
      <c r="R95" s="340"/>
      <c r="S95" s="340"/>
      <c r="T95" s="340"/>
      <c r="U95" s="340"/>
      <c r="V95" s="340"/>
      <c r="W95" s="340"/>
      <c r="X95" s="340"/>
    </row>
    <row r="96" spans="1:24" ht="11.25" x14ac:dyDescent="0.2">
      <c r="A96" s="362" t="s">
        <v>1589</v>
      </c>
      <c r="B96" s="360"/>
      <c r="C96" s="339"/>
      <c r="D96" s="340"/>
      <c r="E96" s="340"/>
      <c r="F96" s="340"/>
      <c r="G96" s="340"/>
      <c r="H96" s="340"/>
      <c r="I96" s="340"/>
      <c r="J96" s="340"/>
      <c r="K96" s="340"/>
      <c r="L96" s="340"/>
      <c r="M96" s="340"/>
      <c r="N96" s="340"/>
      <c r="O96" s="340"/>
      <c r="P96" s="340"/>
      <c r="Q96" s="340"/>
      <c r="R96" s="340"/>
      <c r="S96" s="340"/>
      <c r="T96" s="340"/>
      <c r="U96" s="340"/>
      <c r="V96" s="340"/>
      <c r="W96" s="340"/>
      <c r="X96" s="340"/>
    </row>
    <row r="97" spans="1:24" ht="11.25" hidden="1" x14ac:dyDescent="0.2">
      <c r="A97" s="331">
        <v>27</v>
      </c>
      <c r="B97" s="516" t="s">
        <v>880</v>
      </c>
      <c r="C97" s="305" t="s">
        <v>1164</v>
      </c>
      <c r="D97" s="458">
        <v>0</v>
      </c>
      <c r="E97" s="458"/>
      <c r="F97" s="458"/>
      <c r="G97" s="458"/>
      <c r="H97" s="458"/>
      <c r="I97" s="458"/>
      <c r="J97" s="458"/>
      <c r="K97" s="458"/>
      <c r="L97" s="458"/>
      <c r="M97" s="458"/>
      <c r="N97" s="458"/>
      <c r="O97" s="458"/>
      <c r="P97" s="458"/>
      <c r="Q97" s="458"/>
      <c r="R97" s="458"/>
      <c r="S97" s="458"/>
      <c r="T97" s="458"/>
      <c r="U97" s="458"/>
      <c r="V97" s="458"/>
      <c r="W97" s="458"/>
      <c r="X97" s="338">
        <f t="shared" ref="X97:X106" si="16">SUM(D97:W97)</f>
        <v>0</v>
      </c>
    </row>
    <row r="98" spans="1:24" ht="11.25" x14ac:dyDescent="0.2">
      <c r="A98" s="331" t="s">
        <v>771</v>
      </c>
      <c r="B98" s="516" t="s">
        <v>880</v>
      </c>
      <c r="C98" s="305" t="s">
        <v>337</v>
      </c>
      <c r="D98" s="144">
        <v>0</v>
      </c>
      <c r="E98" s="144">
        <v>0</v>
      </c>
      <c r="F98" s="144">
        <v>0</v>
      </c>
      <c r="G98" s="144">
        <v>0</v>
      </c>
      <c r="H98" s="144">
        <v>0</v>
      </c>
      <c r="I98" s="144">
        <v>0</v>
      </c>
      <c r="J98" s="144">
        <v>0</v>
      </c>
      <c r="K98" s="144">
        <v>0</v>
      </c>
      <c r="L98" s="144">
        <v>0</v>
      </c>
      <c r="M98" s="144">
        <v>0</v>
      </c>
      <c r="N98" s="144">
        <v>0</v>
      </c>
      <c r="O98" s="144">
        <v>0</v>
      </c>
      <c r="P98" s="144">
        <v>0</v>
      </c>
      <c r="Q98" s="144">
        <v>0</v>
      </c>
      <c r="R98" s="144">
        <v>0</v>
      </c>
      <c r="S98" s="144">
        <v>0</v>
      </c>
      <c r="T98" s="144">
        <v>0</v>
      </c>
      <c r="U98" s="144">
        <v>0</v>
      </c>
      <c r="V98" s="144">
        <v>0</v>
      </c>
      <c r="W98" s="144">
        <v>0</v>
      </c>
      <c r="X98" s="332">
        <f t="shared" si="16"/>
        <v>0</v>
      </c>
    </row>
    <row r="99" spans="1:24" ht="11.25" hidden="1" x14ac:dyDescent="0.2">
      <c r="A99" s="331">
        <v>28</v>
      </c>
      <c r="B99" s="516" t="s">
        <v>881</v>
      </c>
      <c r="C99" s="305" t="s">
        <v>1015</v>
      </c>
      <c r="D99" s="458">
        <v>0</v>
      </c>
      <c r="E99" s="458">
        <v>0</v>
      </c>
      <c r="F99" s="458"/>
      <c r="G99" s="458"/>
      <c r="H99" s="458"/>
      <c r="I99" s="458"/>
      <c r="J99" s="458"/>
      <c r="K99" s="458"/>
      <c r="L99" s="458"/>
      <c r="M99" s="458"/>
      <c r="N99" s="458"/>
      <c r="O99" s="458"/>
      <c r="P99" s="458"/>
      <c r="Q99" s="458"/>
      <c r="R99" s="458"/>
      <c r="S99" s="458"/>
      <c r="T99" s="458"/>
      <c r="U99" s="458"/>
      <c r="V99" s="458"/>
      <c r="W99" s="458"/>
      <c r="X99" s="332">
        <f t="shared" si="16"/>
        <v>0</v>
      </c>
    </row>
    <row r="100" spans="1:24" ht="11.25" x14ac:dyDescent="0.2">
      <c r="A100" s="331" t="s">
        <v>772</v>
      </c>
      <c r="B100" s="516" t="s">
        <v>881</v>
      </c>
      <c r="C100" s="305" t="s">
        <v>338</v>
      </c>
      <c r="D100" s="518">
        <v>0</v>
      </c>
      <c r="E100" s="518">
        <v>0</v>
      </c>
      <c r="F100" s="518">
        <v>0</v>
      </c>
      <c r="G100" s="518">
        <v>0</v>
      </c>
      <c r="H100" s="518">
        <v>0</v>
      </c>
      <c r="I100" s="518">
        <v>0</v>
      </c>
      <c r="J100" s="518">
        <v>0</v>
      </c>
      <c r="K100" s="518">
        <v>0</v>
      </c>
      <c r="L100" s="518">
        <v>0</v>
      </c>
      <c r="M100" s="518">
        <v>0</v>
      </c>
      <c r="N100" s="518">
        <v>0</v>
      </c>
      <c r="O100" s="518">
        <v>0</v>
      </c>
      <c r="P100" s="518">
        <v>0</v>
      </c>
      <c r="Q100" s="518">
        <v>0</v>
      </c>
      <c r="R100" s="518">
        <v>0</v>
      </c>
      <c r="S100" s="518">
        <v>0</v>
      </c>
      <c r="T100" s="518">
        <v>0</v>
      </c>
      <c r="U100" s="518">
        <v>0</v>
      </c>
      <c r="V100" s="518">
        <v>0</v>
      </c>
      <c r="W100" s="518">
        <v>0</v>
      </c>
      <c r="X100" s="332">
        <f t="shared" si="16"/>
        <v>0</v>
      </c>
    </row>
    <row r="101" spans="1:24" ht="11.25" x14ac:dyDescent="0.2">
      <c r="A101" s="331">
        <v>29</v>
      </c>
      <c r="B101" s="185" t="s">
        <v>882</v>
      </c>
      <c r="C101" s="320" t="s">
        <v>1208</v>
      </c>
      <c r="D101" s="520">
        <v>0</v>
      </c>
      <c r="E101" s="520">
        <v>0</v>
      </c>
      <c r="F101" s="520">
        <v>0</v>
      </c>
      <c r="G101" s="520">
        <v>0</v>
      </c>
      <c r="H101" s="520">
        <v>0</v>
      </c>
      <c r="I101" s="520">
        <v>0</v>
      </c>
      <c r="J101" s="520">
        <v>0</v>
      </c>
      <c r="K101" s="520">
        <v>0</v>
      </c>
      <c r="L101" s="521">
        <v>0</v>
      </c>
      <c r="M101" s="521">
        <v>0</v>
      </c>
      <c r="N101" s="521">
        <v>0</v>
      </c>
      <c r="O101" s="521">
        <v>0</v>
      </c>
      <c r="P101" s="521">
        <v>0</v>
      </c>
      <c r="Q101" s="521">
        <v>0</v>
      </c>
      <c r="R101" s="521">
        <v>0</v>
      </c>
      <c r="S101" s="521">
        <v>0</v>
      </c>
      <c r="T101" s="521">
        <v>0</v>
      </c>
      <c r="U101" s="521">
        <v>0</v>
      </c>
      <c r="V101" s="521">
        <v>0</v>
      </c>
      <c r="W101" s="521">
        <v>0</v>
      </c>
      <c r="X101" s="332">
        <f t="shared" si="16"/>
        <v>0</v>
      </c>
    </row>
    <row r="102" spans="1:24" ht="11.25" x14ac:dyDescent="0.2">
      <c r="A102" s="331">
        <v>30</v>
      </c>
      <c r="B102" s="185" t="s">
        <v>884</v>
      </c>
      <c r="C102" s="320" t="s">
        <v>1209</v>
      </c>
      <c r="D102" s="520">
        <v>0</v>
      </c>
      <c r="E102" s="520">
        <v>0</v>
      </c>
      <c r="F102" s="520">
        <v>0</v>
      </c>
      <c r="G102" s="520">
        <v>0</v>
      </c>
      <c r="H102" s="520">
        <v>0</v>
      </c>
      <c r="I102" s="520">
        <v>0</v>
      </c>
      <c r="J102" s="520">
        <v>0</v>
      </c>
      <c r="K102" s="520">
        <v>0</v>
      </c>
      <c r="L102" s="521">
        <v>0</v>
      </c>
      <c r="M102" s="521">
        <v>0</v>
      </c>
      <c r="N102" s="521">
        <v>0</v>
      </c>
      <c r="O102" s="521">
        <v>0</v>
      </c>
      <c r="P102" s="521">
        <v>0</v>
      </c>
      <c r="Q102" s="521">
        <v>0</v>
      </c>
      <c r="R102" s="521">
        <v>0</v>
      </c>
      <c r="S102" s="521">
        <v>0</v>
      </c>
      <c r="T102" s="521">
        <v>0</v>
      </c>
      <c r="U102" s="521">
        <v>0</v>
      </c>
      <c r="V102" s="521">
        <v>0</v>
      </c>
      <c r="W102" s="521">
        <v>0</v>
      </c>
      <c r="X102" s="332">
        <f t="shared" si="16"/>
        <v>0</v>
      </c>
    </row>
    <row r="103" spans="1:24" ht="11.25" x14ac:dyDescent="0.2">
      <c r="A103" s="331">
        <v>31</v>
      </c>
      <c r="B103" s="185" t="s">
        <v>885</v>
      </c>
      <c r="C103" s="320" t="s">
        <v>1210</v>
      </c>
      <c r="D103" s="520">
        <v>0</v>
      </c>
      <c r="E103" s="520">
        <v>0</v>
      </c>
      <c r="F103" s="520">
        <v>0</v>
      </c>
      <c r="G103" s="520">
        <v>0</v>
      </c>
      <c r="H103" s="520">
        <v>0</v>
      </c>
      <c r="I103" s="520">
        <v>0</v>
      </c>
      <c r="J103" s="520">
        <v>0</v>
      </c>
      <c r="K103" s="520">
        <v>0</v>
      </c>
      <c r="L103" s="521">
        <v>0</v>
      </c>
      <c r="M103" s="521">
        <v>0</v>
      </c>
      <c r="N103" s="521">
        <v>0</v>
      </c>
      <c r="O103" s="521">
        <v>0</v>
      </c>
      <c r="P103" s="521">
        <v>0</v>
      </c>
      <c r="Q103" s="521">
        <v>0</v>
      </c>
      <c r="R103" s="521">
        <v>0</v>
      </c>
      <c r="S103" s="521">
        <v>0</v>
      </c>
      <c r="T103" s="521">
        <v>0</v>
      </c>
      <c r="U103" s="521">
        <v>0</v>
      </c>
      <c r="V103" s="521">
        <v>0</v>
      </c>
      <c r="W103" s="521">
        <v>0</v>
      </c>
      <c r="X103" s="332">
        <f t="shared" si="16"/>
        <v>0</v>
      </c>
    </row>
    <row r="104" spans="1:24" ht="11.25" x14ac:dyDescent="0.2">
      <c r="A104" s="331" t="s">
        <v>1213</v>
      </c>
      <c r="B104" s="185" t="s">
        <v>116</v>
      </c>
      <c r="C104" s="320" t="s">
        <v>1214</v>
      </c>
      <c r="D104" s="520">
        <v>0</v>
      </c>
      <c r="E104" s="520">
        <v>0</v>
      </c>
      <c r="F104" s="520">
        <v>0</v>
      </c>
      <c r="G104" s="520">
        <v>0</v>
      </c>
      <c r="H104" s="520">
        <v>0</v>
      </c>
      <c r="I104" s="520">
        <v>0</v>
      </c>
      <c r="J104" s="520">
        <v>0</v>
      </c>
      <c r="K104" s="520">
        <v>0</v>
      </c>
      <c r="L104" s="521">
        <v>0</v>
      </c>
      <c r="M104" s="521">
        <v>0</v>
      </c>
      <c r="N104" s="521">
        <v>0</v>
      </c>
      <c r="O104" s="521">
        <v>0</v>
      </c>
      <c r="P104" s="521">
        <v>0</v>
      </c>
      <c r="Q104" s="521">
        <v>0</v>
      </c>
      <c r="R104" s="521">
        <v>0</v>
      </c>
      <c r="S104" s="521">
        <v>0</v>
      </c>
      <c r="T104" s="521">
        <v>0</v>
      </c>
      <c r="U104" s="521">
        <v>0</v>
      </c>
      <c r="V104" s="521">
        <v>0</v>
      </c>
      <c r="W104" s="521">
        <v>0</v>
      </c>
      <c r="X104" s="332">
        <f t="shared" si="16"/>
        <v>0</v>
      </c>
    </row>
    <row r="105" spans="1:24" ht="11.25" x14ac:dyDescent="0.2">
      <c r="A105" s="331" t="s">
        <v>1215</v>
      </c>
      <c r="B105" s="185" t="s">
        <v>112</v>
      </c>
      <c r="C105" s="320" t="s">
        <v>1216</v>
      </c>
      <c r="D105" s="524">
        <v>0</v>
      </c>
      <c r="E105" s="524">
        <v>0</v>
      </c>
      <c r="F105" s="524">
        <v>0</v>
      </c>
      <c r="G105" s="524">
        <v>0</v>
      </c>
      <c r="H105" s="524">
        <v>0</v>
      </c>
      <c r="I105" s="524">
        <v>0</v>
      </c>
      <c r="J105" s="524">
        <v>0</v>
      </c>
      <c r="K105" s="524">
        <v>0</v>
      </c>
      <c r="L105" s="525">
        <v>0</v>
      </c>
      <c r="M105" s="525">
        <v>0</v>
      </c>
      <c r="N105" s="525">
        <v>0</v>
      </c>
      <c r="O105" s="525">
        <v>0</v>
      </c>
      <c r="P105" s="525">
        <v>0</v>
      </c>
      <c r="Q105" s="525">
        <v>0</v>
      </c>
      <c r="R105" s="525">
        <v>0</v>
      </c>
      <c r="S105" s="525">
        <v>0</v>
      </c>
      <c r="T105" s="525">
        <v>0</v>
      </c>
      <c r="U105" s="525">
        <v>0</v>
      </c>
      <c r="V105" s="525">
        <v>0</v>
      </c>
      <c r="W105" s="525">
        <v>0</v>
      </c>
      <c r="X105" s="332">
        <f t="shared" si="16"/>
        <v>0</v>
      </c>
    </row>
    <row r="106" spans="1:24" ht="11.25" x14ac:dyDescent="0.2">
      <c r="A106" s="331">
        <v>33</v>
      </c>
      <c r="C106" s="337" t="s">
        <v>1232</v>
      </c>
      <c r="D106" s="338">
        <f>SUM(D97:D105)</f>
        <v>0</v>
      </c>
      <c r="E106" s="338">
        <f t="shared" ref="E106:W106" si="17">SUM(E97:E105)</f>
        <v>0</v>
      </c>
      <c r="F106" s="338">
        <f t="shared" si="17"/>
        <v>0</v>
      </c>
      <c r="G106" s="338">
        <f t="shared" si="17"/>
        <v>0</v>
      </c>
      <c r="H106" s="338">
        <f t="shared" si="17"/>
        <v>0</v>
      </c>
      <c r="I106" s="338">
        <f t="shared" si="17"/>
        <v>0</v>
      </c>
      <c r="J106" s="338">
        <f t="shared" si="17"/>
        <v>0</v>
      </c>
      <c r="K106" s="338">
        <f t="shared" si="17"/>
        <v>0</v>
      </c>
      <c r="L106" s="338">
        <f t="shared" si="17"/>
        <v>0</v>
      </c>
      <c r="M106" s="338">
        <f t="shared" si="17"/>
        <v>0</v>
      </c>
      <c r="N106" s="338">
        <f t="shared" si="17"/>
        <v>0</v>
      </c>
      <c r="O106" s="338">
        <f t="shared" si="17"/>
        <v>0</v>
      </c>
      <c r="P106" s="338">
        <f t="shared" si="17"/>
        <v>0</v>
      </c>
      <c r="Q106" s="338">
        <f t="shared" si="17"/>
        <v>0</v>
      </c>
      <c r="R106" s="338">
        <f t="shared" si="17"/>
        <v>0</v>
      </c>
      <c r="S106" s="338">
        <f t="shared" si="17"/>
        <v>0</v>
      </c>
      <c r="T106" s="338">
        <f t="shared" si="17"/>
        <v>0</v>
      </c>
      <c r="U106" s="338">
        <f t="shared" si="17"/>
        <v>0</v>
      </c>
      <c r="V106" s="338">
        <f t="shared" si="17"/>
        <v>0</v>
      </c>
      <c r="W106" s="338">
        <f t="shared" si="17"/>
        <v>0</v>
      </c>
      <c r="X106" s="332">
        <f t="shared" si="16"/>
        <v>0</v>
      </c>
    </row>
    <row r="107" spans="1:24" ht="11.25" x14ac:dyDescent="0.2">
      <c r="A107" s="331"/>
      <c r="C107" s="320"/>
      <c r="D107" s="335"/>
      <c r="E107" s="335"/>
      <c r="F107" s="335"/>
      <c r="G107" s="335"/>
      <c r="H107" s="335"/>
      <c r="I107" s="335"/>
      <c r="J107" s="335"/>
      <c r="K107" s="335"/>
      <c r="L107" s="335"/>
      <c r="M107" s="335"/>
      <c r="N107" s="335"/>
      <c r="O107" s="335"/>
      <c r="P107" s="335"/>
      <c r="Q107" s="335"/>
      <c r="R107" s="335"/>
      <c r="S107" s="335"/>
      <c r="T107" s="335"/>
      <c r="U107" s="335"/>
      <c r="V107" s="335"/>
      <c r="W107" s="335"/>
      <c r="X107" s="335"/>
    </row>
    <row r="108" spans="1:24" ht="11.25" x14ac:dyDescent="0.2">
      <c r="A108" s="331">
        <v>34</v>
      </c>
      <c r="C108" s="320" t="s">
        <v>1217</v>
      </c>
      <c r="D108" s="526">
        <v>0</v>
      </c>
      <c r="E108" s="526">
        <v>0</v>
      </c>
      <c r="F108" s="526">
        <v>0</v>
      </c>
      <c r="G108" s="526">
        <v>0</v>
      </c>
      <c r="H108" s="526">
        <v>0</v>
      </c>
      <c r="I108" s="526">
        <v>0</v>
      </c>
      <c r="J108" s="526">
        <v>0</v>
      </c>
      <c r="K108" s="526">
        <v>0</v>
      </c>
      <c r="L108" s="526">
        <v>0</v>
      </c>
      <c r="M108" s="526">
        <v>0</v>
      </c>
      <c r="N108" s="526">
        <v>0</v>
      </c>
      <c r="O108" s="526">
        <v>0</v>
      </c>
      <c r="P108" s="526">
        <v>0</v>
      </c>
      <c r="Q108" s="526">
        <v>0</v>
      </c>
      <c r="R108" s="526">
        <v>0</v>
      </c>
      <c r="S108" s="526">
        <v>0</v>
      </c>
      <c r="T108" s="526">
        <v>0</v>
      </c>
      <c r="U108" s="526">
        <v>0</v>
      </c>
      <c r="V108" s="526">
        <v>0</v>
      </c>
      <c r="W108" s="526">
        <v>0</v>
      </c>
      <c r="X108" s="338">
        <f>SUM(D108:W108)</f>
        <v>0</v>
      </c>
    </row>
    <row r="109" spans="1:24" ht="11.25" x14ac:dyDescent="0.2">
      <c r="A109" s="331" t="s">
        <v>1218</v>
      </c>
      <c r="C109" s="337" t="s">
        <v>1233</v>
      </c>
      <c r="D109" s="346">
        <f>D22+D32+D42+D52+D62+D80+D90+D106+D108</f>
        <v>0</v>
      </c>
      <c r="E109" s="346">
        <f t="shared" ref="E109:W109" si="18">+E22+E80+E90+E106+E108+E32+E62+E42+E52</f>
        <v>0</v>
      </c>
      <c r="F109" s="346">
        <f t="shared" si="18"/>
        <v>0</v>
      </c>
      <c r="G109" s="346">
        <f t="shared" si="18"/>
        <v>0</v>
      </c>
      <c r="H109" s="346">
        <f t="shared" si="18"/>
        <v>0</v>
      </c>
      <c r="I109" s="346">
        <f t="shared" si="18"/>
        <v>0</v>
      </c>
      <c r="J109" s="346">
        <f t="shared" si="18"/>
        <v>0</v>
      </c>
      <c r="K109" s="346">
        <f t="shared" si="18"/>
        <v>0</v>
      </c>
      <c r="L109" s="346">
        <f t="shared" si="18"/>
        <v>0</v>
      </c>
      <c r="M109" s="346">
        <f t="shared" si="18"/>
        <v>0</v>
      </c>
      <c r="N109" s="346">
        <f t="shared" si="18"/>
        <v>0</v>
      </c>
      <c r="O109" s="346">
        <f t="shared" si="18"/>
        <v>0</v>
      </c>
      <c r="P109" s="346">
        <f t="shared" si="18"/>
        <v>0</v>
      </c>
      <c r="Q109" s="346">
        <f t="shared" si="18"/>
        <v>0</v>
      </c>
      <c r="R109" s="346">
        <f t="shared" si="18"/>
        <v>0</v>
      </c>
      <c r="S109" s="346">
        <f t="shared" si="18"/>
        <v>0</v>
      </c>
      <c r="T109" s="346">
        <f t="shared" si="18"/>
        <v>0</v>
      </c>
      <c r="U109" s="346">
        <f t="shared" si="18"/>
        <v>0</v>
      </c>
      <c r="V109" s="346">
        <f t="shared" si="18"/>
        <v>0</v>
      </c>
      <c r="W109" s="346">
        <f t="shared" si="18"/>
        <v>0</v>
      </c>
      <c r="X109" s="332">
        <f>SUM(D109:W109)</f>
        <v>0</v>
      </c>
    </row>
    <row r="110" spans="1:24" ht="11.25" x14ac:dyDescent="0.2">
      <c r="A110" s="331" t="s">
        <v>1219</v>
      </c>
      <c r="B110" s="185" t="s">
        <v>112</v>
      </c>
      <c r="C110" s="320" t="s">
        <v>1220</v>
      </c>
      <c r="D110" s="520">
        <v>0</v>
      </c>
      <c r="E110" s="520">
        <v>0</v>
      </c>
      <c r="F110" s="520">
        <v>0</v>
      </c>
      <c r="G110" s="520">
        <v>0</v>
      </c>
      <c r="H110" s="520">
        <v>0</v>
      </c>
      <c r="I110" s="520">
        <v>0</v>
      </c>
      <c r="J110" s="520">
        <v>0</v>
      </c>
      <c r="K110" s="520">
        <v>0</v>
      </c>
      <c r="L110" s="520">
        <v>0</v>
      </c>
      <c r="M110" s="520">
        <v>0</v>
      </c>
      <c r="N110" s="520">
        <v>0</v>
      </c>
      <c r="O110" s="520">
        <v>0</v>
      </c>
      <c r="P110" s="520">
        <v>0</v>
      </c>
      <c r="Q110" s="520">
        <v>0</v>
      </c>
      <c r="R110" s="520">
        <v>0</v>
      </c>
      <c r="S110" s="520">
        <v>0</v>
      </c>
      <c r="T110" s="520">
        <v>0</v>
      </c>
      <c r="U110" s="520">
        <v>0</v>
      </c>
      <c r="V110" s="520">
        <v>0</v>
      </c>
      <c r="W110" s="520">
        <v>0</v>
      </c>
      <c r="X110" s="332">
        <f>SUM(D110:W110)</f>
        <v>0</v>
      </c>
    </row>
    <row r="111" spans="1:24" ht="11.25" x14ac:dyDescent="0.2">
      <c r="A111" s="331" t="s">
        <v>1221</v>
      </c>
      <c r="B111" s="185" t="s">
        <v>116</v>
      </c>
      <c r="C111" s="320" t="s">
        <v>1223</v>
      </c>
      <c r="D111" s="520">
        <v>0</v>
      </c>
      <c r="E111" s="520">
        <v>0</v>
      </c>
      <c r="F111" s="520">
        <v>0</v>
      </c>
      <c r="G111" s="520">
        <v>0</v>
      </c>
      <c r="H111" s="520">
        <v>0</v>
      </c>
      <c r="I111" s="520">
        <v>0</v>
      </c>
      <c r="J111" s="520">
        <v>0</v>
      </c>
      <c r="K111" s="520">
        <v>0</v>
      </c>
      <c r="L111" s="520">
        <v>0</v>
      </c>
      <c r="M111" s="520">
        <v>0</v>
      </c>
      <c r="N111" s="520">
        <v>0</v>
      </c>
      <c r="O111" s="520">
        <v>0</v>
      </c>
      <c r="P111" s="520">
        <v>0</v>
      </c>
      <c r="Q111" s="520">
        <v>0</v>
      </c>
      <c r="R111" s="520">
        <v>0</v>
      </c>
      <c r="S111" s="520">
        <v>0</v>
      </c>
      <c r="T111" s="520">
        <v>0</v>
      </c>
      <c r="U111" s="520">
        <v>0</v>
      </c>
      <c r="V111" s="520">
        <v>0</v>
      </c>
      <c r="W111" s="520">
        <v>0</v>
      </c>
      <c r="X111" s="332">
        <f>SUM(D111:W111)</f>
        <v>0</v>
      </c>
    </row>
    <row r="112" spans="1:24" ht="11.25" x14ac:dyDescent="0.2">
      <c r="A112" s="331" t="s">
        <v>1224</v>
      </c>
      <c r="C112" s="337" t="s">
        <v>1225</v>
      </c>
      <c r="D112" s="345">
        <f>D109+D110+D111</f>
        <v>0</v>
      </c>
      <c r="E112" s="345">
        <f t="shared" ref="E112:W112" si="19">+E109+E110+E111</f>
        <v>0</v>
      </c>
      <c r="F112" s="345">
        <f t="shared" si="19"/>
        <v>0</v>
      </c>
      <c r="G112" s="345">
        <f t="shared" si="19"/>
        <v>0</v>
      </c>
      <c r="H112" s="345">
        <f t="shared" si="19"/>
        <v>0</v>
      </c>
      <c r="I112" s="345">
        <f t="shared" si="19"/>
        <v>0</v>
      </c>
      <c r="J112" s="345">
        <f t="shared" si="19"/>
        <v>0</v>
      </c>
      <c r="K112" s="345">
        <f t="shared" si="19"/>
        <v>0</v>
      </c>
      <c r="L112" s="345">
        <f t="shared" si="19"/>
        <v>0</v>
      </c>
      <c r="M112" s="345">
        <f t="shared" si="19"/>
        <v>0</v>
      </c>
      <c r="N112" s="345">
        <f t="shared" si="19"/>
        <v>0</v>
      </c>
      <c r="O112" s="345">
        <f t="shared" si="19"/>
        <v>0</v>
      </c>
      <c r="P112" s="345">
        <f t="shared" si="19"/>
        <v>0</v>
      </c>
      <c r="Q112" s="345">
        <f t="shared" si="19"/>
        <v>0</v>
      </c>
      <c r="R112" s="345">
        <f t="shared" si="19"/>
        <v>0</v>
      </c>
      <c r="S112" s="345">
        <f t="shared" si="19"/>
        <v>0</v>
      </c>
      <c r="T112" s="345">
        <f t="shared" si="19"/>
        <v>0</v>
      </c>
      <c r="U112" s="345">
        <f t="shared" si="19"/>
        <v>0</v>
      </c>
      <c r="V112" s="345">
        <f t="shared" si="19"/>
        <v>0</v>
      </c>
      <c r="W112" s="345">
        <f t="shared" si="19"/>
        <v>0</v>
      </c>
      <c r="X112" s="332">
        <f>SUM(D112:W112)</f>
        <v>0</v>
      </c>
    </row>
    <row r="113" spans="1:24" ht="11.25" x14ac:dyDescent="0.2">
      <c r="A113" s="331">
        <v>36</v>
      </c>
      <c r="C113" s="320" t="s">
        <v>878</v>
      </c>
      <c r="D113" s="527"/>
      <c r="E113" s="345"/>
      <c r="F113" s="347"/>
      <c r="G113" s="347"/>
      <c r="H113" s="347"/>
      <c r="I113" s="347"/>
      <c r="J113" s="347"/>
      <c r="K113" s="347"/>
      <c r="L113" s="347"/>
      <c r="M113" s="347"/>
      <c r="N113" s="347"/>
      <c r="O113" s="347"/>
      <c r="P113" s="347"/>
      <c r="Q113" s="347"/>
      <c r="R113" s="347"/>
      <c r="S113" s="347"/>
      <c r="T113" s="347"/>
      <c r="U113" s="347"/>
      <c r="V113" s="347"/>
      <c r="W113" s="347"/>
      <c r="X113" s="332"/>
    </row>
    <row r="114" spans="1:24" ht="11.25" x14ac:dyDescent="0.2">
      <c r="A114" s="331">
        <v>37</v>
      </c>
      <c r="B114" s="185"/>
      <c r="C114" s="337"/>
      <c r="D114" s="527"/>
      <c r="E114" s="345"/>
      <c r="F114" s="348"/>
      <c r="G114" s="348"/>
      <c r="H114" s="348"/>
      <c r="I114" s="348"/>
      <c r="J114" s="348"/>
      <c r="K114" s="348"/>
      <c r="L114" s="348"/>
      <c r="M114" s="348"/>
      <c r="N114" s="348"/>
      <c r="O114" s="348"/>
      <c r="P114" s="348"/>
      <c r="Q114" s="348"/>
      <c r="R114" s="348"/>
      <c r="S114" s="348"/>
      <c r="T114" s="348"/>
      <c r="U114" s="348"/>
      <c r="V114" s="348"/>
      <c r="W114" s="348"/>
      <c r="X114" s="332"/>
    </row>
    <row r="115" spans="1:24" ht="11.25" x14ac:dyDescent="0.2">
      <c r="A115" s="331" t="s">
        <v>1226</v>
      </c>
      <c r="B115" s="185" t="s">
        <v>114</v>
      </c>
      <c r="C115" s="337" t="s">
        <v>934</v>
      </c>
      <c r="D115" s="527">
        <v>0</v>
      </c>
      <c r="E115" s="527">
        <v>0</v>
      </c>
      <c r="F115" s="527">
        <v>0</v>
      </c>
      <c r="G115" s="527">
        <v>0</v>
      </c>
      <c r="H115" s="527">
        <v>0</v>
      </c>
      <c r="I115" s="527">
        <v>0</v>
      </c>
      <c r="J115" s="527">
        <v>0</v>
      </c>
      <c r="K115" s="527">
        <v>0</v>
      </c>
      <c r="L115" s="527">
        <v>0</v>
      </c>
      <c r="M115" s="527">
        <v>0</v>
      </c>
      <c r="N115" s="527">
        <v>0</v>
      </c>
      <c r="O115" s="527">
        <v>0</v>
      </c>
      <c r="P115" s="527">
        <v>0</v>
      </c>
      <c r="Q115" s="527">
        <v>0</v>
      </c>
      <c r="R115" s="527">
        <v>0</v>
      </c>
      <c r="S115" s="527">
        <v>0</v>
      </c>
      <c r="T115" s="527">
        <v>0</v>
      </c>
      <c r="U115" s="527">
        <v>0</v>
      </c>
      <c r="V115" s="527">
        <v>0</v>
      </c>
      <c r="W115" s="527">
        <v>0</v>
      </c>
      <c r="X115" s="332">
        <f>SUM(D115:W115)</f>
        <v>0</v>
      </c>
    </row>
    <row r="116" spans="1:24" ht="11.25" x14ac:dyDescent="0.2">
      <c r="A116" s="331" t="s">
        <v>1227</v>
      </c>
      <c r="B116" s="185" t="s">
        <v>116</v>
      </c>
      <c r="C116" s="320" t="s">
        <v>1228</v>
      </c>
      <c r="D116" s="524">
        <v>0</v>
      </c>
      <c r="E116" s="524">
        <v>0</v>
      </c>
      <c r="F116" s="524">
        <v>0</v>
      </c>
      <c r="G116" s="524">
        <v>0</v>
      </c>
      <c r="H116" s="524">
        <v>0</v>
      </c>
      <c r="I116" s="524">
        <v>0</v>
      </c>
      <c r="J116" s="524">
        <v>0</v>
      </c>
      <c r="K116" s="524">
        <v>0</v>
      </c>
      <c r="L116" s="524">
        <v>0</v>
      </c>
      <c r="M116" s="524">
        <v>0</v>
      </c>
      <c r="N116" s="524">
        <v>0</v>
      </c>
      <c r="O116" s="524">
        <v>0</v>
      </c>
      <c r="P116" s="524">
        <v>0</v>
      </c>
      <c r="Q116" s="524">
        <v>0</v>
      </c>
      <c r="R116" s="524">
        <v>0</v>
      </c>
      <c r="S116" s="524">
        <v>0</v>
      </c>
      <c r="T116" s="524">
        <v>0</v>
      </c>
      <c r="U116" s="524">
        <v>0</v>
      </c>
      <c r="V116" s="524">
        <v>0</v>
      </c>
      <c r="W116" s="524">
        <v>0</v>
      </c>
      <c r="X116" s="332">
        <f>SUM(D116:W116)</f>
        <v>0</v>
      </c>
    </row>
    <row r="117" spans="1:24" ht="18.75" customHeight="1" x14ac:dyDescent="0.2">
      <c r="A117" s="331">
        <v>39</v>
      </c>
      <c r="C117" s="637" t="s">
        <v>1234</v>
      </c>
      <c r="D117" s="338">
        <f>+D112+D115+D116</f>
        <v>0</v>
      </c>
      <c r="E117" s="338">
        <f t="shared" ref="E117:W117" si="20">+E112+E115+E116</f>
        <v>0</v>
      </c>
      <c r="F117" s="338">
        <f t="shared" si="20"/>
        <v>0</v>
      </c>
      <c r="G117" s="338">
        <f t="shared" si="20"/>
        <v>0</v>
      </c>
      <c r="H117" s="338">
        <f t="shared" si="20"/>
        <v>0</v>
      </c>
      <c r="I117" s="338">
        <f t="shared" si="20"/>
        <v>0</v>
      </c>
      <c r="J117" s="338">
        <f t="shared" si="20"/>
        <v>0</v>
      </c>
      <c r="K117" s="338">
        <f t="shared" si="20"/>
        <v>0</v>
      </c>
      <c r="L117" s="338">
        <f t="shared" si="20"/>
        <v>0</v>
      </c>
      <c r="M117" s="338">
        <f t="shared" si="20"/>
        <v>0</v>
      </c>
      <c r="N117" s="338">
        <f t="shared" si="20"/>
        <v>0</v>
      </c>
      <c r="O117" s="338">
        <f t="shared" si="20"/>
        <v>0</v>
      </c>
      <c r="P117" s="338">
        <f t="shared" si="20"/>
        <v>0</v>
      </c>
      <c r="Q117" s="338">
        <f t="shared" si="20"/>
        <v>0</v>
      </c>
      <c r="R117" s="338">
        <f t="shared" si="20"/>
        <v>0</v>
      </c>
      <c r="S117" s="338">
        <f t="shared" si="20"/>
        <v>0</v>
      </c>
      <c r="T117" s="338">
        <f t="shared" si="20"/>
        <v>0</v>
      </c>
      <c r="U117" s="338">
        <f t="shared" si="20"/>
        <v>0</v>
      </c>
      <c r="V117" s="338">
        <f t="shared" si="20"/>
        <v>0</v>
      </c>
      <c r="W117" s="338">
        <f t="shared" si="20"/>
        <v>0</v>
      </c>
      <c r="X117" s="332">
        <f>SUM(D117:W117)</f>
        <v>0</v>
      </c>
    </row>
    <row r="118" spans="1:24" x14ac:dyDescent="0.15">
      <c r="A118" s="349"/>
      <c r="C118" s="350"/>
      <c r="D118" s="351"/>
      <c r="E118" s="352"/>
      <c r="F118" s="352"/>
      <c r="G118" s="352"/>
      <c r="H118" s="352"/>
      <c r="I118" s="352"/>
      <c r="J118" s="352"/>
      <c r="K118" s="352"/>
      <c r="L118" s="352"/>
      <c r="M118" s="352"/>
      <c r="N118" s="352"/>
      <c r="O118" s="352"/>
      <c r="P118" s="352"/>
      <c r="Q118" s="352"/>
      <c r="R118" s="352"/>
      <c r="S118" s="352"/>
      <c r="T118" s="352"/>
      <c r="U118" s="352"/>
      <c r="V118" s="352"/>
      <c r="W118" s="352"/>
      <c r="X118" s="353"/>
    </row>
    <row r="119" spans="1:24" ht="11.25" x14ac:dyDescent="0.2">
      <c r="A119" s="331">
        <v>40</v>
      </c>
      <c r="C119" s="337" t="s">
        <v>1235</v>
      </c>
      <c r="D119" s="338">
        <f>+D12</f>
        <v>0</v>
      </c>
      <c r="E119" s="338">
        <f t="shared" ref="E119:W119" si="21">+E12</f>
        <v>0</v>
      </c>
      <c r="F119" s="338">
        <f t="shared" si="21"/>
        <v>0</v>
      </c>
      <c r="G119" s="338">
        <f t="shared" si="21"/>
        <v>0</v>
      </c>
      <c r="H119" s="338">
        <f t="shared" si="21"/>
        <v>0</v>
      </c>
      <c r="I119" s="338">
        <f t="shared" si="21"/>
        <v>0</v>
      </c>
      <c r="J119" s="338">
        <f t="shared" si="21"/>
        <v>0</v>
      </c>
      <c r="K119" s="338">
        <f t="shared" si="21"/>
        <v>0</v>
      </c>
      <c r="L119" s="338">
        <f t="shared" si="21"/>
        <v>0</v>
      </c>
      <c r="M119" s="338">
        <f t="shared" si="21"/>
        <v>0</v>
      </c>
      <c r="N119" s="338">
        <f t="shared" si="21"/>
        <v>0</v>
      </c>
      <c r="O119" s="338">
        <f t="shared" si="21"/>
        <v>0</v>
      </c>
      <c r="P119" s="338">
        <f t="shared" si="21"/>
        <v>0</v>
      </c>
      <c r="Q119" s="338">
        <f t="shared" si="21"/>
        <v>0</v>
      </c>
      <c r="R119" s="338">
        <f t="shared" si="21"/>
        <v>0</v>
      </c>
      <c r="S119" s="338">
        <f t="shared" si="21"/>
        <v>0</v>
      </c>
      <c r="T119" s="338">
        <f t="shared" si="21"/>
        <v>0</v>
      </c>
      <c r="U119" s="338">
        <f t="shared" si="21"/>
        <v>0</v>
      </c>
      <c r="V119" s="338">
        <f t="shared" si="21"/>
        <v>0</v>
      </c>
      <c r="W119" s="338">
        <f t="shared" si="21"/>
        <v>0</v>
      </c>
      <c r="X119" s="338">
        <f>SUM(D119:W119)</f>
        <v>0</v>
      </c>
    </row>
    <row r="120" spans="1:24" x14ac:dyDescent="0.15">
      <c r="A120" s="349"/>
      <c r="C120" s="350"/>
      <c r="D120" s="351" t="s">
        <v>1321</v>
      </c>
      <c r="E120" s="351" t="s">
        <v>1321</v>
      </c>
      <c r="F120" s="351" t="s">
        <v>1321</v>
      </c>
      <c r="G120" s="351" t="s">
        <v>1321</v>
      </c>
      <c r="H120" s="351" t="s">
        <v>1321</v>
      </c>
      <c r="I120" s="351" t="s">
        <v>1321</v>
      </c>
      <c r="J120" s="351" t="s">
        <v>1321</v>
      </c>
      <c r="K120" s="351" t="s">
        <v>1321</v>
      </c>
      <c r="L120" s="351" t="s">
        <v>1321</v>
      </c>
      <c r="M120" s="351" t="s">
        <v>1321</v>
      </c>
      <c r="N120" s="351"/>
      <c r="O120" s="351"/>
      <c r="P120" s="351"/>
      <c r="Q120" s="351"/>
      <c r="R120" s="351"/>
      <c r="S120" s="351"/>
      <c r="T120" s="351"/>
      <c r="U120" s="351"/>
      <c r="V120" s="351"/>
      <c r="W120" s="351"/>
      <c r="X120" s="351"/>
    </row>
    <row r="121" spans="1:24" ht="11.25" x14ac:dyDescent="0.2">
      <c r="A121" s="331">
        <v>41</v>
      </c>
      <c r="C121" s="337" t="s">
        <v>1236</v>
      </c>
      <c r="D121" s="354">
        <f>+D119-D117</f>
        <v>0</v>
      </c>
      <c r="E121" s="354">
        <f t="shared" ref="E121:W121" si="22">+E119-E117</f>
        <v>0</v>
      </c>
      <c r="F121" s="354">
        <f>+F119-F117</f>
        <v>0</v>
      </c>
      <c r="G121" s="354">
        <f t="shared" si="22"/>
        <v>0</v>
      </c>
      <c r="H121" s="354">
        <f t="shared" si="22"/>
        <v>0</v>
      </c>
      <c r="I121" s="354">
        <f t="shared" si="22"/>
        <v>0</v>
      </c>
      <c r="J121" s="354">
        <f t="shared" si="22"/>
        <v>0</v>
      </c>
      <c r="K121" s="354">
        <f t="shared" si="22"/>
        <v>0</v>
      </c>
      <c r="L121" s="354">
        <f t="shared" si="22"/>
        <v>0</v>
      </c>
      <c r="M121" s="354">
        <f t="shared" si="22"/>
        <v>0</v>
      </c>
      <c r="N121" s="354">
        <f t="shared" si="22"/>
        <v>0</v>
      </c>
      <c r="O121" s="354">
        <f t="shared" si="22"/>
        <v>0</v>
      </c>
      <c r="P121" s="354">
        <f t="shared" si="22"/>
        <v>0</v>
      </c>
      <c r="Q121" s="354">
        <f t="shared" si="22"/>
        <v>0</v>
      </c>
      <c r="R121" s="354">
        <f t="shared" si="22"/>
        <v>0</v>
      </c>
      <c r="S121" s="354">
        <f t="shared" si="22"/>
        <v>0</v>
      </c>
      <c r="T121" s="354">
        <f t="shared" si="22"/>
        <v>0</v>
      </c>
      <c r="U121" s="354">
        <f t="shared" si="22"/>
        <v>0</v>
      </c>
      <c r="V121" s="354">
        <f t="shared" si="22"/>
        <v>0</v>
      </c>
      <c r="W121" s="354">
        <f t="shared" si="22"/>
        <v>0</v>
      </c>
      <c r="X121" s="338">
        <f>SUM(D121:W121)</f>
        <v>0</v>
      </c>
    </row>
    <row r="122" spans="1:24" ht="11.25" x14ac:dyDescent="0.2">
      <c r="A122" s="355"/>
      <c r="C122" s="337"/>
      <c r="D122" s="356"/>
      <c r="E122" s="356"/>
      <c r="F122" s="356"/>
      <c r="G122" s="356"/>
      <c r="H122" s="356"/>
      <c r="I122" s="356"/>
      <c r="J122" s="356"/>
      <c r="K122" s="356"/>
      <c r="L122" s="357"/>
      <c r="M122" s="357"/>
      <c r="N122" s="357"/>
      <c r="O122" s="357"/>
      <c r="P122" s="357"/>
      <c r="Q122" s="357"/>
      <c r="R122" s="357"/>
      <c r="S122" s="357"/>
      <c r="T122" s="357"/>
      <c r="U122" s="357"/>
      <c r="V122" s="357"/>
      <c r="W122" s="357"/>
      <c r="X122" s="338"/>
    </row>
    <row r="123" spans="1:24" x14ac:dyDescent="0.15">
      <c r="A123" s="317"/>
      <c r="C123" s="317"/>
      <c r="D123" s="317"/>
      <c r="E123" s="317"/>
      <c r="F123" s="317"/>
      <c r="G123" s="317"/>
      <c r="H123" s="317"/>
      <c r="I123" s="317"/>
      <c r="J123" s="317"/>
      <c r="K123" s="317"/>
      <c r="L123" s="317"/>
      <c r="M123" s="317"/>
      <c r="N123" s="317"/>
      <c r="O123" s="317"/>
      <c r="P123" s="317"/>
      <c r="Q123" s="317"/>
      <c r="R123" s="317"/>
      <c r="S123" s="317"/>
      <c r="T123" s="317"/>
      <c r="U123" s="317"/>
      <c r="V123" s="317"/>
      <c r="W123" s="317"/>
      <c r="X123" s="317"/>
    </row>
  </sheetData>
  <sheetProtection password="CB03" sheet="1" objects="1" scenarios="1" formatColumns="0" formatRows="0"/>
  <phoneticPr fontId="0" type="noConversion"/>
  <dataValidations disablePrompts="1" count="1">
    <dataValidation type="whole" allowBlank="1" showInputMessage="1" showErrorMessage="1" errorTitle="Grant Code" error="Must be between 0000 and 9999" sqref="D3:W3">
      <formula1>0</formula1>
      <formula2>9999</formula2>
    </dataValidation>
  </dataValidations>
  <pageMargins left="0.75" right="0.75" top="1" bottom="1" header="0.5" footer="0.5"/>
  <pageSetup scale="32" fitToHeight="0" orientation="portrait" r:id="rId1"/>
  <headerFooter alignWithMargins="0">
    <oddFooter>&amp;LCDE, Public Scool Finance Unit&amp;C&amp;P&amp;R&amp;D</oddFooter>
  </headerFooter>
  <rowBreaks count="1" manualBreakCount="1">
    <brk id="62" max="23" man="1"/>
  </rowBreaks>
  <colBreaks count="1" manualBreakCount="1">
    <brk id="2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J198"/>
  <sheetViews>
    <sheetView workbookViewId="0">
      <selection activeCell="G10" sqref="G10"/>
    </sheetView>
  </sheetViews>
  <sheetFormatPr defaultRowHeight="10.5" x14ac:dyDescent="0.15"/>
  <cols>
    <col min="1" max="1" width="15.33203125" style="155" customWidth="1"/>
    <col min="2" max="2" width="5.83203125" style="155" customWidth="1"/>
    <col min="3" max="3" width="74.6640625" style="155" customWidth="1"/>
    <col min="4" max="4" width="5.33203125" style="155" customWidth="1"/>
    <col min="5" max="5" width="15.83203125" customWidth="1"/>
    <col min="6" max="6" width="17" style="155" customWidth="1"/>
    <col min="7" max="7" width="16.83203125" style="155" customWidth="1"/>
    <col min="8" max="8" width="16.33203125" style="155" customWidth="1"/>
    <col min="9" max="9" width="15.33203125" style="155" customWidth="1"/>
    <col min="10" max="10" width="17.6640625" style="155" customWidth="1"/>
    <col min="11" max="16384" width="9.33203125" style="155"/>
  </cols>
  <sheetData>
    <row r="1" spans="1:10" x14ac:dyDescent="0.15">
      <c r="A1" s="155" t="s">
        <v>1044</v>
      </c>
      <c r="C1" s="160">
        <v>0</v>
      </c>
      <c r="D1" s="160"/>
      <c r="E1" s="155" t="s">
        <v>889</v>
      </c>
      <c r="F1" s="161">
        <v>0</v>
      </c>
      <c r="G1" s="162"/>
      <c r="H1" s="37" t="s">
        <v>891</v>
      </c>
    </row>
    <row r="2" spans="1:10" x14ac:dyDescent="0.15">
      <c r="A2" s="15" t="s">
        <v>474</v>
      </c>
    </row>
    <row r="3" spans="1:10" ht="42" x14ac:dyDescent="0.15">
      <c r="E3" s="580" t="s">
        <v>1607</v>
      </c>
      <c r="F3" s="580" t="s">
        <v>1606</v>
      </c>
      <c r="G3" s="580" t="s">
        <v>1605</v>
      </c>
      <c r="H3" s="580" t="s">
        <v>1604</v>
      </c>
      <c r="I3" s="580" t="s">
        <v>1603</v>
      </c>
      <c r="J3" s="580" t="s">
        <v>1602</v>
      </c>
    </row>
    <row r="4" spans="1:10" ht="52.5" x14ac:dyDescent="0.15">
      <c r="E4" s="424"/>
      <c r="F4" s="424"/>
      <c r="G4" s="424"/>
      <c r="H4" s="424"/>
      <c r="I4" s="713" t="s">
        <v>1541</v>
      </c>
      <c r="J4" s="715" t="s">
        <v>1516</v>
      </c>
    </row>
    <row r="5" spans="1:10" ht="11.25" thickBot="1" x14ac:dyDescent="0.2">
      <c r="E5" s="163"/>
      <c r="F5" s="163"/>
      <c r="G5" s="163"/>
      <c r="H5" s="163"/>
      <c r="J5" s="164"/>
    </row>
    <row r="6" spans="1:10" ht="11.25" thickBot="1" x14ac:dyDescent="0.2">
      <c r="A6" s="34" t="s">
        <v>892</v>
      </c>
      <c r="E6" s="38">
        <v>0</v>
      </c>
      <c r="F6" s="38"/>
      <c r="G6" s="38">
        <v>0</v>
      </c>
      <c r="H6" s="38">
        <v>0</v>
      </c>
      <c r="I6" s="38">
        <v>0</v>
      </c>
      <c r="J6" s="168">
        <f>H6+I6</f>
        <v>0</v>
      </c>
    </row>
    <row r="7" spans="1:10" x14ac:dyDescent="0.15">
      <c r="A7" s="18"/>
      <c r="C7" s="205" t="s">
        <v>1133</v>
      </c>
      <c r="F7" s="156"/>
      <c r="G7" s="8"/>
      <c r="J7" s="164"/>
    </row>
    <row r="8" spans="1:10" x14ac:dyDescent="0.15">
      <c r="A8" s="34" t="s">
        <v>1140</v>
      </c>
      <c r="B8" s="156"/>
      <c r="C8" s="34" t="s">
        <v>590</v>
      </c>
      <c r="D8" s="34"/>
      <c r="F8" s="156"/>
      <c r="G8" s="8"/>
      <c r="J8" s="164"/>
    </row>
    <row r="9" spans="1:10" x14ac:dyDescent="0.15">
      <c r="C9" s="39" t="s">
        <v>1141</v>
      </c>
      <c r="D9" s="39"/>
      <c r="F9" s="174"/>
      <c r="G9" s="156"/>
      <c r="J9" s="164"/>
    </row>
    <row r="10" spans="1:10" x14ac:dyDescent="0.15">
      <c r="A10" s="369" t="e">
        <f>HLOOKUP(201,'Fund 22 Grants'!$D$2:$W$3,2,FALSE)</f>
        <v>#N/A</v>
      </c>
      <c r="B10" s="370"/>
      <c r="C10" s="371" t="e">
        <f>HLOOKUP(201,'Fund 22 Grants'!$D$2:$W$4,3,FALSE)</f>
        <v>#N/A</v>
      </c>
      <c r="D10" s="114"/>
      <c r="E10" s="40">
        <v>0</v>
      </c>
      <c r="F10" s="40"/>
      <c r="G10" s="40">
        <v>0</v>
      </c>
      <c r="H10" s="373">
        <f>IF(ISERROR(HLOOKUP(201,'Fund 22 Grants'!$D$2:$W$12,11,FALSE)),0,(HLOOKUP(201,'Fund 22 Grants'!$D$2:$W$12,11,FALSE)))</f>
        <v>0</v>
      </c>
      <c r="I10" s="40">
        <v>0</v>
      </c>
      <c r="J10" s="492">
        <f>H10+I10</f>
        <v>0</v>
      </c>
    </row>
    <row r="11" spans="1:10" x14ac:dyDescent="0.15">
      <c r="A11" s="369" t="e">
        <f>HLOOKUP(202,'Fund 22 Grants'!$D$2:$W$3,2,FALSE)</f>
        <v>#N/A</v>
      </c>
      <c r="B11" s="370"/>
      <c r="C11" s="371" t="e">
        <f>HLOOKUP(202,'Fund 22 Grants'!$D$2:$W$4,3,FALSE)</f>
        <v>#N/A</v>
      </c>
      <c r="D11" s="114"/>
      <c r="E11" s="40">
        <v>0</v>
      </c>
      <c r="F11" s="40"/>
      <c r="G11" s="40">
        <v>0</v>
      </c>
      <c r="H11" s="373">
        <f>IF(ISERROR(HLOOKUP(202,'Fund 22 Grants'!$D$2:$W$12,11,FALSE)),0,(HLOOKUP(202,'Fund 22 Grants'!$D$2:$W$12,11,FALSE)))</f>
        <v>0</v>
      </c>
      <c r="I11" s="40">
        <v>0</v>
      </c>
      <c r="J11" s="492">
        <f t="shared" ref="J11:J19" si="0">H11+I11</f>
        <v>0</v>
      </c>
    </row>
    <row r="12" spans="1:10" x14ac:dyDescent="0.15">
      <c r="A12" s="369" t="e">
        <f>HLOOKUP(203,'Fund 22 Grants'!$D$2:$W$3,2,FALSE)</f>
        <v>#N/A</v>
      </c>
      <c r="B12" s="370"/>
      <c r="C12" s="371" t="e">
        <f>HLOOKUP(203,'Fund 22 Grants'!$D$2:$W$4,3,FALSE)</f>
        <v>#N/A</v>
      </c>
      <c r="D12" s="114"/>
      <c r="E12" s="40">
        <v>0</v>
      </c>
      <c r="F12" s="40"/>
      <c r="G12" s="40">
        <v>0</v>
      </c>
      <c r="H12" s="373">
        <f>IF(ISERROR(HLOOKUP(203,'Fund 22 Grants'!$D$2:$W$12,11,FALSE)),0,(HLOOKUP(203,'Fund 22 Grants'!$D$2:$W$12,11,FALSE)))</f>
        <v>0</v>
      </c>
      <c r="I12" s="40">
        <v>0</v>
      </c>
      <c r="J12" s="492">
        <f t="shared" si="0"/>
        <v>0</v>
      </c>
    </row>
    <row r="13" spans="1:10" x14ac:dyDescent="0.15">
      <c r="A13" s="369" t="e">
        <f>HLOOKUP(204,'Fund 22 Grants'!$D$2:$W$3,2,FALSE)</f>
        <v>#N/A</v>
      </c>
      <c r="B13" s="370"/>
      <c r="C13" s="371" t="e">
        <f>HLOOKUP(204,'Fund 22 Grants'!$D$2:$W$4,3,FALSE)</f>
        <v>#N/A</v>
      </c>
      <c r="D13" s="114"/>
      <c r="E13" s="40">
        <v>0</v>
      </c>
      <c r="F13" s="40"/>
      <c r="G13" s="40">
        <v>0</v>
      </c>
      <c r="H13" s="373">
        <f>IF(ISERROR(HLOOKUP(204,'Fund 22 Grants'!$D$2:$W$12,11,FALSE)),0,(HLOOKUP(204,'Fund 22 Grants'!$D$2:$W$12,11,FALSE)))</f>
        <v>0</v>
      </c>
      <c r="I13" s="40">
        <v>0</v>
      </c>
      <c r="J13" s="492">
        <f t="shared" si="0"/>
        <v>0</v>
      </c>
    </row>
    <row r="14" spans="1:10" x14ac:dyDescent="0.15">
      <c r="A14" s="369" t="e">
        <f>HLOOKUP(205,'Fund 22 Grants'!$D$2:$W$3,2,FALSE)</f>
        <v>#N/A</v>
      </c>
      <c r="B14" s="370"/>
      <c r="C14" s="371" t="e">
        <f>HLOOKUP(205,'Fund 22 Grants'!$D$2:$W$4,3,FALSE)</f>
        <v>#N/A</v>
      </c>
      <c r="D14" s="114"/>
      <c r="E14" s="40">
        <v>0</v>
      </c>
      <c r="F14" s="40"/>
      <c r="G14" s="40">
        <v>0</v>
      </c>
      <c r="H14" s="373">
        <f>IF(ISERROR(HLOOKUP(205,'Fund 22 Grants'!$D$2:$W$12,11,FALSE)),0,(HLOOKUP(205,'Fund 22 Grants'!$D$2:$W$12,11,FALSE)))</f>
        <v>0</v>
      </c>
      <c r="I14" s="40">
        <v>0</v>
      </c>
      <c r="J14" s="492">
        <f t="shared" si="0"/>
        <v>0</v>
      </c>
    </row>
    <row r="15" spans="1:10" x14ac:dyDescent="0.15">
      <c r="A15" s="369" t="e">
        <f>HLOOKUP(206,'Fund 22 Grants'!$D$2:$W$3,2,FALSE)</f>
        <v>#N/A</v>
      </c>
      <c r="B15" s="370"/>
      <c r="C15" s="371" t="e">
        <f>HLOOKUP(206,'Fund 22 Grants'!$D$2:$W$4,3,FALSE)</f>
        <v>#N/A</v>
      </c>
      <c r="D15" s="114"/>
      <c r="E15" s="40">
        <v>0</v>
      </c>
      <c r="F15" s="40"/>
      <c r="G15" s="40">
        <v>0</v>
      </c>
      <c r="H15" s="373">
        <f>IF(ISERROR(HLOOKUP(206,'Fund 22 Grants'!$D$2:$W$12,11,FALSE)),0,(HLOOKUP(206,'Fund 22 Grants'!$D$2:$W$12,11,FALSE)))</f>
        <v>0</v>
      </c>
      <c r="I15" s="40">
        <v>0</v>
      </c>
      <c r="J15" s="492">
        <f t="shared" si="0"/>
        <v>0</v>
      </c>
    </row>
    <row r="16" spans="1:10" x14ac:dyDescent="0.15">
      <c r="A16" s="369" t="e">
        <f>HLOOKUP(207,'Fund 22 Grants'!$D$2:$W$3,2,FALSE)</f>
        <v>#N/A</v>
      </c>
      <c r="B16" s="370"/>
      <c r="C16" s="371" t="e">
        <f>HLOOKUP(207,'Fund 22 Grants'!$D$2:$W$4,3,FALSE)</f>
        <v>#N/A</v>
      </c>
      <c r="D16" s="114"/>
      <c r="E16" s="40">
        <v>0</v>
      </c>
      <c r="F16" s="40"/>
      <c r="G16" s="40">
        <v>0</v>
      </c>
      <c r="H16" s="373">
        <f>IF(ISERROR(HLOOKUP(207,'Fund 22 Grants'!$D$2:$W$12,11,FALSE)),0,(HLOOKUP(207,'Fund 22 Grants'!$D$2:$W$12,11,FALSE)))</f>
        <v>0</v>
      </c>
      <c r="I16" s="40">
        <v>0</v>
      </c>
      <c r="J16" s="492">
        <f t="shared" si="0"/>
        <v>0</v>
      </c>
    </row>
    <row r="17" spans="1:10" x14ac:dyDescent="0.15">
      <c r="A17" s="369" t="e">
        <f>HLOOKUP(208,'Fund 22 Grants'!$D$2:$W$3,2,FALSE)</f>
        <v>#N/A</v>
      </c>
      <c r="B17" s="370"/>
      <c r="C17" s="371" t="e">
        <f>HLOOKUP(208,'Fund 22 Grants'!$D$2:$W$4,3,FALSE)</f>
        <v>#N/A</v>
      </c>
      <c r="D17" s="114"/>
      <c r="E17" s="40">
        <v>0</v>
      </c>
      <c r="F17" s="40"/>
      <c r="G17" s="40">
        <v>0</v>
      </c>
      <c r="H17" s="373">
        <f>IF(ISERROR(HLOOKUP(208,'Fund 22 Grants'!$D$2:$W$12,11,FALSE)),0,(HLOOKUP(208,'Fund 22 Grants'!$D$2:$W$12,11,FALSE)))</f>
        <v>0</v>
      </c>
      <c r="I17" s="40">
        <v>0</v>
      </c>
      <c r="J17" s="492">
        <f t="shared" si="0"/>
        <v>0</v>
      </c>
    </row>
    <row r="18" spans="1:10" x14ac:dyDescent="0.15">
      <c r="A18" s="369" t="e">
        <f>HLOOKUP(209,'Fund 22 Grants'!$D$2:$W$3,2,FALSE)</f>
        <v>#N/A</v>
      </c>
      <c r="B18" s="370"/>
      <c r="C18" s="371" t="e">
        <f>HLOOKUP(209,'Fund 22 Grants'!$D$2:$W$4,3,FALSE)</f>
        <v>#N/A</v>
      </c>
      <c r="D18" s="114"/>
      <c r="E18" s="40">
        <v>0</v>
      </c>
      <c r="F18" s="40"/>
      <c r="G18" s="40">
        <v>0</v>
      </c>
      <c r="H18" s="373">
        <f>IF(ISERROR(HLOOKUP(209,'Fund 22 Grants'!$D$2:$W$12,11,FALSE)),0,(HLOOKUP(209,'Fund 22 Grants'!$D$2:$W$12,11,FALSE)))</f>
        <v>0</v>
      </c>
      <c r="I18" s="40">
        <v>0</v>
      </c>
      <c r="J18" s="492">
        <f t="shared" si="0"/>
        <v>0</v>
      </c>
    </row>
    <row r="19" spans="1:10" x14ac:dyDescent="0.15">
      <c r="A19" s="369" t="e">
        <f>HLOOKUP(210,'Fund 22 Grants'!$D$2:$W$3,2,FALSE)</f>
        <v>#N/A</v>
      </c>
      <c r="B19" s="370"/>
      <c r="C19" s="371" t="e">
        <f>HLOOKUP(210,'Fund 22 Grants'!$D$2:$W$4,3,FALSE)</f>
        <v>#N/A</v>
      </c>
      <c r="D19" s="191"/>
      <c r="E19" s="40">
        <v>0</v>
      </c>
      <c r="F19" s="40"/>
      <c r="G19" s="40">
        <v>0</v>
      </c>
      <c r="H19" s="373">
        <f>IF(ISERROR(HLOOKUP(210,'Fund 22 Grants'!$D$2:$W$12,11,FALSE)),0,(HLOOKUP(210,'Fund 22 Grants'!$D$2:$W$12,11,FALSE)))</f>
        <v>0</v>
      </c>
      <c r="I19" s="40">
        <v>0</v>
      </c>
      <c r="J19" s="492">
        <f t="shared" si="0"/>
        <v>0</v>
      </c>
    </row>
    <row r="20" spans="1:10" x14ac:dyDescent="0.15">
      <c r="A20" s="369" t="e">
        <f>HLOOKUP(211,'Fund 22 Grants'!$D$2:$W$3,2,FALSE)</f>
        <v>#N/A</v>
      </c>
      <c r="B20" s="370"/>
      <c r="C20" s="371" t="e">
        <f>HLOOKUP(211,'Fund 22 Grants'!$D$2:$W$4,3,FALSE)</f>
        <v>#N/A</v>
      </c>
      <c r="D20" s="114"/>
      <c r="E20" s="40">
        <v>0</v>
      </c>
      <c r="F20" s="40"/>
      <c r="G20" s="40">
        <v>0</v>
      </c>
      <c r="H20" s="373">
        <f>IF(ISERROR(HLOOKUP(211,'Fund 22 Grants'!$D$2:$W$12,11,FALSE)),0,(HLOOKUP(211,'Fund 22 Grants'!$D$2:$W$12,11,FALSE)))</f>
        <v>0</v>
      </c>
      <c r="I20" s="40">
        <v>0</v>
      </c>
      <c r="J20" s="492">
        <f>H20+I20</f>
        <v>0</v>
      </c>
    </row>
    <row r="21" spans="1:10" x14ac:dyDescent="0.15">
      <c r="A21" s="369" t="e">
        <f>HLOOKUP(212,'Fund 22 Grants'!$D$2:$W$3,2,FALSE)</f>
        <v>#N/A</v>
      </c>
      <c r="B21" s="370"/>
      <c r="C21" s="371" t="e">
        <f>HLOOKUP(212,'Fund 22 Grants'!$D$2:$W$4,3,FALSE)</f>
        <v>#N/A</v>
      </c>
      <c r="D21" s="191"/>
      <c r="E21" s="40">
        <v>0</v>
      </c>
      <c r="F21" s="40"/>
      <c r="G21" s="40">
        <v>0</v>
      </c>
      <c r="H21" s="373">
        <f>IF(ISERROR(HLOOKUP(212,'Fund 22 Grants'!$D$2:$W$12,11,FALSE)),0,(HLOOKUP(212,'Fund 22 Grants'!$D$2:$W$12,11,FALSE)))</f>
        <v>0</v>
      </c>
      <c r="I21" s="40">
        <v>0</v>
      </c>
      <c r="J21" s="492">
        <f>H21+I21</f>
        <v>0</v>
      </c>
    </row>
    <row r="22" spans="1:10" ht="11.25" thickBot="1" x14ac:dyDescent="0.2">
      <c r="A22" s="149"/>
      <c r="B22" s="164"/>
      <c r="E22" s="14"/>
      <c r="F22" s="14"/>
      <c r="G22" s="14"/>
      <c r="H22" s="14"/>
      <c r="J22" s="164"/>
    </row>
    <row r="23" spans="1:10" ht="12" thickTop="1" thickBot="1" x14ac:dyDescent="0.2">
      <c r="C23" s="114" t="s">
        <v>587</v>
      </c>
      <c r="D23" s="114"/>
      <c r="E23" s="166">
        <f t="shared" ref="E23:J23" si="1">SUM(E10:E21)</f>
        <v>0</v>
      </c>
      <c r="F23" s="166">
        <f t="shared" si="1"/>
        <v>0</v>
      </c>
      <c r="G23" s="166">
        <f>SUM(G10:G21)</f>
        <v>0</v>
      </c>
      <c r="H23" s="166">
        <f t="shared" si="1"/>
        <v>0</v>
      </c>
      <c r="I23" s="166">
        <f t="shared" si="1"/>
        <v>0</v>
      </c>
      <c r="J23" s="166">
        <f t="shared" si="1"/>
        <v>0</v>
      </c>
    </row>
    <row r="24" spans="1:10" ht="11.25" thickTop="1" x14ac:dyDescent="0.15">
      <c r="F24" s="156"/>
      <c r="G24" s="156"/>
      <c r="J24" s="164"/>
    </row>
    <row r="25" spans="1:10" x14ac:dyDescent="0.15">
      <c r="B25" s="39" t="s">
        <v>586</v>
      </c>
      <c r="F25" s="156"/>
      <c r="G25" s="156"/>
      <c r="J25" s="164"/>
    </row>
    <row r="26" spans="1:10" x14ac:dyDescent="0.15">
      <c r="A26" s="229" t="s">
        <v>1103</v>
      </c>
      <c r="B26" s="39"/>
      <c r="F26" s="156"/>
      <c r="G26" s="156"/>
      <c r="J26" s="164"/>
    </row>
    <row r="27" spans="1:10" x14ac:dyDescent="0.15">
      <c r="A27" s="34" t="s">
        <v>1140</v>
      </c>
      <c r="B27" s="156"/>
      <c r="C27" s="34" t="s">
        <v>589</v>
      </c>
      <c r="D27" s="34"/>
      <c r="F27" s="156"/>
      <c r="G27" s="156"/>
      <c r="J27" s="164"/>
    </row>
    <row r="28" spans="1:10" x14ac:dyDescent="0.15">
      <c r="A28" s="364"/>
      <c r="B28" s="164"/>
      <c r="C28" s="39" t="s">
        <v>44</v>
      </c>
      <c r="D28" s="191"/>
      <c r="F28" s="156"/>
      <c r="G28" s="156"/>
      <c r="J28" s="164"/>
    </row>
    <row r="29" spans="1:10" x14ac:dyDescent="0.15">
      <c r="A29" s="369" t="e">
        <f>HLOOKUP(301,'Fund 22 Grants'!$D$2:$W$3,2,FALSE)</f>
        <v>#N/A</v>
      </c>
      <c r="B29" s="370"/>
      <c r="C29" s="371" t="e">
        <f>HLOOKUP(301,'Fund 22 Grants'!$D$2:$W$4,3,FALSE)</f>
        <v>#N/A</v>
      </c>
      <c r="D29" s="191"/>
      <c r="E29" s="40">
        <v>0</v>
      </c>
      <c r="F29" s="40"/>
      <c r="G29" s="40">
        <v>0</v>
      </c>
      <c r="H29" s="373">
        <f>IF(ISERROR(HLOOKUP(301,'Fund 22 Grants'!$D$2:$W$12,11,FALSE)),0,(HLOOKUP(301,'Fund 22 Grants'!$D$2:$W$12,11,FALSE)))</f>
        <v>0</v>
      </c>
      <c r="I29" s="40">
        <v>0</v>
      </c>
      <c r="J29" s="492">
        <f t="shared" ref="J29:J47" si="2">H29+I29</f>
        <v>0</v>
      </c>
    </row>
    <row r="30" spans="1:10" x14ac:dyDescent="0.15">
      <c r="A30" s="369" t="e">
        <f>HLOOKUP(302,'Fund 22 Grants'!$D$2:$W$3,2,FALSE)</f>
        <v>#N/A</v>
      </c>
      <c r="B30" s="370"/>
      <c r="C30" s="371" t="e">
        <f>HLOOKUP(302,'Fund 22 Grants'!$D$2:$W$4,3,FALSE)</f>
        <v>#N/A</v>
      </c>
      <c r="D30" s="191"/>
      <c r="E30" s="40">
        <v>0</v>
      </c>
      <c r="F30" s="40"/>
      <c r="G30" s="40">
        <v>0</v>
      </c>
      <c r="H30" s="373">
        <f>IF(ISERROR(HLOOKUP(302,'Fund 22 Grants'!$D$2:$W$12,11,FALSE)),0,(HLOOKUP(302,'Fund 22 Grants'!$D$2:$W$12,11,FALSE)))</f>
        <v>0</v>
      </c>
      <c r="I30" s="40">
        <v>0</v>
      </c>
      <c r="J30" s="492">
        <f t="shared" si="2"/>
        <v>0</v>
      </c>
    </row>
    <row r="31" spans="1:10" x14ac:dyDescent="0.15">
      <c r="A31" s="369" t="e">
        <f>HLOOKUP(303,'Fund 22 Grants'!$D$2:$W$3,2,FALSE)</f>
        <v>#N/A</v>
      </c>
      <c r="B31" s="370"/>
      <c r="C31" s="371" t="e">
        <f>HLOOKUP(303,'Fund 22 Grants'!$D$2:$W$4,3,FALSE)</f>
        <v>#N/A</v>
      </c>
      <c r="D31" s="191"/>
      <c r="E31" s="40">
        <v>0</v>
      </c>
      <c r="F31" s="40"/>
      <c r="G31" s="40">
        <v>0</v>
      </c>
      <c r="H31" s="373">
        <f>IF(ISERROR(HLOOKUP(303,'Fund 22 Grants'!$D$2:$W$12,11,FALSE)),0,(HLOOKUP(303,'Fund 22 Grants'!$D$2:$W$12,11,FALSE)))</f>
        <v>0</v>
      </c>
      <c r="I31" s="40">
        <v>0</v>
      </c>
      <c r="J31" s="492">
        <f t="shared" si="2"/>
        <v>0</v>
      </c>
    </row>
    <row r="32" spans="1:10" x14ac:dyDescent="0.15">
      <c r="A32" s="369" t="e">
        <f>HLOOKUP(304,'Fund 22 Grants'!$D$2:$W$3,2,FALSE)</f>
        <v>#N/A</v>
      </c>
      <c r="B32" s="370"/>
      <c r="C32" s="371" t="e">
        <f>HLOOKUP(304,'Fund 22 Grants'!$D$2:$W$4,3,FALSE)</f>
        <v>#N/A</v>
      </c>
      <c r="D32" s="191"/>
      <c r="E32" s="40">
        <v>0</v>
      </c>
      <c r="F32" s="40"/>
      <c r="G32" s="40">
        <v>0</v>
      </c>
      <c r="H32" s="373">
        <f>IF(ISERROR(HLOOKUP(304,'Fund 22 Grants'!$D$2:$W$12,11,FALSE)),0,(HLOOKUP(304,'Fund 22 Grants'!$D$2:$W$12,11,FALSE)))</f>
        <v>0</v>
      </c>
      <c r="I32" s="40">
        <v>0</v>
      </c>
      <c r="J32" s="492">
        <f t="shared" si="2"/>
        <v>0</v>
      </c>
    </row>
    <row r="33" spans="1:10" x14ac:dyDescent="0.15">
      <c r="A33" s="369" t="e">
        <f>HLOOKUP(305,'Fund 22 Grants'!$D$2:$W$3,2,FALSE)</f>
        <v>#N/A</v>
      </c>
      <c r="B33" s="370"/>
      <c r="C33" s="371" t="e">
        <f>HLOOKUP(305,'Fund 22 Grants'!$D$2:$W$4,3,FALSE)</f>
        <v>#N/A</v>
      </c>
      <c r="D33" s="191"/>
      <c r="E33" s="40">
        <v>0</v>
      </c>
      <c r="F33" s="40"/>
      <c r="G33" s="40">
        <v>0</v>
      </c>
      <c r="H33" s="373">
        <f>IF(ISERROR(HLOOKUP(305,'Fund 22 Grants'!$D$2:$W$12,11,FALSE)),0,(HLOOKUP(305,'Fund 22 Grants'!$D$2:$W$12,11,FALSE)))</f>
        <v>0</v>
      </c>
      <c r="I33" s="40">
        <v>0</v>
      </c>
      <c r="J33" s="492">
        <f t="shared" si="2"/>
        <v>0</v>
      </c>
    </row>
    <row r="34" spans="1:10" x14ac:dyDescent="0.15">
      <c r="A34" s="369" t="e">
        <f>HLOOKUP(306,'Fund 22 Grants'!$D$2:$W$3,2,FALSE)</f>
        <v>#N/A</v>
      </c>
      <c r="B34" s="370"/>
      <c r="C34" s="371" t="e">
        <f>HLOOKUP(306,'Fund 22 Grants'!$D$2:$W$4,3,FALSE)</f>
        <v>#N/A</v>
      </c>
      <c r="D34" s="191"/>
      <c r="E34" s="40">
        <v>0</v>
      </c>
      <c r="F34" s="40"/>
      <c r="G34" s="40">
        <v>0</v>
      </c>
      <c r="H34" s="373">
        <f>IF(ISERROR(HLOOKUP(306,'Fund 22 Grants'!$D$2:$W$12,11,FALSE)),0,(HLOOKUP(306,'Fund 22 Grants'!$D$2:$W$12,11,FALSE)))</f>
        <v>0</v>
      </c>
      <c r="I34" s="40">
        <v>0</v>
      </c>
      <c r="J34" s="492">
        <f t="shared" si="2"/>
        <v>0</v>
      </c>
    </row>
    <row r="35" spans="1:10" x14ac:dyDescent="0.15">
      <c r="A35" s="369" t="e">
        <f>HLOOKUP(307,'Fund 22 Grants'!$D$2:$W$3,2,FALSE)</f>
        <v>#N/A</v>
      </c>
      <c r="B35" s="370"/>
      <c r="C35" s="371" t="e">
        <f>HLOOKUP(307,'Fund 22 Grants'!$D$2:$W$4,3,FALSE)</f>
        <v>#N/A</v>
      </c>
      <c r="D35" s="191"/>
      <c r="E35" s="40">
        <v>0</v>
      </c>
      <c r="F35" s="40"/>
      <c r="G35" s="40">
        <v>0</v>
      </c>
      <c r="H35" s="373">
        <f>IF(ISERROR(HLOOKUP(307,'Fund 22 Grants'!$D$2:$W$12,11,FALSE)),0,(HLOOKUP(307,'Fund 22 Grants'!$D$2:$W$12,11,FALSE)))</f>
        <v>0</v>
      </c>
      <c r="I35" s="40">
        <v>0</v>
      </c>
      <c r="J35" s="492">
        <f t="shared" si="2"/>
        <v>0</v>
      </c>
    </row>
    <row r="36" spans="1:10" x14ac:dyDescent="0.15">
      <c r="A36" s="369" t="e">
        <f>HLOOKUP(308,'Fund 22 Grants'!$D$2:$W$3,2,FALSE)</f>
        <v>#N/A</v>
      </c>
      <c r="B36" s="370"/>
      <c r="C36" s="371" t="e">
        <f>HLOOKUP(308,'Fund 22 Grants'!$D$2:$W$4,3,FALSE)</f>
        <v>#N/A</v>
      </c>
      <c r="D36" s="191"/>
      <c r="E36" s="40">
        <v>0</v>
      </c>
      <c r="F36" s="40"/>
      <c r="G36" s="40">
        <v>0</v>
      </c>
      <c r="H36" s="373">
        <f>IF(ISERROR(HLOOKUP(308,'Fund 22 Grants'!$D$2:$W$12,11,FALSE)),0,(HLOOKUP(308,'Fund 22 Grants'!$D$2:$W$12,11,FALSE)))</f>
        <v>0</v>
      </c>
      <c r="I36" s="40">
        <v>0</v>
      </c>
      <c r="J36" s="492">
        <f t="shared" si="2"/>
        <v>0</v>
      </c>
    </row>
    <row r="37" spans="1:10" x14ac:dyDescent="0.15">
      <c r="A37" s="369" t="e">
        <f>HLOOKUP(309,'Fund 22 Grants'!$D$2:$W$3,2,FALSE)</f>
        <v>#N/A</v>
      </c>
      <c r="B37" s="370"/>
      <c r="C37" s="371" t="e">
        <f>HLOOKUP(309,'Fund 22 Grants'!$D$2:$W$4,3,FALSE)</f>
        <v>#N/A</v>
      </c>
      <c r="D37" s="191"/>
      <c r="E37" s="40">
        <v>0</v>
      </c>
      <c r="F37" s="40"/>
      <c r="G37" s="40">
        <v>0</v>
      </c>
      <c r="H37" s="373">
        <f>IF(ISERROR(HLOOKUP(309,'Fund 22 Grants'!$D$2:$W$12,11,FALSE)),0,(HLOOKUP(309,'Fund 22 Grants'!$D$2:$W$12,11,FALSE)))</f>
        <v>0</v>
      </c>
      <c r="I37" s="40">
        <v>0</v>
      </c>
      <c r="J37" s="492">
        <f t="shared" si="2"/>
        <v>0</v>
      </c>
    </row>
    <row r="38" spans="1:10" x14ac:dyDescent="0.15">
      <c r="A38" s="369" t="e">
        <f>HLOOKUP(310,'Fund 22 Grants'!$D$2:$W$3,2,FALSE)</f>
        <v>#N/A</v>
      </c>
      <c r="B38" s="370"/>
      <c r="C38" s="371" t="e">
        <f>HLOOKUP(310,'Fund 22 Grants'!$D$2:$W$4,3,FALSE)</f>
        <v>#N/A</v>
      </c>
      <c r="D38" s="191"/>
      <c r="E38" s="40">
        <v>0</v>
      </c>
      <c r="F38" s="40"/>
      <c r="G38" s="40">
        <v>0</v>
      </c>
      <c r="H38" s="373">
        <f>IF(ISERROR(HLOOKUP(310,'Fund 22 Grants'!$D$2:$W$12,11,FALSE)),0,(HLOOKUP(310,'Fund 22 Grants'!$D$2:$W$12,11,FALSE)))</f>
        <v>0</v>
      </c>
      <c r="I38" s="40">
        <v>0</v>
      </c>
      <c r="J38" s="492">
        <f t="shared" si="2"/>
        <v>0</v>
      </c>
    </row>
    <row r="39" spans="1:10" x14ac:dyDescent="0.15">
      <c r="A39" s="369" t="e">
        <f>HLOOKUP(311,'Fund 22 Grants'!$D$2:$W$3,2,FALSE)</f>
        <v>#N/A</v>
      </c>
      <c r="B39" s="370"/>
      <c r="C39" s="371" t="e">
        <f>HLOOKUP(311,'Fund 22 Grants'!$D$2:$W$4,3,FALSE)</f>
        <v>#N/A</v>
      </c>
      <c r="D39" s="191"/>
      <c r="E39" s="40">
        <v>0</v>
      </c>
      <c r="F39" s="40"/>
      <c r="G39" s="40">
        <v>0</v>
      </c>
      <c r="H39" s="373">
        <f>IF(ISERROR(HLOOKUP(311,'Fund 22 Grants'!$D$2:$W$12,11,FALSE)),0,(HLOOKUP(311,'Fund 22 Grants'!$D$2:$W$12,11,FALSE)))</f>
        <v>0</v>
      </c>
      <c r="I39" s="40">
        <v>0</v>
      </c>
      <c r="J39" s="492">
        <f t="shared" si="2"/>
        <v>0</v>
      </c>
    </row>
    <row r="40" spans="1:10" x14ac:dyDescent="0.15">
      <c r="A40" s="369" t="e">
        <f>HLOOKUP(312,'Fund 22 Grants'!$D$2:$W$3,2,FALSE)</f>
        <v>#N/A</v>
      </c>
      <c r="B40" s="370"/>
      <c r="C40" s="371" t="e">
        <f>HLOOKUP(312,'Fund 22 Grants'!$D$2:$W$4,3,FALSE)</f>
        <v>#N/A</v>
      </c>
      <c r="D40" s="191"/>
      <c r="E40" s="40">
        <v>0</v>
      </c>
      <c r="F40" s="40"/>
      <c r="G40" s="40">
        <v>0</v>
      </c>
      <c r="H40" s="373">
        <f>IF(ISERROR(HLOOKUP(312,'Fund 22 Grants'!$D$2:$W$12,11,FALSE)),0,(HLOOKUP(312,'Fund 22 Grants'!$D$2:$W$12,11,FALSE)))</f>
        <v>0</v>
      </c>
      <c r="I40" s="40">
        <v>0</v>
      </c>
      <c r="J40" s="492">
        <f t="shared" si="2"/>
        <v>0</v>
      </c>
    </row>
    <row r="41" spans="1:10" x14ac:dyDescent="0.15">
      <c r="A41" s="369" t="e">
        <f>HLOOKUP(313,'Fund 22 Grants'!$D$2:$W$3,2,FALSE)</f>
        <v>#N/A</v>
      </c>
      <c r="B41" s="370"/>
      <c r="C41" s="371" t="e">
        <f>HLOOKUP(313,'Fund 22 Grants'!$D$2:$W$4,3,FALSE)</f>
        <v>#N/A</v>
      </c>
      <c r="D41" s="191"/>
      <c r="E41" s="40">
        <v>0</v>
      </c>
      <c r="F41" s="40"/>
      <c r="G41" s="40">
        <v>0</v>
      </c>
      <c r="H41" s="373">
        <f>IF(ISERROR(HLOOKUP(313,'Fund 22 Grants'!$D$2:$W$12,11,FALSE)),0,(HLOOKUP(313,'Fund 22 Grants'!$D$2:$W$12,11,FALSE)))</f>
        <v>0</v>
      </c>
      <c r="I41" s="40">
        <v>0</v>
      </c>
      <c r="J41" s="492">
        <f t="shared" si="2"/>
        <v>0</v>
      </c>
    </row>
    <row r="42" spans="1:10" x14ac:dyDescent="0.15">
      <c r="A42" s="369" t="e">
        <f>HLOOKUP(314,'Fund 22 Grants'!$D$2:$W$3,2,FALSE)</f>
        <v>#N/A</v>
      </c>
      <c r="B42" s="370"/>
      <c r="C42" s="371" t="e">
        <f>HLOOKUP(314,'Fund 22 Grants'!$D$2:$W$4,3,FALSE)</f>
        <v>#N/A</v>
      </c>
      <c r="D42" s="191"/>
      <c r="E42" s="40">
        <v>0</v>
      </c>
      <c r="F42" s="40"/>
      <c r="G42" s="40">
        <v>0</v>
      </c>
      <c r="H42" s="373">
        <f>IF(ISERROR(HLOOKUP(314,'Fund 22 Grants'!$D$2:$W$12,11,FALSE)),0,(HLOOKUP(314,'Fund 22 Grants'!$D$2:$W$12,11,FALSE)))</f>
        <v>0</v>
      </c>
      <c r="I42" s="40">
        <v>0</v>
      </c>
      <c r="J42" s="492">
        <f t="shared" si="2"/>
        <v>0</v>
      </c>
    </row>
    <row r="43" spans="1:10" x14ac:dyDescent="0.15">
      <c r="A43" s="369" t="e">
        <f>HLOOKUP(315,'Fund 22 Grants'!$D$2:$W$3,2,FALSE)</f>
        <v>#N/A</v>
      </c>
      <c r="B43" s="370"/>
      <c r="C43" s="371" t="e">
        <f>HLOOKUP(315,'Fund 22 Grants'!$D$2:$W$4,3,FALSE)</f>
        <v>#N/A</v>
      </c>
      <c r="D43" s="191"/>
      <c r="E43" s="40">
        <v>0</v>
      </c>
      <c r="F43" s="40"/>
      <c r="G43" s="40">
        <v>0</v>
      </c>
      <c r="H43" s="373">
        <f>IF(ISERROR(HLOOKUP(315,'Fund 22 Grants'!$D$2:$W$12,11,FALSE)),0,(HLOOKUP(315,'Fund 22 Grants'!$D$2:$W$12,11,FALSE)))</f>
        <v>0</v>
      </c>
      <c r="I43" s="40">
        <v>0</v>
      </c>
      <c r="J43" s="492">
        <f t="shared" si="2"/>
        <v>0</v>
      </c>
    </row>
    <row r="44" spans="1:10" x14ac:dyDescent="0.15">
      <c r="A44" s="369" t="e">
        <f>HLOOKUP(316,'Fund 22 Grants'!$D$2:$W$3,2,FALSE)</f>
        <v>#N/A</v>
      </c>
      <c r="B44" s="370"/>
      <c r="C44" s="371" t="e">
        <f>HLOOKUP(316,'Fund 22 Grants'!$D$2:$W$4,3,FALSE)</f>
        <v>#N/A</v>
      </c>
      <c r="D44" s="191"/>
      <c r="E44" s="40">
        <v>0</v>
      </c>
      <c r="F44" s="40"/>
      <c r="G44" s="40">
        <v>0</v>
      </c>
      <c r="H44" s="373">
        <f>IF(ISERROR(HLOOKUP(316,'Fund 22 Grants'!$D$2:$W$12,11,FALSE)),0,(HLOOKUP(316,'Fund 22 Grants'!$D$2:$W$12,11,FALSE)))</f>
        <v>0</v>
      </c>
      <c r="I44" s="40">
        <v>0</v>
      </c>
      <c r="J44" s="492">
        <f t="shared" si="2"/>
        <v>0</v>
      </c>
    </row>
    <row r="45" spans="1:10" x14ac:dyDescent="0.15">
      <c r="A45" s="369" t="e">
        <f>HLOOKUP(317,'Fund 22 Grants'!$D$2:$W$3,2,FALSE)</f>
        <v>#N/A</v>
      </c>
      <c r="B45" s="370"/>
      <c r="C45" s="371" t="e">
        <f>HLOOKUP(317,'Fund 22 Grants'!$D$2:$W$4,3,FALSE)</f>
        <v>#N/A</v>
      </c>
      <c r="D45" s="191"/>
      <c r="E45" s="40">
        <v>0</v>
      </c>
      <c r="F45" s="40"/>
      <c r="G45" s="40">
        <v>0</v>
      </c>
      <c r="H45" s="373">
        <f>IF(ISERROR(HLOOKUP(317,'Fund 22 Grants'!$D$2:$W$12,11,FALSE)),0,(HLOOKUP(317,'Fund 22 Grants'!$D$2:$W$12,11,FALSE)))</f>
        <v>0</v>
      </c>
      <c r="I45" s="40">
        <v>0</v>
      </c>
      <c r="J45" s="492">
        <f t="shared" si="2"/>
        <v>0</v>
      </c>
    </row>
    <row r="46" spans="1:10" x14ac:dyDescent="0.15">
      <c r="A46" s="369" t="e">
        <f>HLOOKUP(318,'Fund 22 Grants'!$D$2:$W$3,2,FALSE)</f>
        <v>#N/A</v>
      </c>
      <c r="B46" s="370"/>
      <c r="C46" s="371" t="e">
        <f>HLOOKUP(318,'Fund 22 Grants'!$D$2:$W$4,3,FALSE)</f>
        <v>#N/A</v>
      </c>
      <c r="D46" s="191"/>
      <c r="E46" s="40">
        <v>0</v>
      </c>
      <c r="F46" s="40"/>
      <c r="G46" s="40">
        <v>0</v>
      </c>
      <c r="H46" s="373">
        <f>IF(ISERROR(HLOOKUP(318,'Fund 22 Grants'!$D$2:$W$12,11,FALSE)),0,(HLOOKUP(318,'Fund 22 Grants'!$D$2:$W$12,11,FALSE)))</f>
        <v>0</v>
      </c>
      <c r="I46" s="40">
        <v>0</v>
      </c>
      <c r="J46" s="492">
        <f t="shared" si="2"/>
        <v>0</v>
      </c>
    </row>
    <row r="47" spans="1:10" x14ac:dyDescent="0.15">
      <c r="A47" s="369" t="e">
        <f>HLOOKUP(319,'Fund 22 Grants'!$D$2:$W$3,2,FALSE)</f>
        <v>#N/A</v>
      </c>
      <c r="B47" s="370"/>
      <c r="C47" s="371" t="e">
        <f>HLOOKUP(319,'Fund 22 Grants'!$D$2:$W$4,3,FALSE)</f>
        <v>#N/A</v>
      </c>
      <c r="D47" s="191"/>
      <c r="E47" s="40">
        <v>0</v>
      </c>
      <c r="F47" s="40"/>
      <c r="G47" s="40">
        <v>0</v>
      </c>
      <c r="H47" s="373">
        <f>IF(ISERROR(HLOOKUP(319,'Fund 22 Grants'!$D$2:$W$12,11,FALSE)),0,(HLOOKUP(319,'Fund 22 Grants'!$D$2:$W$12,11,FALSE)))</f>
        <v>0</v>
      </c>
      <c r="I47" s="40">
        <v>0</v>
      </c>
      <c r="J47" s="492">
        <f t="shared" si="2"/>
        <v>0</v>
      </c>
    </row>
    <row r="48" spans="1:10" x14ac:dyDescent="0.15">
      <c r="A48" s="369" t="e">
        <f>HLOOKUP(320,'Fund 22 Grants'!$D$2:$W$3,2,FALSE)</f>
        <v>#N/A</v>
      </c>
      <c r="B48" s="370"/>
      <c r="C48" s="371" t="e">
        <f>HLOOKUP(320,'Fund 22 Grants'!$D$2:$W$4,3,FALSE)</f>
        <v>#N/A</v>
      </c>
      <c r="D48" s="114"/>
      <c r="E48" s="40">
        <v>0</v>
      </c>
      <c r="F48" s="40"/>
      <c r="G48" s="40">
        <v>0</v>
      </c>
      <c r="H48" s="373">
        <f>IF(ISERROR(HLOOKUP(320,'Fund 22 Grants'!$D$2:$W$12,11,FALSE)),0,(HLOOKUP(320,'Fund 22 Grants'!$D$2:$W$12,11,FALSE)))</f>
        <v>0</v>
      </c>
      <c r="I48" s="40">
        <v>0</v>
      </c>
      <c r="J48" s="492">
        <f>H48+I48</f>
        <v>0</v>
      </c>
    </row>
    <row r="49" spans="1:10" ht="11.25" thickBot="1" x14ac:dyDescent="0.2">
      <c r="A49" s="374"/>
      <c r="B49" s="375"/>
      <c r="C49" s="169"/>
      <c r="D49" s="114"/>
      <c r="E49" s="14"/>
      <c r="F49" s="14"/>
      <c r="G49" s="14"/>
      <c r="H49" s="14"/>
      <c r="J49" s="164"/>
    </row>
    <row r="50" spans="1:10" ht="12" thickTop="1" thickBot="1" x14ac:dyDescent="0.2">
      <c r="C50" s="114" t="s">
        <v>588</v>
      </c>
      <c r="E50" s="166">
        <f t="shared" ref="E50:J50" si="3">SUM(E29:E49)</f>
        <v>0</v>
      </c>
      <c r="F50" s="166">
        <f t="shared" si="3"/>
        <v>0</v>
      </c>
      <c r="G50" s="166">
        <f>SUM(G29:G49)</f>
        <v>0</v>
      </c>
      <c r="H50" s="166">
        <f t="shared" si="3"/>
        <v>0</v>
      </c>
      <c r="I50" s="166">
        <f t="shared" si="3"/>
        <v>0</v>
      </c>
      <c r="J50" s="166">
        <f t="shared" si="3"/>
        <v>0</v>
      </c>
    </row>
    <row r="51" spans="1:10" ht="11.25" thickTop="1" x14ac:dyDescent="0.15">
      <c r="F51" s="156"/>
      <c r="G51" s="156"/>
      <c r="J51" s="164"/>
    </row>
    <row r="52" spans="1:10" x14ac:dyDescent="0.15">
      <c r="B52" s="39" t="s">
        <v>741</v>
      </c>
      <c r="D52" s="34"/>
      <c r="F52" s="156"/>
      <c r="G52" s="156"/>
      <c r="J52" s="164"/>
    </row>
    <row r="53" spans="1:10" x14ac:dyDescent="0.15">
      <c r="A53" s="34" t="s">
        <v>1140</v>
      </c>
      <c r="B53" s="156"/>
      <c r="C53" s="34" t="s">
        <v>725</v>
      </c>
      <c r="D53" s="198"/>
      <c r="F53" s="156"/>
      <c r="G53" s="156"/>
      <c r="J53" s="164"/>
    </row>
    <row r="54" spans="1:10" x14ac:dyDescent="0.15">
      <c r="A54" s="369">
        <f>HLOOKUP(101,'Fund 22 Grants'!$D$2:$W$3,2,FALSE)</f>
        <v>0</v>
      </c>
      <c r="B54" s="370"/>
      <c r="C54" s="371">
        <f>HLOOKUP(101,'Fund 22 Grants'!$D$2:$W$4,3,FALSE)</f>
        <v>0</v>
      </c>
      <c r="D54" s="198"/>
      <c r="E54" s="40">
        <v>0</v>
      </c>
      <c r="F54" s="40"/>
      <c r="G54" s="40">
        <v>0</v>
      </c>
      <c r="H54" s="373">
        <f>IF(ISERROR(HLOOKUP(101,'Fund 22 Grants'!$D$2:$W$12,11,FALSE)),0,(HLOOKUP(101,'Fund 22 Grants'!$D$2:$W$12,11,FALSE)))</f>
        <v>0</v>
      </c>
      <c r="I54" s="40">
        <v>0</v>
      </c>
      <c r="J54" s="492">
        <f>H54+I54</f>
        <v>0</v>
      </c>
    </row>
    <row r="55" spans="1:10" x14ac:dyDescent="0.15">
      <c r="A55" s="369">
        <f>HLOOKUP(102,'Fund 22 Grants'!$D$2:$W$3,2,FALSE)</f>
        <v>0</v>
      </c>
      <c r="B55" s="370"/>
      <c r="C55" s="371">
        <f>HLOOKUP(102,'Fund 22 Grants'!$D$2:$W$4,3,FALSE)</f>
        <v>0</v>
      </c>
      <c r="D55" s="198"/>
      <c r="E55" s="40">
        <v>0</v>
      </c>
      <c r="F55" s="40"/>
      <c r="G55" s="40">
        <v>0</v>
      </c>
      <c r="H55" s="373">
        <f>IF(ISERROR(HLOOKUP(102,'Fund 22 Grants'!$D$2:$W$12,11,FALSE)),0,(HLOOKUP(102,'Fund 22 Grants'!$D$2:$W$12,11,FALSE)))</f>
        <v>0</v>
      </c>
      <c r="I55" s="40">
        <v>0</v>
      </c>
      <c r="J55" s="492">
        <f t="shared" ref="J55:J62" si="4">H55+I55</f>
        <v>0</v>
      </c>
    </row>
    <row r="56" spans="1:10" x14ac:dyDescent="0.15">
      <c r="A56" s="369">
        <f>HLOOKUP(103,'Fund 22 Grants'!$D$2:$W$3,2,FALSE)</f>
        <v>0</v>
      </c>
      <c r="B56" s="370"/>
      <c r="C56" s="371">
        <f>HLOOKUP(103,'Fund 22 Grants'!$D$2:$W$4,3,FALSE)</f>
        <v>0</v>
      </c>
      <c r="D56" s="198"/>
      <c r="E56" s="40">
        <v>0</v>
      </c>
      <c r="F56" s="40"/>
      <c r="G56" s="40">
        <v>0</v>
      </c>
      <c r="H56" s="373">
        <f>IF(ISERROR(HLOOKUP(103,'Fund 22 Grants'!$D$2:$W$12,11,FALSE)),0,(HLOOKUP(103,'Fund 22 Grants'!$D$2:$W$12,11,FALSE)))</f>
        <v>0</v>
      </c>
      <c r="I56" s="40">
        <v>0</v>
      </c>
      <c r="J56" s="492">
        <f t="shared" si="4"/>
        <v>0</v>
      </c>
    </row>
    <row r="57" spans="1:10" x14ac:dyDescent="0.15">
      <c r="A57" s="369">
        <f>HLOOKUP(104,'Fund 22 Grants'!$D$2:$W$3,2,FALSE)</f>
        <v>0</v>
      </c>
      <c r="B57" s="370"/>
      <c r="C57" s="371">
        <f>HLOOKUP(104,'Fund 22 Grants'!$D$2:$W$4,3,FALSE)</f>
        <v>0</v>
      </c>
      <c r="D57" s="198"/>
      <c r="E57" s="40">
        <v>0</v>
      </c>
      <c r="F57" s="40"/>
      <c r="G57" s="40">
        <v>0</v>
      </c>
      <c r="H57" s="373">
        <f>IF(ISERROR(HLOOKUP(104,'Fund 22 Grants'!$D$2:$W$12,11,FALSE)),0,(HLOOKUP(104,'Fund 22 Grants'!$D$2:$W$12,11,FALSE)))</f>
        <v>0</v>
      </c>
      <c r="I57" s="40">
        <v>0</v>
      </c>
      <c r="J57" s="492">
        <f t="shared" si="4"/>
        <v>0</v>
      </c>
    </row>
    <row r="58" spans="1:10" x14ac:dyDescent="0.15">
      <c r="A58" s="369">
        <f>HLOOKUP(105,'Fund 22 Grants'!$D$2:$W$3,2,FALSE)</f>
        <v>0</v>
      </c>
      <c r="B58" s="370"/>
      <c r="C58" s="371">
        <f>HLOOKUP(105,'Fund 22 Grants'!$D$2:$W$4,3,FALSE)</f>
        <v>0</v>
      </c>
      <c r="D58" s="198"/>
      <c r="E58" s="40">
        <v>0</v>
      </c>
      <c r="F58" s="40"/>
      <c r="G58" s="40">
        <v>0</v>
      </c>
      <c r="H58" s="373">
        <f>IF(ISERROR(HLOOKUP(105,'Fund 22 Grants'!$D$2:$W$12,11,FALSE)),0,(HLOOKUP(105,'Fund 22 Grants'!$D$2:$W$12,11,FALSE)))</f>
        <v>0</v>
      </c>
      <c r="I58" s="40">
        <v>0</v>
      </c>
      <c r="J58" s="492">
        <f t="shared" si="4"/>
        <v>0</v>
      </c>
    </row>
    <row r="59" spans="1:10" x14ac:dyDescent="0.15">
      <c r="A59" s="369">
        <f>HLOOKUP(106,'Fund 22 Grants'!$D$2:$W$3,2,FALSE)</f>
        <v>0</v>
      </c>
      <c r="B59" s="370"/>
      <c r="C59" s="371">
        <f>HLOOKUP(106,'Fund 22 Grants'!$D$2:$W$4,3,FALSE)</f>
        <v>0</v>
      </c>
      <c r="D59" s="198"/>
      <c r="E59" s="40">
        <v>0</v>
      </c>
      <c r="F59" s="40"/>
      <c r="G59" s="40">
        <v>0</v>
      </c>
      <c r="H59" s="373">
        <f>IF(ISERROR(HLOOKUP(106,'Fund 22 Grants'!$D$2:$W$12,11,FALSE)),0,(HLOOKUP(106,'Fund 22 Grants'!$D$2:$W$12,11,FALSE)))</f>
        <v>0</v>
      </c>
      <c r="I59" s="40">
        <v>0</v>
      </c>
      <c r="J59" s="492">
        <f t="shared" si="4"/>
        <v>0</v>
      </c>
    </row>
    <row r="60" spans="1:10" x14ac:dyDescent="0.15">
      <c r="A60" s="369">
        <f>HLOOKUP(107,'Fund 22 Grants'!$D$2:$W$3,2,FALSE)</f>
        <v>0</v>
      </c>
      <c r="B60" s="370"/>
      <c r="C60" s="371">
        <f>HLOOKUP(107,'Fund 22 Grants'!$D$2:$W$4,3,FALSE)</f>
        <v>0</v>
      </c>
      <c r="D60" s="198"/>
      <c r="E60" s="40">
        <v>0</v>
      </c>
      <c r="F60" s="40"/>
      <c r="G60" s="40">
        <v>0</v>
      </c>
      <c r="H60" s="373">
        <f>IF(ISERROR(HLOOKUP(107,'Fund 22 Grants'!$D$2:$W$12,11,FALSE)),0,(HLOOKUP(107,'Fund 22 Grants'!$D$2:$W$12,11,FALSE)))</f>
        <v>0</v>
      </c>
      <c r="I60" s="40">
        <v>0</v>
      </c>
      <c r="J60" s="492">
        <f t="shared" si="4"/>
        <v>0</v>
      </c>
    </row>
    <row r="61" spans="1:10" x14ac:dyDescent="0.15">
      <c r="A61" s="369">
        <f>HLOOKUP(108,'Fund 22 Grants'!$D$2:$W$3,2,FALSE)</f>
        <v>0</v>
      </c>
      <c r="B61" s="370"/>
      <c r="C61" s="371">
        <f>HLOOKUP(108,'Fund 22 Grants'!$D$2:$W$4,3,FALSE)</f>
        <v>0</v>
      </c>
      <c r="D61" s="198"/>
      <c r="E61" s="40">
        <v>0</v>
      </c>
      <c r="F61" s="40"/>
      <c r="G61" s="40">
        <v>0</v>
      </c>
      <c r="H61" s="373">
        <f>IF(ISERROR(HLOOKUP(108,'Fund 22 Grants'!$D$2:$W$12,11,FALSE)),0,(HLOOKUP(108,'Fund 22 Grants'!$D$2:$W$12,11,FALSE)))</f>
        <v>0</v>
      </c>
      <c r="I61" s="40">
        <v>0</v>
      </c>
      <c r="J61" s="492">
        <f t="shared" si="4"/>
        <v>0</v>
      </c>
    </row>
    <row r="62" spans="1:10" x14ac:dyDescent="0.15">
      <c r="A62" s="369">
        <f>HLOOKUP(109,'Fund 22 Grants'!$D$2:$W$3,2,FALSE)</f>
        <v>0</v>
      </c>
      <c r="B62" s="370"/>
      <c r="C62" s="371">
        <f>HLOOKUP(109,'Fund 22 Grants'!$D$2:$W$4,3,FALSE)</f>
        <v>0</v>
      </c>
      <c r="D62" s="198"/>
      <c r="E62" s="40">
        <v>0</v>
      </c>
      <c r="F62" s="40"/>
      <c r="G62" s="40">
        <v>0</v>
      </c>
      <c r="H62" s="373">
        <f>IF(ISERROR(HLOOKUP(109,'Fund 22 Grants'!$D$2:$W$12,11,FALSE)),0,(HLOOKUP(109,'Fund 22 Grants'!$D$2:$W$12,11,FALSE)))</f>
        <v>0</v>
      </c>
      <c r="I62" s="40">
        <v>0</v>
      </c>
      <c r="J62" s="492">
        <f t="shared" si="4"/>
        <v>0</v>
      </c>
    </row>
    <row r="63" spans="1:10" x14ac:dyDescent="0.15">
      <c r="A63" s="369">
        <f>HLOOKUP(110,'Fund 22 Grants'!$D$2:$W$3,2,FALSE)</f>
        <v>0</v>
      </c>
      <c r="B63" s="370"/>
      <c r="C63" s="371">
        <f>HLOOKUP(110,'Fund 22 Grants'!$D$2:$W$4,3,FALSE)</f>
        <v>0</v>
      </c>
      <c r="D63" s="39"/>
      <c r="E63" s="40">
        <v>0</v>
      </c>
      <c r="F63" s="40"/>
      <c r="G63" s="40">
        <v>0</v>
      </c>
      <c r="H63" s="373">
        <f>IF(ISERROR(HLOOKUP(110,'Fund 22 Grants'!$D$2:$W$12,11,FALSE)),0,(HLOOKUP(110,'Fund 22 Grants'!$D$2:$W$12,11,FALSE)))</f>
        <v>0</v>
      </c>
      <c r="I63" s="40">
        <v>0</v>
      </c>
      <c r="J63" s="492">
        <f>H63+I63</f>
        <v>0</v>
      </c>
    </row>
    <row r="64" spans="1:10" ht="11.25" thickBot="1" x14ac:dyDescent="0.2">
      <c r="C64" s="39"/>
      <c r="D64" s="114"/>
      <c r="F64" s="156"/>
      <c r="G64" s="156"/>
      <c r="J64" s="164"/>
    </row>
    <row r="65" spans="1:10" ht="12" thickTop="1" thickBot="1" x14ac:dyDescent="0.2">
      <c r="A65" s="114" t="s">
        <v>832</v>
      </c>
      <c r="C65" s="114" t="s">
        <v>744</v>
      </c>
      <c r="E65" s="148">
        <f t="shared" ref="E65:I65" si="5">SUM(E54:E64)</f>
        <v>0</v>
      </c>
      <c r="F65" s="148">
        <f t="shared" si="5"/>
        <v>0</v>
      </c>
      <c r="G65" s="148">
        <f t="shared" si="5"/>
        <v>0</v>
      </c>
      <c r="H65" s="148">
        <f t="shared" si="5"/>
        <v>0</v>
      </c>
      <c r="I65" s="148">
        <f t="shared" si="5"/>
        <v>0</v>
      </c>
      <c r="J65" s="166">
        <f>SUM(J54:J64)</f>
        <v>0</v>
      </c>
    </row>
    <row r="66" spans="1:10" ht="12" thickTop="1" thickBot="1" x14ac:dyDescent="0.2">
      <c r="D66" s="114"/>
      <c r="F66" s="156"/>
      <c r="G66" s="156"/>
      <c r="J66" s="164"/>
    </row>
    <row r="67" spans="1:10" ht="12" thickTop="1" thickBot="1" x14ac:dyDescent="0.2">
      <c r="C67" s="114" t="s">
        <v>1305</v>
      </c>
      <c r="D67" s="114"/>
      <c r="E67" s="190">
        <f t="shared" ref="E67:J67" si="6">E23+E50+E65</f>
        <v>0</v>
      </c>
      <c r="F67" s="190">
        <f t="shared" si="6"/>
        <v>0</v>
      </c>
      <c r="G67" s="190">
        <f t="shared" si="6"/>
        <v>0</v>
      </c>
      <c r="H67" s="190">
        <f t="shared" si="6"/>
        <v>0</v>
      </c>
      <c r="I67" s="190">
        <f t="shared" si="6"/>
        <v>0</v>
      </c>
      <c r="J67" s="528">
        <f t="shared" si="6"/>
        <v>0</v>
      </c>
    </row>
    <row r="68" spans="1:10" ht="11.25" thickTop="1" x14ac:dyDescent="0.15">
      <c r="C68" s="114"/>
      <c r="D68" s="114"/>
      <c r="F68" s="156"/>
      <c r="G68" s="156"/>
      <c r="J68" s="164"/>
    </row>
    <row r="69" spans="1:10" x14ac:dyDescent="0.15">
      <c r="B69" s="21" t="s">
        <v>623</v>
      </c>
      <c r="C69" s="114"/>
      <c r="D69" s="34"/>
      <c r="F69" s="156"/>
      <c r="G69" s="156"/>
      <c r="J69" s="164"/>
    </row>
    <row r="70" spans="1:10" x14ac:dyDescent="0.15">
      <c r="A70" s="34" t="s">
        <v>1140</v>
      </c>
      <c r="C70" s="34" t="s">
        <v>745</v>
      </c>
      <c r="D70" s="199"/>
      <c r="F70" s="156"/>
      <c r="G70" s="156"/>
      <c r="J70" s="164"/>
    </row>
    <row r="71" spans="1:10" x14ac:dyDescent="0.15">
      <c r="A71" s="159" t="s">
        <v>1043</v>
      </c>
      <c r="B71" s="114">
        <v>5</v>
      </c>
      <c r="C71" s="2" t="s">
        <v>303</v>
      </c>
      <c r="E71" s="40">
        <v>0</v>
      </c>
      <c r="F71" s="40">
        <v>0</v>
      </c>
      <c r="G71" s="40">
        <v>0</v>
      </c>
      <c r="H71" s="40">
        <v>0</v>
      </c>
      <c r="I71" s="463">
        <v>0</v>
      </c>
      <c r="J71" s="464">
        <f>SUM(H71+I71)</f>
        <v>0</v>
      </c>
    </row>
    <row r="72" spans="1:10" x14ac:dyDescent="0.15">
      <c r="C72" s="114"/>
      <c r="D72" s="114"/>
      <c r="F72" s="156"/>
      <c r="G72" s="156"/>
      <c r="J72" s="164"/>
    </row>
    <row r="73" spans="1:10" x14ac:dyDescent="0.15">
      <c r="B73" s="21" t="s">
        <v>265</v>
      </c>
      <c r="C73" s="114"/>
      <c r="D73" s="34"/>
      <c r="F73" s="156"/>
      <c r="G73" s="156"/>
      <c r="J73" s="164"/>
    </row>
    <row r="74" spans="1:10" x14ac:dyDescent="0.15">
      <c r="A74" s="34" t="s">
        <v>1140</v>
      </c>
      <c r="C74" s="34" t="s">
        <v>462</v>
      </c>
      <c r="D74" s="199"/>
      <c r="F74" s="156"/>
      <c r="G74" s="156"/>
      <c r="J74" s="164"/>
    </row>
    <row r="75" spans="1:10" x14ac:dyDescent="0.15">
      <c r="A75" s="365"/>
      <c r="C75" s="192"/>
      <c r="D75" s="199"/>
      <c r="E75" s="40">
        <v>0</v>
      </c>
      <c r="F75" s="40"/>
      <c r="G75" s="40">
        <v>0</v>
      </c>
      <c r="H75" s="40">
        <v>0</v>
      </c>
      <c r="I75" s="40">
        <v>0</v>
      </c>
      <c r="J75" s="492">
        <f t="shared" ref="J75:J84" si="7">H75+I75</f>
        <v>0</v>
      </c>
    </row>
    <row r="76" spans="1:10" x14ac:dyDescent="0.15">
      <c r="A76" s="365"/>
      <c r="C76" s="192"/>
      <c r="D76" s="199"/>
      <c r="E76" s="40">
        <v>0</v>
      </c>
      <c r="F76" s="40"/>
      <c r="G76" s="40">
        <v>0</v>
      </c>
      <c r="H76" s="40">
        <v>0</v>
      </c>
      <c r="I76" s="40">
        <v>0</v>
      </c>
      <c r="J76" s="492">
        <f t="shared" si="7"/>
        <v>0</v>
      </c>
    </row>
    <row r="77" spans="1:10" x14ac:dyDescent="0.15">
      <c r="A77" s="365"/>
      <c r="C77" s="192"/>
      <c r="D77" s="199"/>
      <c r="E77" s="40">
        <v>0</v>
      </c>
      <c r="F77" s="40"/>
      <c r="G77" s="40">
        <v>0</v>
      </c>
      <c r="H77" s="40">
        <v>0</v>
      </c>
      <c r="I77" s="40">
        <v>0</v>
      </c>
      <c r="J77" s="492">
        <f t="shared" si="7"/>
        <v>0</v>
      </c>
    </row>
    <row r="78" spans="1:10" x14ac:dyDescent="0.15">
      <c r="A78" s="365"/>
      <c r="C78" s="192"/>
      <c r="D78" s="199"/>
      <c r="E78" s="40">
        <v>0</v>
      </c>
      <c r="F78" s="40"/>
      <c r="G78" s="40">
        <v>0</v>
      </c>
      <c r="H78" s="40">
        <v>0</v>
      </c>
      <c r="I78" s="40">
        <v>0</v>
      </c>
      <c r="J78" s="492">
        <f t="shared" si="7"/>
        <v>0</v>
      </c>
    </row>
    <row r="79" spans="1:10" x14ac:dyDescent="0.15">
      <c r="A79" s="365"/>
      <c r="C79" s="192"/>
      <c r="D79" s="199"/>
      <c r="E79" s="40">
        <v>0</v>
      </c>
      <c r="F79" s="40"/>
      <c r="G79" s="40">
        <v>0</v>
      </c>
      <c r="H79" s="40">
        <v>0</v>
      </c>
      <c r="I79" s="40">
        <v>0</v>
      </c>
      <c r="J79" s="492">
        <f t="shared" si="7"/>
        <v>0</v>
      </c>
    </row>
    <row r="80" spans="1:10" x14ac:dyDescent="0.15">
      <c r="A80" s="365"/>
      <c r="C80" s="192"/>
      <c r="D80" s="199"/>
      <c r="E80" s="40">
        <v>0</v>
      </c>
      <c r="F80" s="40"/>
      <c r="G80" s="40">
        <v>0</v>
      </c>
      <c r="H80" s="40">
        <v>0</v>
      </c>
      <c r="I80" s="40">
        <v>0</v>
      </c>
      <c r="J80" s="492">
        <f t="shared" si="7"/>
        <v>0</v>
      </c>
    </row>
    <row r="81" spans="1:10" x14ac:dyDescent="0.15">
      <c r="A81" s="365"/>
      <c r="C81" s="192"/>
      <c r="D81" s="199"/>
      <c r="E81" s="40">
        <v>0</v>
      </c>
      <c r="F81" s="40"/>
      <c r="G81" s="40">
        <v>0</v>
      </c>
      <c r="H81" s="40">
        <v>0</v>
      </c>
      <c r="I81" s="40">
        <v>0</v>
      </c>
      <c r="J81" s="492">
        <f t="shared" si="7"/>
        <v>0</v>
      </c>
    </row>
    <row r="82" spans="1:10" x14ac:dyDescent="0.15">
      <c r="A82" s="365"/>
      <c r="C82" s="192"/>
      <c r="D82" s="199"/>
      <c r="E82" s="40">
        <v>0</v>
      </c>
      <c r="F82" s="40"/>
      <c r="G82" s="40">
        <v>0</v>
      </c>
      <c r="H82" s="40">
        <v>0</v>
      </c>
      <c r="I82" s="40">
        <v>0</v>
      </c>
      <c r="J82" s="492">
        <f t="shared" si="7"/>
        <v>0</v>
      </c>
    </row>
    <row r="83" spans="1:10" x14ac:dyDescent="0.15">
      <c r="A83" s="365"/>
      <c r="C83" s="192"/>
      <c r="D83" s="199"/>
      <c r="E83" s="40">
        <v>0</v>
      </c>
      <c r="F83" s="40"/>
      <c r="G83" s="40">
        <v>0</v>
      </c>
      <c r="H83" s="40">
        <v>0</v>
      </c>
      <c r="I83" s="40">
        <v>0</v>
      </c>
      <c r="J83" s="492">
        <f t="shared" si="7"/>
        <v>0</v>
      </c>
    </row>
    <row r="84" spans="1:10" x14ac:dyDescent="0.15">
      <c r="A84" s="365"/>
      <c r="C84" s="192"/>
      <c r="D84" s="114"/>
      <c r="E84" s="40">
        <v>0</v>
      </c>
      <c r="F84" s="40"/>
      <c r="G84" s="40">
        <v>0</v>
      </c>
      <c r="H84" s="40">
        <v>0</v>
      </c>
      <c r="I84" s="40">
        <v>0</v>
      </c>
      <c r="J84" s="492">
        <f t="shared" si="7"/>
        <v>0</v>
      </c>
    </row>
    <row r="85" spans="1:10" ht="11.25" thickBot="1" x14ac:dyDescent="0.2">
      <c r="C85" s="114"/>
      <c r="D85" s="114"/>
      <c r="F85" s="156"/>
      <c r="G85" s="156"/>
      <c r="J85" s="164"/>
    </row>
    <row r="86" spans="1:10" ht="12" thickTop="1" thickBot="1" x14ac:dyDescent="0.2">
      <c r="C86" s="114" t="s">
        <v>266</v>
      </c>
      <c r="D86" s="114"/>
      <c r="E86" s="190">
        <f t="shared" ref="E86:J86" si="8">SUM(E75:E85)</f>
        <v>0</v>
      </c>
      <c r="F86" s="190">
        <f t="shared" si="8"/>
        <v>0</v>
      </c>
      <c r="G86" s="190">
        <f t="shared" si="8"/>
        <v>0</v>
      </c>
      <c r="H86" s="190">
        <f t="shared" si="8"/>
        <v>0</v>
      </c>
      <c r="I86" s="190">
        <f t="shared" si="8"/>
        <v>0</v>
      </c>
      <c r="J86" s="528">
        <f t="shared" si="8"/>
        <v>0</v>
      </c>
    </row>
    <row r="87" spans="1:10" ht="21.75" customHeight="1" thickTop="1" thickBot="1" x14ac:dyDescent="0.2">
      <c r="C87" s="114"/>
      <c r="D87" s="193"/>
      <c r="F87" s="156"/>
      <c r="G87" s="156"/>
      <c r="J87" s="164"/>
    </row>
    <row r="88" spans="1:10" ht="11.25" thickBot="1" x14ac:dyDescent="0.2">
      <c r="A88" s="729" t="s">
        <v>746</v>
      </c>
      <c r="B88" s="729"/>
      <c r="C88" s="729"/>
      <c r="D88" s="114"/>
      <c r="E88" s="168">
        <f t="shared" ref="E88:J88" si="9">E6+E67+E71+E86</f>
        <v>0</v>
      </c>
      <c r="F88" s="168">
        <f t="shared" si="9"/>
        <v>0</v>
      </c>
      <c r="G88" s="168">
        <f t="shared" si="9"/>
        <v>0</v>
      </c>
      <c r="H88" s="168">
        <f>H6+H67+H71+H86</f>
        <v>0</v>
      </c>
      <c r="I88" s="168">
        <f t="shared" si="9"/>
        <v>0</v>
      </c>
      <c r="J88" s="168">
        <f t="shared" si="9"/>
        <v>0</v>
      </c>
    </row>
    <row r="89" spans="1:10" x14ac:dyDescent="0.15">
      <c r="C89" s="114"/>
      <c r="D89" s="114"/>
      <c r="F89" s="156"/>
      <c r="G89" s="156"/>
      <c r="J89" s="164"/>
    </row>
    <row r="90" spans="1:10" x14ac:dyDescent="0.15">
      <c r="A90" s="563" t="s">
        <v>290</v>
      </c>
      <c r="B90" s="413"/>
      <c r="C90" s="427" t="s">
        <v>286</v>
      </c>
      <c r="D90" s="412"/>
      <c r="E90" s="412"/>
      <c r="F90" s="412"/>
      <c r="G90" s="412"/>
      <c r="H90" s="412"/>
      <c r="I90" s="176"/>
      <c r="J90" s="164"/>
    </row>
    <row r="91" spans="1:10" x14ac:dyDescent="0.15">
      <c r="A91" s="417" t="s">
        <v>1043</v>
      </c>
      <c r="B91" s="433" t="s">
        <v>766</v>
      </c>
      <c r="C91" s="2" t="s">
        <v>984</v>
      </c>
      <c r="E91" s="40">
        <v>0</v>
      </c>
      <c r="F91" s="40">
        <v>0</v>
      </c>
      <c r="G91" s="40">
        <v>0</v>
      </c>
      <c r="H91" s="40">
        <v>0</v>
      </c>
      <c r="I91" s="463">
        <v>0</v>
      </c>
      <c r="J91" s="464">
        <f>SUM(H91+I91)</f>
        <v>0</v>
      </c>
    </row>
    <row r="92" spans="1:10" x14ac:dyDescent="0.15">
      <c r="A92" s="423"/>
      <c r="B92" s="413"/>
      <c r="C92" s="412"/>
      <c r="D92" s="412"/>
      <c r="E92" s="412"/>
      <c r="F92" s="412"/>
      <c r="G92" s="412"/>
      <c r="H92" s="412"/>
      <c r="I92" s="412"/>
      <c r="J92" s="164"/>
    </row>
    <row r="93" spans="1:10" x14ac:dyDescent="0.15">
      <c r="C93" s="114"/>
      <c r="F93" s="156"/>
      <c r="G93" s="156"/>
      <c r="J93" s="164"/>
    </row>
    <row r="94" spans="1:10" x14ac:dyDescent="0.15">
      <c r="A94" s="18"/>
      <c r="C94" s="205" t="s">
        <v>1136</v>
      </c>
      <c r="D94" s="34"/>
      <c r="F94" s="156"/>
      <c r="G94" s="8"/>
      <c r="J94" s="164"/>
    </row>
    <row r="95" spans="1:10" x14ac:dyDescent="0.15">
      <c r="A95" s="34" t="s">
        <v>1140</v>
      </c>
      <c r="B95" s="156"/>
      <c r="C95" s="34" t="s">
        <v>590</v>
      </c>
      <c r="D95" s="39"/>
      <c r="F95" s="156"/>
      <c r="G95" s="8"/>
      <c r="J95" s="164"/>
    </row>
    <row r="96" spans="1:10" x14ac:dyDescent="0.15">
      <c r="C96" s="39" t="s">
        <v>1141</v>
      </c>
      <c r="D96" s="114"/>
      <c r="F96" s="174"/>
      <c r="G96" s="156"/>
      <c r="J96" s="164"/>
    </row>
    <row r="97" spans="1:10" x14ac:dyDescent="0.15">
      <c r="A97" s="369" t="e">
        <f>HLOOKUP(201,'Fund 22 Grants'!$D$2:$W$3,2,FALSE)</f>
        <v>#N/A</v>
      </c>
      <c r="B97" s="370"/>
      <c r="C97" s="371" t="e">
        <f>HLOOKUP(201,'Fund 22 Grants'!$D$2:$W$4,3,FALSE)</f>
        <v>#N/A</v>
      </c>
      <c r="D97" s="114"/>
      <c r="E97" s="40">
        <v>0</v>
      </c>
      <c r="F97" s="40"/>
      <c r="G97" s="40">
        <v>0</v>
      </c>
      <c r="H97" s="373">
        <f>IF(ISERROR(HLOOKUP(201,'Fund 22 Grants'!$D$2:$W$117,116,FALSE)),0,(HLOOKUP(201,'Fund 22 Grants'!$D$2:$W$117,116,FALSE)))</f>
        <v>0</v>
      </c>
      <c r="I97" s="40">
        <v>0</v>
      </c>
      <c r="J97" s="492">
        <f t="shared" ref="J97:J108" si="10">H97+I97</f>
        <v>0</v>
      </c>
    </row>
    <row r="98" spans="1:10" x14ac:dyDescent="0.15">
      <c r="A98" s="369" t="e">
        <f>HLOOKUP(202,'Fund 22 Grants'!$D$2:$W$3,2,FALSE)</f>
        <v>#N/A</v>
      </c>
      <c r="B98" s="370"/>
      <c r="C98" s="371" t="e">
        <f>HLOOKUP(202,'Fund 22 Grants'!$D$2:$W$4,3,FALSE)</f>
        <v>#N/A</v>
      </c>
      <c r="D98" s="114"/>
      <c r="E98" s="40">
        <v>0</v>
      </c>
      <c r="F98" s="40"/>
      <c r="G98" s="40">
        <v>0</v>
      </c>
      <c r="H98" s="373">
        <f>IF(ISERROR(HLOOKUP(202,'Fund 22 Grants'!$D$2:$W$117,116,FALSE)),0,(HLOOKUP(202,'Fund 22 Grants'!$D$2:$W$117,116,FALSE)))</f>
        <v>0</v>
      </c>
      <c r="I98" s="40">
        <v>0</v>
      </c>
      <c r="J98" s="492">
        <f t="shared" si="10"/>
        <v>0</v>
      </c>
    </row>
    <row r="99" spans="1:10" x14ac:dyDescent="0.15">
      <c r="A99" s="369" t="e">
        <f>HLOOKUP(203,'Fund 22 Grants'!$D$2:$W$3,2,FALSE)</f>
        <v>#N/A</v>
      </c>
      <c r="B99" s="370"/>
      <c r="C99" s="371" t="e">
        <f>HLOOKUP(203,'Fund 22 Grants'!$D$2:$W$4,3,FALSE)</f>
        <v>#N/A</v>
      </c>
      <c r="D99" s="114"/>
      <c r="E99" s="40">
        <v>0</v>
      </c>
      <c r="F99" s="40"/>
      <c r="G99" s="40">
        <v>0</v>
      </c>
      <c r="H99" s="373">
        <f>IF(ISERROR(HLOOKUP(203,'Fund 22 Grants'!$D$2:$W$117,116,FALSE)),0,(HLOOKUP(203,'Fund 22 Grants'!$D$2:$W$117,116,FALSE)))</f>
        <v>0</v>
      </c>
      <c r="I99" s="40">
        <v>0</v>
      </c>
      <c r="J99" s="492">
        <f t="shared" si="10"/>
        <v>0</v>
      </c>
    </row>
    <row r="100" spans="1:10" x14ac:dyDescent="0.15">
      <c r="A100" s="369" t="e">
        <f>HLOOKUP(204,'Fund 22 Grants'!$D$2:$W$3,2,FALSE)</f>
        <v>#N/A</v>
      </c>
      <c r="B100" s="370"/>
      <c r="C100" s="371" t="e">
        <f>HLOOKUP(204,'Fund 22 Grants'!$D$2:$W$4,3,FALSE)</f>
        <v>#N/A</v>
      </c>
      <c r="D100" s="114"/>
      <c r="E100" s="40">
        <v>0</v>
      </c>
      <c r="F100" s="40"/>
      <c r="G100" s="40">
        <v>0</v>
      </c>
      <c r="H100" s="373">
        <f>IF(ISERROR(HLOOKUP(204,'Fund 22 Grants'!$D$2:$W$117,116,FALSE)),0,(HLOOKUP(204,'Fund 22 Grants'!$D$2:$W$117,116,FALSE)))</f>
        <v>0</v>
      </c>
      <c r="I100" s="40">
        <v>0</v>
      </c>
      <c r="J100" s="492">
        <f t="shared" si="10"/>
        <v>0</v>
      </c>
    </row>
    <row r="101" spans="1:10" x14ac:dyDescent="0.15">
      <c r="A101" s="369" t="e">
        <f>HLOOKUP(205,'Fund 22 Grants'!$D$2:$W$3,2,FALSE)</f>
        <v>#N/A</v>
      </c>
      <c r="B101" s="370"/>
      <c r="C101" s="371" t="e">
        <f>HLOOKUP(205,'Fund 22 Grants'!$D$2:$W$4,3,FALSE)</f>
        <v>#N/A</v>
      </c>
      <c r="D101" s="114"/>
      <c r="E101" s="40">
        <v>0</v>
      </c>
      <c r="F101" s="40"/>
      <c r="G101" s="40">
        <v>0</v>
      </c>
      <c r="H101" s="373">
        <f>IF(ISERROR(HLOOKUP(205,'Fund 22 Grants'!$D$2:$W$117,116,FALSE)),0,(HLOOKUP(205,'Fund 22 Grants'!$D$2:$W$117,116,FALSE)))</f>
        <v>0</v>
      </c>
      <c r="I101" s="40">
        <v>0</v>
      </c>
      <c r="J101" s="492">
        <f t="shared" si="10"/>
        <v>0</v>
      </c>
    </row>
    <row r="102" spans="1:10" x14ac:dyDescent="0.15">
      <c r="A102" s="369" t="e">
        <f>HLOOKUP(206,'Fund 22 Grants'!$D$2:$W$3,2,FALSE)</f>
        <v>#N/A</v>
      </c>
      <c r="B102" s="370"/>
      <c r="C102" s="371" t="e">
        <f>HLOOKUP(206,'Fund 22 Grants'!$D$2:$W$4,3,FALSE)</f>
        <v>#N/A</v>
      </c>
      <c r="D102" s="114"/>
      <c r="E102" s="40">
        <v>0</v>
      </c>
      <c r="F102" s="40"/>
      <c r="G102" s="40">
        <v>0</v>
      </c>
      <c r="H102" s="373">
        <f>IF(ISERROR(HLOOKUP(206,'Fund 22 Grants'!$D$2:$W$117,116,FALSE)),0,(HLOOKUP(206,'Fund 22 Grants'!$D$2:$W$117,116,FALSE)))</f>
        <v>0</v>
      </c>
      <c r="I102" s="40">
        <v>0</v>
      </c>
      <c r="J102" s="492">
        <f t="shared" si="10"/>
        <v>0</v>
      </c>
    </row>
    <row r="103" spans="1:10" x14ac:dyDescent="0.15">
      <c r="A103" s="369" t="e">
        <f>HLOOKUP(207,'Fund 22 Grants'!$D$2:$W$3,2,FALSE)</f>
        <v>#N/A</v>
      </c>
      <c r="B103" s="370"/>
      <c r="C103" s="371" t="e">
        <f>HLOOKUP(207,'Fund 22 Grants'!$D$2:$W$4,3,FALSE)</f>
        <v>#N/A</v>
      </c>
      <c r="D103" s="114"/>
      <c r="E103" s="40">
        <v>0</v>
      </c>
      <c r="F103" s="40"/>
      <c r="G103" s="40">
        <v>0</v>
      </c>
      <c r="H103" s="373">
        <f>IF(ISERROR(HLOOKUP(207,'Fund 22 Grants'!$D$2:$W$117,116,FALSE)),0,(HLOOKUP(207,'Fund 22 Grants'!$D$2:$W$117,116,FALSE)))</f>
        <v>0</v>
      </c>
      <c r="I103" s="40">
        <v>0</v>
      </c>
      <c r="J103" s="492">
        <f t="shared" si="10"/>
        <v>0</v>
      </c>
    </row>
    <row r="104" spans="1:10" x14ac:dyDescent="0.15">
      <c r="A104" s="369" t="e">
        <f>HLOOKUP(208,'Fund 22 Grants'!$D$2:$W$3,2,FALSE)</f>
        <v>#N/A</v>
      </c>
      <c r="B104" s="370"/>
      <c r="C104" s="371" t="e">
        <f>HLOOKUP(208,'Fund 22 Grants'!$D$2:$W$4,3,FALSE)</f>
        <v>#N/A</v>
      </c>
      <c r="D104" s="114"/>
      <c r="E104" s="40">
        <v>0</v>
      </c>
      <c r="F104" s="40"/>
      <c r="G104" s="40">
        <v>0</v>
      </c>
      <c r="H104" s="373">
        <f>IF(ISERROR(HLOOKUP(208,'Fund 22 Grants'!$D$2:$W$117,116,FALSE)),0,(HLOOKUP(208,'Fund 22 Grants'!$D$2:$W$117,116,FALSE)))</f>
        <v>0</v>
      </c>
      <c r="I104" s="40">
        <v>0</v>
      </c>
      <c r="J104" s="492">
        <f t="shared" si="10"/>
        <v>0</v>
      </c>
    </row>
    <row r="105" spans="1:10" x14ac:dyDescent="0.15">
      <c r="A105" s="369" t="e">
        <f>HLOOKUP(209,'Fund 22 Grants'!$D$2:$W$3,2,FALSE)</f>
        <v>#N/A</v>
      </c>
      <c r="B105" s="370"/>
      <c r="C105" s="371" t="e">
        <f>HLOOKUP(209,'Fund 22 Grants'!$D$2:$W$4,3,FALSE)</f>
        <v>#N/A</v>
      </c>
      <c r="D105" s="191"/>
      <c r="E105" s="40">
        <v>0</v>
      </c>
      <c r="F105" s="40"/>
      <c r="G105" s="40">
        <v>0</v>
      </c>
      <c r="H105" s="373">
        <f>IF(ISERROR(HLOOKUP(209,'Fund 22 Grants'!$D$2:$W$117,116,FALSE)),0,(HLOOKUP(209,'Fund 22 Grants'!$D$2:$W$117,116,FALSE)))</f>
        <v>0</v>
      </c>
      <c r="I105" s="40">
        <v>0</v>
      </c>
      <c r="J105" s="492">
        <f t="shared" si="10"/>
        <v>0</v>
      </c>
    </row>
    <row r="106" spans="1:10" x14ac:dyDescent="0.15">
      <c r="A106" s="369" t="e">
        <f>HLOOKUP(210,'Fund 22 Grants'!$D$2:$W$3,2,FALSE)</f>
        <v>#N/A</v>
      </c>
      <c r="B106" s="370"/>
      <c r="C106" s="371" t="e">
        <f>HLOOKUP(210,'Fund 22 Grants'!$D$2:$W$4,3,FALSE)</f>
        <v>#N/A</v>
      </c>
      <c r="D106" s="114"/>
      <c r="E106" s="40">
        <v>0</v>
      </c>
      <c r="F106" s="40"/>
      <c r="G106" s="40">
        <v>0</v>
      </c>
      <c r="H106" s="373">
        <f>IF(ISERROR(HLOOKUP(210,'Fund 22 Grants'!$D$2:$W$117,116,FALSE)),0,(HLOOKUP(210,'Fund 22 Grants'!$D$2:$W$117,116,FALSE)))</f>
        <v>0</v>
      </c>
      <c r="I106" s="40">
        <v>0</v>
      </c>
      <c r="J106" s="492">
        <f t="shared" si="10"/>
        <v>0</v>
      </c>
    </row>
    <row r="107" spans="1:10" x14ac:dyDescent="0.15">
      <c r="A107" s="369" t="e">
        <f>HLOOKUP(211,'Fund 22 Grants'!$D$2:$W$3,2,FALSE)</f>
        <v>#N/A</v>
      </c>
      <c r="B107" s="370"/>
      <c r="C107" s="371" t="e">
        <f>HLOOKUP(211,'Fund 22 Grants'!$D$2:$W$4,3,FALSE)</f>
        <v>#N/A</v>
      </c>
      <c r="D107" s="191"/>
      <c r="E107" s="40">
        <v>0</v>
      </c>
      <c r="F107" s="40"/>
      <c r="G107" s="40">
        <v>0</v>
      </c>
      <c r="H107" s="373">
        <f>IF(ISERROR(HLOOKUP(211,'Fund 22 Grants'!$D$2:$W$117,116,FALSE)),0,(HLOOKUP(211,'Fund 22 Grants'!$D$2:$W$117,116,FALSE)))</f>
        <v>0</v>
      </c>
      <c r="I107" s="40">
        <v>0</v>
      </c>
      <c r="J107" s="492">
        <f t="shared" si="10"/>
        <v>0</v>
      </c>
    </row>
    <row r="108" spans="1:10" x14ac:dyDescent="0.15">
      <c r="A108" s="369" t="e">
        <f>HLOOKUP(212,'Fund 22 Grants'!$D$2:$W$3,2,FALSE)</f>
        <v>#N/A</v>
      </c>
      <c r="B108" s="370"/>
      <c r="C108" s="371" t="e">
        <f>HLOOKUP(212,'Fund 22 Grants'!$D$2:$W$4,3,FALSE)</f>
        <v>#N/A</v>
      </c>
      <c r="E108" s="40">
        <v>0</v>
      </c>
      <c r="F108" s="40"/>
      <c r="G108" s="40">
        <v>0</v>
      </c>
      <c r="H108" s="373">
        <f>IF(ISERROR(HLOOKUP(212,'Fund 22 Grants'!$D$2:$W$117,116,FALSE)),0,(HLOOKUP(212,'Fund 22 Grants'!$D$2:$W$117,116,FALSE)))</f>
        <v>0</v>
      </c>
      <c r="I108" s="40">
        <v>0</v>
      </c>
      <c r="J108" s="492">
        <f t="shared" si="10"/>
        <v>0</v>
      </c>
    </row>
    <row r="109" spans="1:10" ht="11.25" thickBot="1" x14ac:dyDescent="0.2">
      <c r="A109" s="149"/>
      <c r="B109" s="164"/>
      <c r="D109" s="114"/>
      <c r="E109" s="14"/>
      <c r="F109" s="14"/>
      <c r="G109" s="14"/>
      <c r="H109" s="14"/>
      <c r="J109" s="164"/>
    </row>
    <row r="110" spans="1:10" ht="12" thickTop="1" thickBot="1" x14ac:dyDescent="0.2">
      <c r="C110" s="114" t="s">
        <v>803</v>
      </c>
      <c r="E110" s="166">
        <f t="shared" ref="E110:J110" si="11">SUM(E97:E108)</f>
        <v>0</v>
      </c>
      <c r="F110" s="166">
        <f>SUM(F97:F108)</f>
        <v>0</v>
      </c>
      <c r="G110" s="166">
        <f>SUM(G97:G108)</f>
        <v>0</v>
      </c>
      <c r="H110" s="166">
        <f t="shared" si="11"/>
        <v>0</v>
      </c>
      <c r="I110" s="166">
        <f t="shared" si="11"/>
        <v>0</v>
      </c>
      <c r="J110" s="166">
        <f t="shared" si="11"/>
        <v>0</v>
      </c>
    </row>
    <row r="111" spans="1:10" ht="11.25" thickTop="1" x14ac:dyDescent="0.15">
      <c r="F111" s="156"/>
      <c r="G111" s="156"/>
      <c r="J111" s="164"/>
    </row>
    <row r="112" spans="1:10" x14ac:dyDescent="0.15">
      <c r="B112" s="39" t="s">
        <v>586</v>
      </c>
      <c r="D112" s="34"/>
      <c r="F112" s="156"/>
      <c r="G112" s="156"/>
      <c r="J112" s="164"/>
    </row>
    <row r="113" spans="1:10" x14ac:dyDescent="0.15">
      <c r="A113" s="34" t="s">
        <v>1140</v>
      </c>
      <c r="B113" s="156"/>
      <c r="C113" s="34" t="s">
        <v>589</v>
      </c>
      <c r="D113" s="34"/>
      <c r="F113" s="156"/>
      <c r="G113" s="156"/>
      <c r="J113" s="164"/>
    </row>
    <row r="114" spans="1:10" x14ac:dyDescent="0.15">
      <c r="A114" s="34"/>
      <c r="B114" s="156"/>
      <c r="C114" s="39" t="s">
        <v>44</v>
      </c>
      <c r="D114" s="175"/>
      <c r="F114" s="156"/>
      <c r="G114" s="156"/>
      <c r="J114" s="164"/>
    </row>
    <row r="115" spans="1:10" x14ac:dyDescent="0.15">
      <c r="A115" s="369" t="e">
        <f>HLOOKUP(301,'Fund 22 Grants'!$D$2:$W$3,2,FALSE)</f>
        <v>#N/A</v>
      </c>
      <c r="B115" s="370"/>
      <c r="C115" s="371" t="e">
        <f>HLOOKUP(301,'Fund 22 Grants'!$D$2:$W$4,3,FALSE)</f>
        <v>#N/A</v>
      </c>
      <c r="D115" s="175"/>
      <c r="E115" s="40">
        <v>0</v>
      </c>
      <c r="F115" s="40"/>
      <c r="G115" s="40">
        <v>0</v>
      </c>
      <c r="H115" s="373">
        <f>IF(ISERROR(HLOOKUP(301,'Fund 22 Grants'!$D$2:$W$117,116,FALSE)),0,(HLOOKUP(301,'Fund 22 Grants'!$D$2:$W$117,116,FALSE)))</f>
        <v>0</v>
      </c>
      <c r="I115" s="40">
        <v>0</v>
      </c>
      <c r="J115" s="492">
        <f t="shared" ref="J115:J134" si="12">H115+I115</f>
        <v>0</v>
      </c>
    </row>
    <row r="116" spans="1:10" x14ac:dyDescent="0.15">
      <c r="A116" s="369" t="e">
        <f>HLOOKUP(302,'Fund 22 Grants'!$D$2:$W$3,2,FALSE)</f>
        <v>#N/A</v>
      </c>
      <c r="B116" s="370"/>
      <c r="C116" s="371" t="e">
        <f>HLOOKUP(302,'Fund 22 Grants'!$D$2:$W$4,3,FALSE)</f>
        <v>#N/A</v>
      </c>
      <c r="D116" s="175"/>
      <c r="E116" s="40">
        <v>0</v>
      </c>
      <c r="F116" s="40"/>
      <c r="G116" s="40">
        <v>0</v>
      </c>
      <c r="H116" s="373">
        <f>IF(ISERROR(HLOOKUP(302,'Fund 22 Grants'!$D$2:$W$117,116,FALSE)),0,(HLOOKUP(302,'Fund 22 Grants'!$D$2:$W$117,116,FALSE)))</f>
        <v>0</v>
      </c>
      <c r="I116" s="40">
        <v>0</v>
      </c>
      <c r="J116" s="492">
        <f t="shared" si="12"/>
        <v>0</v>
      </c>
    </row>
    <row r="117" spans="1:10" x14ac:dyDescent="0.15">
      <c r="A117" s="369" t="e">
        <f>HLOOKUP(303,'Fund 22 Grants'!$D$2:$W$3,2,FALSE)</f>
        <v>#N/A</v>
      </c>
      <c r="B117" s="370"/>
      <c r="C117" s="371" t="e">
        <f>HLOOKUP(303,'Fund 22 Grants'!$D$2:$W$4,3,FALSE)</f>
        <v>#N/A</v>
      </c>
      <c r="D117" s="175"/>
      <c r="E117" s="40">
        <v>0</v>
      </c>
      <c r="F117" s="40"/>
      <c r="G117" s="40">
        <v>0</v>
      </c>
      <c r="H117" s="373">
        <f>IF(ISERROR(HLOOKUP(303,'Fund 22 Grants'!$D$2:$W$117,116,FALSE)),0,(HLOOKUP(303,'Fund 22 Grants'!$D$2:$W$117,116,FALSE)))</f>
        <v>0</v>
      </c>
      <c r="I117" s="40">
        <v>0</v>
      </c>
      <c r="J117" s="492">
        <f t="shared" si="12"/>
        <v>0</v>
      </c>
    </row>
    <row r="118" spans="1:10" x14ac:dyDescent="0.15">
      <c r="A118" s="369" t="e">
        <f>HLOOKUP(304,'Fund 22 Grants'!$D$2:$W$3,2,FALSE)</f>
        <v>#N/A</v>
      </c>
      <c r="B118" s="370"/>
      <c r="C118" s="371" t="e">
        <f>HLOOKUP(304,'Fund 22 Grants'!$D$2:$W$4,3,FALSE)</f>
        <v>#N/A</v>
      </c>
      <c r="D118" s="175"/>
      <c r="E118" s="40">
        <v>0</v>
      </c>
      <c r="F118" s="40"/>
      <c r="G118" s="40">
        <v>0</v>
      </c>
      <c r="H118" s="373">
        <f>IF(ISERROR(HLOOKUP(304,'Fund 22 Grants'!$D$2:$W$117,116,FALSE)),0,(HLOOKUP(304,'Fund 22 Grants'!$D$2:$W$117,116,FALSE)))</f>
        <v>0</v>
      </c>
      <c r="I118" s="40">
        <v>0</v>
      </c>
      <c r="J118" s="492">
        <f t="shared" si="12"/>
        <v>0</v>
      </c>
    </row>
    <row r="119" spans="1:10" x14ac:dyDescent="0.15">
      <c r="A119" s="369" t="e">
        <f>HLOOKUP(305,'Fund 22 Grants'!$D$2:$W$3,2,FALSE)</f>
        <v>#N/A</v>
      </c>
      <c r="B119" s="370"/>
      <c r="C119" s="371" t="e">
        <f>HLOOKUP(305,'Fund 22 Grants'!$D$2:$W$4,3,FALSE)</f>
        <v>#N/A</v>
      </c>
      <c r="D119" s="175"/>
      <c r="E119" s="40">
        <v>0</v>
      </c>
      <c r="F119" s="40"/>
      <c r="G119" s="40">
        <v>0</v>
      </c>
      <c r="H119" s="373">
        <f>IF(ISERROR(HLOOKUP(305,'Fund 22 Grants'!$D$2:$W$117,116,FALSE)),0,(HLOOKUP(305,'Fund 22 Grants'!$D$2:$W$117,116,FALSE)))</f>
        <v>0</v>
      </c>
      <c r="I119" s="40">
        <v>0</v>
      </c>
      <c r="J119" s="492">
        <f t="shared" si="12"/>
        <v>0</v>
      </c>
    </row>
    <row r="120" spans="1:10" x14ac:dyDescent="0.15">
      <c r="A120" s="369" t="e">
        <f>HLOOKUP(306,'Fund 22 Grants'!$D$2:$W$3,2,FALSE)</f>
        <v>#N/A</v>
      </c>
      <c r="B120" s="370"/>
      <c r="C120" s="371" t="e">
        <f>HLOOKUP(306,'Fund 22 Grants'!$D$2:$W$4,3,FALSE)</f>
        <v>#N/A</v>
      </c>
      <c r="D120" s="175"/>
      <c r="E120" s="40">
        <v>0</v>
      </c>
      <c r="F120" s="40"/>
      <c r="G120" s="40">
        <v>0</v>
      </c>
      <c r="H120" s="373">
        <f>IF(ISERROR(HLOOKUP(306,'Fund 22 Grants'!$D$2:$W$117,116,FALSE)),0,(HLOOKUP(306,'Fund 22 Grants'!$D$2:$W$117,116,FALSE)))</f>
        <v>0</v>
      </c>
      <c r="I120" s="40">
        <v>0</v>
      </c>
      <c r="J120" s="492">
        <f t="shared" si="12"/>
        <v>0</v>
      </c>
    </row>
    <row r="121" spans="1:10" x14ac:dyDescent="0.15">
      <c r="A121" s="369" t="e">
        <f>HLOOKUP(307,'Fund 22 Grants'!$D$2:$W$3,2,FALSE)</f>
        <v>#N/A</v>
      </c>
      <c r="B121" s="370"/>
      <c r="C121" s="371" t="e">
        <f>HLOOKUP(307,'Fund 22 Grants'!$D$2:$W$4,3,FALSE)</f>
        <v>#N/A</v>
      </c>
      <c r="D121" s="175"/>
      <c r="E121" s="40">
        <v>0</v>
      </c>
      <c r="F121" s="40"/>
      <c r="G121" s="40">
        <v>0</v>
      </c>
      <c r="H121" s="373">
        <f>IF(ISERROR(HLOOKUP(307,'Fund 22 Grants'!$D$2:$W$117,116,FALSE)),0,(HLOOKUP(307,'Fund 22 Grants'!$D$2:$W$117,116,FALSE)))</f>
        <v>0</v>
      </c>
      <c r="I121" s="40">
        <v>0</v>
      </c>
      <c r="J121" s="492">
        <f t="shared" si="12"/>
        <v>0</v>
      </c>
    </row>
    <row r="122" spans="1:10" x14ac:dyDescent="0.15">
      <c r="A122" s="369" t="e">
        <f>HLOOKUP(308,'Fund 22 Grants'!$D$2:$W$3,2,FALSE)</f>
        <v>#N/A</v>
      </c>
      <c r="B122" s="370"/>
      <c r="C122" s="371" t="e">
        <f>HLOOKUP(308,'Fund 22 Grants'!$D$2:$W$4,3,FALSE)</f>
        <v>#N/A</v>
      </c>
      <c r="D122" s="175"/>
      <c r="E122" s="40">
        <v>0</v>
      </c>
      <c r="F122" s="40"/>
      <c r="G122" s="40">
        <v>0</v>
      </c>
      <c r="H122" s="373">
        <f>IF(ISERROR(HLOOKUP(308,'Fund 22 Grants'!$D$2:$W$117,116,FALSE)),0,(HLOOKUP(308,'Fund 22 Grants'!$D$2:$W$117,116,FALSE)))</f>
        <v>0</v>
      </c>
      <c r="I122" s="40">
        <v>0</v>
      </c>
      <c r="J122" s="492">
        <f t="shared" si="12"/>
        <v>0</v>
      </c>
    </row>
    <row r="123" spans="1:10" x14ac:dyDescent="0.15">
      <c r="A123" s="369" t="e">
        <f>HLOOKUP(309,'Fund 22 Grants'!$D$2:$W$3,2,FALSE)</f>
        <v>#N/A</v>
      </c>
      <c r="B123" s="370"/>
      <c r="C123" s="371" t="e">
        <f>HLOOKUP(309,'Fund 22 Grants'!$D$2:$W$4,3,FALSE)</f>
        <v>#N/A</v>
      </c>
      <c r="D123" s="175"/>
      <c r="E123" s="40">
        <v>0</v>
      </c>
      <c r="F123" s="40"/>
      <c r="G123" s="40">
        <v>0</v>
      </c>
      <c r="H123" s="373">
        <f>IF(ISERROR(HLOOKUP(309,'Fund 22 Grants'!$D$2:$W$117,116,FALSE)),0,(HLOOKUP(309,'Fund 22 Grants'!$D$2:$W$117,116,FALSE)))</f>
        <v>0</v>
      </c>
      <c r="I123" s="40">
        <v>0</v>
      </c>
      <c r="J123" s="492">
        <f t="shared" si="12"/>
        <v>0</v>
      </c>
    </row>
    <row r="124" spans="1:10" x14ac:dyDescent="0.15">
      <c r="A124" s="369" t="e">
        <f>HLOOKUP(310,'Fund 22 Grants'!$D$2:$W$3,2,FALSE)</f>
        <v>#N/A</v>
      </c>
      <c r="B124" s="370"/>
      <c r="C124" s="371" t="e">
        <f>HLOOKUP(310,'Fund 22 Grants'!$D$2:$W$4,3,FALSE)</f>
        <v>#N/A</v>
      </c>
      <c r="D124" s="175"/>
      <c r="E124" s="40">
        <v>0</v>
      </c>
      <c r="F124" s="40"/>
      <c r="G124" s="40">
        <v>0</v>
      </c>
      <c r="H124" s="373">
        <f>IF(ISERROR(HLOOKUP(310,'Fund 22 Grants'!$D$2:$W$117,116,FALSE)),0,(HLOOKUP(310,'Fund 22 Grants'!$D$2:$W$117,116,FALSE)))</f>
        <v>0</v>
      </c>
      <c r="I124" s="40">
        <v>0</v>
      </c>
      <c r="J124" s="492">
        <f t="shared" si="12"/>
        <v>0</v>
      </c>
    </row>
    <row r="125" spans="1:10" x14ac:dyDescent="0.15">
      <c r="A125" s="369" t="e">
        <f>HLOOKUP(311,'Fund 22 Grants'!$D$2:$W$3,2,FALSE)</f>
        <v>#N/A</v>
      </c>
      <c r="B125" s="370"/>
      <c r="C125" s="371" t="e">
        <f>HLOOKUP(311,'Fund 22 Grants'!$D$2:$W$4,3,FALSE)</f>
        <v>#N/A</v>
      </c>
      <c r="D125" s="175"/>
      <c r="E125" s="40">
        <v>0</v>
      </c>
      <c r="F125" s="40"/>
      <c r="G125" s="40">
        <v>0</v>
      </c>
      <c r="H125" s="373">
        <f>IF(ISERROR(HLOOKUP(311,'Fund 22 Grants'!$D$2:$W$117,116,FALSE)),0,(HLOOKUP(311,'Fund 22 Grants'!$D$2:$W$117,116,FALSE)))</f>
        <v>0</v>
      </c>
      <c r="I125" s="40">
        <v>0</v>
      </c>
      <c r="J125" s="492">
        <f t="shared" si="12"/>
        <v>0</v>
      </c>
    </row>
    <row r="126" spans="1:10" x14ac:dyDescent="0.15">
      <c r="A126" s="369" t="e">
        <f>HLOOKUP(312,'Fund 22 Grants'!$D$2:$W$3,2,FALSE)</f>
        <v>#N/A</v>
      </c>
      <c r="B126" s="370"/>
      <c r="C126" s="371" t="e">
        <f>HLOOKUP(312,'Fund 22 Grants'!$D$2:$W$4,3,FALSE)</f>
        <v>#N/A</v>
      </c>
      <c r="D126" s="175"/>
      <c r="E126" s="40">
        <v>0</v>
      </c>
      <c r="F126" s="40"/>
      <c r="G126" s="40">
        <v>0</v>
      </c>
      <c r="H126" s="373">
        <f>IF(ISERROR(HLOOKUP(312,'Fund 22 Grants'!$D$2:$W$117,116,FALSE)),0,(HLOOKUP(312,'Fund 22 Grants'!$D$2:$W$117,116,FALSE)))</f>
        <v>0</v>
      </c>
      <c r="I126" s="40">
        <v>0</v>
      </c>
      <c r="J126" s="492">
        <f t="shared" si="12"/>
        <v>0</v>
      </c>
    </row>
    <row r="127" spans="1:10" x14ac:dyDescent="0.15">
      <c r="A127" s="369" t="e">
        <f>HLOOKUP(313,'Fund 22 Grants'!$D$2:$W$3,2,FALSE)</f>
        <v>#N/A</v>
      </c>
      <c r="B127" s="370"/>
      <c r="C127" s="371" t="e">
        <f>HLOOKUP(313,'Fund 22 Grants'!$D$2:$W$4,3,FALSE)</f>
        <v>#N/A</v>
      </c>
      <c r="D127" s="175"/>
      <c r="E127" s="40">
        <v>0</v>
      </c>
      <c r="F127" s="40"/>
      <c r="G127" s="40">
        <v>0</v>
      </c>
      <c r="H127" s="373">
        <f>IF(ISERROR(HLOOKUP(313,'Fund 22 Grants'!$D$2:$W$117,116,FALSE)),0,(HLOOKUP(313,'Fund 22 Grants'!$D$2:$W$117,116,FALSE)))</f>
        <v>0</v>
      </c>
      <c r="I127" s="40">
        <v>0</v>
      </c>
      <c r="J127" s="492">
        <f t="shared" si="12"/>
        <v>0</v>
      </c>
    </row>
    <row r="128" spans="1:10" x14ac:dyDescent="0.15">
      <c r="A128" s="369" t="e">
        <f>HLOOKUP(314,'Fund 22 Grants'!$D$2:$W$3,2,FALSE)</f>
        <v>#N/A</v>
      </c>
      <c r="B128" s="370"/>
      <c r="C128" s="371" t="e">
        <f>HLOOKUP(314,'Fund 22 Grants'!$D$2:$W$4,3,FALSE)</f>
        <v>#N/A</v>
      </c>
      <c r="D128" s="175"/>
      <c r="E128" s="40">
        <v>0</v>
      </c>
      <c r="F128" s="40"/>
      <c r="G128" s="40">
        <v>0</v>
      </c>
      <c r="H128" s="373">
        <f>IF(ISERROR(HLOOKUP(314,'Fund 22 Grants'!$D$2:$W$117,116,FALSE)),0,(HLOOKUP(314,'Fund 22 Grants'!$D$2:$W$117,116,FALSE)))</f>
        <v>0</v>
      </c>
      <c r="I128" s="40">
        <v>0</v>
      </c>
      <c r="J128" s="492">
        <f t="shared" si="12"/>
        <v>0</v>
      </c>
    </row>
    <row r="129" spans="1:10" x14ac:dyDescent="0.15">
      <c r="A129" s="369" t="e">
        <f>HLOOKUP(315,'Fund 22 Grants'!$D$2:$W$3,2,FALSE)</f>
        <v>#N/A</v>
      </c>
      <c r="B129" s="370"/>
      <c r="C129" s="371" t="e">
        <f>HLOOKUP(315,'Fund 22 Grants'!$D$2:$W$4,3,FALSE)</f>
        <v>#N/A</v>
      </c>
      <c r="D129" s="175"/>
      <c r="E129" s="40">
        <v>0</v>
      </c>
      <c r="F129" s="40"/>
      <c r="G129" s="40">
        <v>0</v>
      </c>
      <c r="H129" s="373">
        <f>IF(ISERROR(HLOOKUP(315,'Fund 22 Grants'!$D$2:$W$117,116,FALSE)),0,(HLOOKUP(315,'Fund 22 Grants'!$D$2:$W$117,116,FALSE)))</f>
        <v>0</v>
      </c>
      <c r="I129" s="40">
        <v>0</v>
      </c>
      <c r="J129" s="492">
        <f t="shared" si="12"/>
        <v>0</v>
      </c>
    </row>
    <row r="130" spans="1:10" x14ac:dyDescent="0.15">
      <c r="A130" s="369" t="e">
        <f>HLOOKUP(316,'Fund 22 Grants'!$D$2:$W$3,2,FALSE)</f>
        <v>#N/A</v>
      </c>
      <c r="B130" s="370"/>
      <c r="C130" s="371" t="e">
        <f>HLOOKUP(316,'Fund 22 Grants'!$D$2:$W$4,3,FALSE)</f>
        <v>#N/A</v>
      </c>
      <c r="D130" s="175"/>
      <c r="E130" s="40">
        <v>0</v>
      </c>
      <c r="F130" s="40"/>
      <c r="G130" s="40">
        <v>0</v>
      </c>
      <c r="H130" s="373">
        <f>IF(ISERROR(HLOOKUP(316,'Fund 22 Grants'!$D$2:$W$117,116,FALSE)),0,(HLOOKUP(316,'Fund 22 Grants'!$D$2:$W$117,116,FALSE)))</f>
        <v>0</v>
      </c>
      <c r="I130" s="40">
        <v>0</v>
      </c>
      <c r="J130" s="492">
        <f t="shared" si="12"/>
        <v>0</v>
      </c>
    </row>
    <row r="131" spans="1:10" x14ac:dyDescent="0.15">
      <c r="A131" s="369" t="e">
        <f>HLOOKUP(317,'Fund 22 Grants'!$D$2:$W$3,2,FALSE)</f>
        <v>#N/A</v>
      </c>
      <c r="B131" s="370"/>
      <c r="C131" s="371" t="e">
        <f>HLOOKUP(317,'Fund 22 Grants'!$D$2:$W$4,3,FALSE)</f>
        <v>#N/A</v>
      </c>
      <c r="D131" s="175"/>
      <c r="E131" s="40">
        <v>0</v>
      </c>
      <c r="F131" s="40"/>
      <c r="G131" s="40">
        <v>0</v>
      </c>
      <c r="H131" s="373">
        <f>IF(ISERROR(HLOOKUP(317,'Fund 22 Grants'!$D$2:$W$117,116,FALSE)),0,(HLOOKUP(317,'Fund 22 Grants'!$D$2:$W$117,116,FALSE)))</f>
        <v>0</v>
      </c>
      <c r="I131" s="40">
        <v>0</v>
      </c>
      <c r="J131" s="492">
        <f t="shared" si="12"/>
        <v>0</v>
      </c>
    </row>
    <row r="132" spans="1:10" x14ac:dyDescent="0.15">
      <c r="A132" s="369" t="e">
        <f>HLOOKUP(318,'Fund 22 Grants'!$D$2:$W$3,2,FALSE)</f>
        <v>#N/A</v>
      </c>
      <c r="B132" s="370"/>
      <c r="C132" s="371" t="e">
        <f>HLOOKUP(318,'Fund 22 Grants'!$D$2:$W$4,3,FALSE)</f>
        <v>#N/A</v>
      </c>
      <c r="D132" s="175"/>
      <c r="E132" s="40">
        <v>0</v>
      </c>
      <c r="F132" s="40"/>
      <c r="G132" s="40">
        <v>0</v>
      </c>
      <c r="H132" s="373">
        <f>IF(ISERROR(HLOOKUP(318,'Fund 22 Grants'!$D$2:$W$117,116,FALSE)),0,(HLOOKUP(318,'Fund 22 Grants'!$D$2:$W$117,116,FALSE)))</f>
        <v>0</v>
      </c>
      <c r="I132" s="40">
        <v>0</v>
      </c>
      <c r="J132" s="492">
        <f t="shared" si="12"/>
        <v>0</v>
      </c>
    </row>
    <row r="133" spans="1:10" x14ac:dyDescent="0.15">
      <c r="A133" s="369" t="e">
        <f>HLOOKUP(319,'Fund 22 Grants'!$D$2:$W$3,2,FALSE)</f>
        <v>#N/A</v>
      </c>
      <c r="B133" s="370"/>
      <c r="C133" s="371" t="e">
        <f>HLOOKUP(319,'Fund 22 Grants'!$D$2:$W$4,3,FALSE)</f>
        <v>#N/A</v>
      </c>
      <c r="D133" s="191"/>
      <c r="E133" s="40">
        <v>0</v>
      </c>
      <c r="F133" s="40"/>
      <c r="G133" s="40">
        <v>0</v>
      </c>
      <c r="H133" s="373">
        <f>IF(ISERROR(HLOOKUP(319,'Fund 22 Grants'!$D$2:$W$117,116,FALSE)),0,(HLOOKUP(319,'Fund 22 Grants'!$D$2:$W$117,116,FALSE)))</f>
        <v>0</v>
      </c>
      <c r="I133" s="40">
        <v>0</v>
      </c>
      <c r="J133" s="492">
        <f t="shared" si="12"/>
        <v>0</v>
      </c>
    </row>
    <row r="134" spans="1:10" x14ac:dyDescent="0.15">
      <c r="A134" s="369" t="e">
        <f>HLOOKUP(320,'Fund 22 Grants'!$D$2:$W$3,2,FALSE)</f>
        <v>#N/A</v>
      </c>
      <c r="B134" s="370"/>
      <c r="C134" s="371" t="e">
        <f>HLOOKUP(320,'Fund 22 Grants'!$D$2:$W$4,3,FALSE)</f>
        <v>#N/A</v>
      </c>
      <c r="D134" s="114"/>
      <c r="E134" s="40">
        <v>0</v>
      </c>
      <c r="F134" s="40"/>
      <c r="G134" s="40">
        <v>0</v>
      </c>
      <c r="H134" s="373">
        <f>IF(ISERROR(HLOOKUP(320,'Fund 22 Grants'!$D$2:$W$117,116,FALSE)),0,(HLOOKUP(320,'Fund 22 Grants'!$D$2:$W$117,116,FALSE)))</f>
        <v>0</v>
      </c>
      <c r="I134" s="40">
        <v>0</v>
      </c>
      <c r="J134" s="492">
        <f t="shared" si="12"/>
        <v>0</v>
      </c>
    </row>
    <row r="135" spans="1:10" ht="11.25" thickBot="1" x14ac:dyDescent="0.2">
      <c r="A135" s="191"/>
      <c r="B135" s="164"/>
      <c r="C135" s="114"/>
      <c r="D135" s="114"/>
      <c r="E135" s="14"/>
      <c r="F135" s="14"/>
      <c r="G135" s="14"/>
      <c r="H135" s="14"/>
      <c r="J135" s="164"/>
    </row>
    <row r="136" spans="1:10" ht="12" thickTop="1" thickBot="1" x14ac:dyDescent="0.2">
      <c r="C136" s="114" t="s">
        <v>802</v>
      </c>
      <c r="E136" s="166">
        <f t="shared" ref="E136:J136" si="13">SUM(E115:E135)</f>
        <v>0</v>
      </c>
      <c r="F136" s="166">
        <f t="shared" si="13"/>
        <v>0</v>
      </c>
      <c r="G136" s="166">
        <f>SUM(G115:G135)</f>
        <v>0</v>
      </c>
      <c r="H136" s="166">
        <f t="shared" si="13"/>
        <v>0</v>
      </c>
      <c r="I136" s="166">
        <f t="shared" si="13"/>
        <v>0</v>
      </c>
      <c r="J136" s="166">
        <f t="shared" si="13"/>
        <v>0</v>
      </c>
    </row>
    <row r="137" spans="1:10" ht="11.25" thickTop="1" x14ac:dyDescent="0.15">
      <c r="F137" s="156"/>
      <c r="G137" s="156"/>
      <c r="J137" s="164"/>
    </row>
    <row r="138" spans="1:10" x14ac:dyDescent="0.15">
      <c r="B138" s="39" t="s">
        <v>741</v>
      </c>
      <c r="D138" s="34"/>
      <c r="F138" s="156"/>
      <c r="G138" s="156"/>
      <c r="J138" s="164"/>
    </row>
    <row r="139" spans="1:10" x14ac:dyDescent="0.15">
      <c r="A139" s="34" t="s">
        <v>1140</v>
      </c>
      <c r="B139" s="156"/>
      <c r="C139" s="34" t="s">
        <v>725</v>
      </c>
      <c r="D139" s="198"/>
      <c r="F139" s="156"/>
      <c r="G139" s="156"/>
      <c r="J139" s="164"/>
    </row>
    <row r="140" spans="1:10" x14ac:dyDescent="0.15">
      <c r="A140" s="369">
        <f>HLOOKUP(101,'Fund 22 Grants'!$D$2:$W$3,2,FALSE)</f>
        <v>0</v>
      </c>
      <c r="B140" s="370"/>
      <c r="C140" s="371">
        <f>HLOOKUP(101,'Fund 22 Grants'!$D$2:$W$4,3,FALSE)</f>
        <v>0</v>
      </c>
      <c r="D140" s="198"/>
      <c r="E140" s="40">
        <v>0</v>
      </c>
      <c r="F140" s="40"/>
      <c r="G140" s="40">
        <v>0</v>
      </c>
      <c r="H140" s="373">
        <f>IF(ISERROR(HLOOKUP(101,'Fund 22 Grants'!$D$2:$W$117,116,FALSE)),0,(HLOOKUP(101,'Fund 22 Grants'!$D$2:$W$117,116,FALSE)))</f>
        <v>0</v>
      </c>
      <c r="I140" s="40">
        <v>0</v>
      </c>
      <c r="J140" s="492">
        <f t="shared" ref="J140:J149" si="14">H140+I140</f>
        <v>0</v>
      </c>
    </row>
    <row r="141" spans="1:10" x14ac:dyDescent="0.15">
      <c r="A141" s="369">
        <f>HLOOKUP(102,'Fund 22 Grants'!$D$2:$W$3,2,FALSE)</f>
        <v>0</v>
      </c>
      <c r="B141" s="370"/>
      <c r="C141" s="371">
        <f>HLOOKUP(102,'Fund 22 Grants'!$D$2:$W$4,3,FALSE)</f>
        <v>0</v>
      </c>
      <c r="D141" s="198"/>
      <c r="E141" s="40">
        <v>0</v>
      </c>
      <c r="F141" s="40"/>
      <c r="G141" s="40">
        <v>0</v>
      </c>
      <c r="H141" s="373">
        <f>IF(ISERROR(HLOOKUP(102,'Fund 22 Grants'!$D$2:$W$117,116,FALSE)),0,(HLOOKUP(102,'Fund 22 Grants'!$D$2:$W$117,116,FALSE)))</f>
        <v>0</v>
      </c>
      <c r="I141" s="40">
        <v>0</v>
      </c>
      <c r="J141" s="492">
        <f t="shared" si="14"/>
        <v>0</v>
      </c>
    </row>
    <row r="142" spans="1:10" x14ac:dyDescent="0.15">
      <c r="A142" s="369">
        <f>HLOOKUP(103,'Fund 22 Grants'!$D$2:$W$3,2,FALSE)</f>
        <v>0</v>
      </c>
      <c r="B142" s="370"/>
      <c r="C142" s="371">
        <f>HLOOKUP(103,'Fund 22 Grants'!$D$2:$W$4,3,FALSE)</f>
        <v>0</v>
      </c>
      <c r="D142" s="198"/>
      <c r="E142" s="40">
        <v>0</v>
      </c>
      <c r="F142" s="40"/>
      <c r="G142" s="40">
        <v>0</v>
      </c>
      <c r="H142" s="373">
        <f>IF(ISERROR(HLOOKUP(103,'Fund 22 Grants'!$D$2:$W$117,116,FALSE)),0,(HLOOKUP(103,'Fund 22 Grants'!$D$2:$W$117,116,FALSE)))</f>
        <v>0</v>
      </c>
      <c r="I142" s="40">
        <v>0</v>
      </c>
      <c r="J142" s="492">
        <f t="shared" si="14"/>
        <v>0</v>
      </c>
    </row>
    <row r="143" spans="1:10" x14ac:dyDescent="0.15">
      <c r="A143" s="369">
        <f>HLOOKUP(104,'Fund 22 Grants'!$D$2:$W$3,2,FALSE)</f>
        <v>0</v>
      </c>
      <c r="B143" s="370"/>
      <c r="C143" s="371">
        <f>HLOOKUP(104,'Fund 22 Grants'!$D$2:$W$4,3,FALSE)</f>
        <v>0</v>
      </c>
      <c r="D143" s="198"/>
      <c r="E143" s="40">
        <v>0</v>
      </c>
      <c r="F143" s="40"/>
      <c r="G143" s="40">
        <v>0</v>
      </c>
      <c r="H143" s="373">
        <f>IF(ISERROR(HLOOKUP(104,'Fund 22 Grants'!$D$2:$W$117,116,FALSE)),0,(HLOOKUP(104,'Fund 22 Grants'!$D$2:$W$117,116,FALSE)))</f>
        <v>0</v>
      </c>
      <c r="I143" s="40">
        <v>0</v>
      </c>
      <c r="J143" s="492">
        <f t="shared" si="14"/>
        <v>0</v>
      </c>
    </row>
    <row r="144" spans="1:10" x14ac:dyDescent="0.15">
      <c r="A144" s="369">
        <f>HLOOKUP(105,'Fund 22 Grants'!$D$2:$W$3,2,FALSE)</f>
        <v>0</v>
      </c>
      <c r="B144" s="370"/>
      <c r="C144" s="371">
        <f>HLOOKUP(105,'Fund 22 Grants'!$D$2:$W$4,3,FALSE)</f>
        <v>0</v>
      </c>
      <c r="D144" s="198"/>
      <c r="E144" s="40">
        <v>0</v>
      </c>
      <c r="F144" s="40"/>
      <c r="G144" s="40">
        <v>0</v>
      </c>
      <c r="H144" s="373">
        <f>IF(ISERROR(HLOOKUP(105,'Fund 22 Grants'!$D$2:$W$117,116,FALSE)),0,(HLOOKUP(105,'Fund 22 Grants'!$D$2:$W$117,116,FALSE)))</f>
        <v>0</v>
      </c>
      <c r="I144" s="40">
        <v>0</v>
      </c>
      <c r="J144" s="492">
        <f t="shared" si="14"/>
        <v>0</v>
      </c>
    </row>
    <row r="145" spans="1:10" x14ac:dyDescent="0.15">
      <c r="A145" s="369">
        <f>HLOOKUP(106,'Fund 22 Grants'!$D$2:$W$3,2,FALSE)</f>
        <v>0</v>
      </c>
      <c r="B145" s="370"/>
      <c r="C145" s="371">
        <f>HLOOKUP(106,'Fund 22 Grants'!$D$2:$W$4,3,FALSE)</f>
        <v>0</v>
      </c>
      <c r="D145" s="198"/>
      <c r="E145" s="40">
        <v>0</v>
      </c>
      <c r="F145" s="40"/>
      <c r="G145" s="40">
        <v>0</v>
      </c>
      <c r="H145" s="373">
        <f>IF(ISERROR(HLOOKUP(106,'Fund 22 Grants'!$D$2:$W$117,116,FALSE)),0,(HLOOKUP(106,'Fund 22 Grants'!$D$2:$W$117,116,FALSE)))</f>
        <v>0</v>
      </c>
      <c r="I145" s="40">
        <v>0</v>
      </c>
      <c r="J145" s="492">
        <f t="shared" si="14"/>
        <v>0</v>
      </c>
    </row>
    <row r="146" spans="1:10" x14ac:dyDescent="0.15">
      <c r="A146" s="369">
        <f>HLOOKUP(107,'Fund 22 Grants'!$D$2:$W$3,2,FALSE)</f>
        <v>0</v>
      </c>
      <c r="B146" s="370"/>
      <c r="C146" s="371">
        <f>HLOOKUP(107,'Fund 22 Grants'!$D$2:$W$4,3,FALSE)</f>
        <v>0</v>
      </c>
      <c r="D146" s="198"/>
      <c r="E146" s="40">
        <v>0</v>
      </c>
      <c r="F146" s="40"/>
      <c r="G146" s="40">
        <v>0</v>
      </c>
      <c r="H146" s="373">
        <f>IF(ISERROR(HLOOKUP(107,'Fund 22 Grants'!$D$2:$W$117,116,FALSE)),0,(HLOOKUP(107,'Fund 22 Grants'!$D$2:$W$117,116,FALSE)))</f>
        <v>0</v>
      </c>
      <c r="I146" s="40">
        <v>0</v>
      </c>
      <c r="J146" s="492">
        <f t="shared" si="14"/>
        <v>0</v>
      </c>
    </row>
    <row r="147" spans="1:10" x14ac:dyDescent="0.15">
      <c r="A147" s="369">
        <f>HLOOKUP(108,'Fund 22 Grants'!$D$2:$W$3,2,FALSE)</f>
        <v>0</v>
      </c>
      <c r="B147" s="370"/>
      <c r="C147" s="371">
        <f>HLOOKUP(108,'Fund 22 Grants'!$D$2:$W$4,3,FALSE)</f>
        <v>0</v>
      </c>
      <c r="D147" s="198"/>
      <c r="E147" s="40">
        <v>0</v>
      </c>
      <c r="F147" s="40"/>
      <c r="G147" s="40">
        <v>0</v>
      </c>
      <c r="H147" s="373">
        <f>IF(ISERROR(HLOOKUP(108,'Fund 22 Grants'!$D$2:$W$117,116,FALSE)),0,(HLOOKUP(108,'Fund 22 Grants'!$D$2:$W$117,116,FALSE)))</f>
        <v>0</v>
      </c>
      <c r="I147" s="40">
        <v>0</v>
      </c>
      <c r="J147" s="492">
        <f t="shared" si="14"/>
        <v>0</v>
      </c>
    </row>
    <row r="148" spans="1:10" x14ac:dyDescent="0.15">
      <c r="A148" s="369">
        <f>HLOOKUP(109,'Fund 22 Grants'!$D$2:$W$3,2,FALSE)</f>
        <v>0</v>
      </c>
      <c r="B148" s="370"/>
      <c r="C148" s="371">
        <f>HLOOKUP(109,'Fund 22 Grants'!$D$2:$W$4,3,FALSE)</f>
        <v>0</v>
      </c>
      <c r="D148" s="198"/>
      <c r="E148" s="40">
        <v>0</v>
      </c>
      <c r="F148" s="40"/>
      <c r="G148" s="40">
        <v>0</v>
      </c>
      <c r="H148" s="373">
        <f>IF(ISERROR(HLOOKUP(109,'Fund 22 Grants'!$D$2:$W$117,116,FALSE)),0,(HLOOKUP(109,'Fund 22 Grants'!$D$2:$W$117,116,FALSE)))</f>
        <v>0</v>
      </c>
      <c r="I148" s="40">
        <v>0</v>
      </c>
      <c r="J148" s="492">
        <f t="shared" si="14"/>
        <v>0</v>
      </c>
    </row>
    <row r="149" spans="1:10" x14ac:dyDescent="0.15">
      <c r="A149" s="369">
        <f>HLOOKUP(110,'Fund 22 Grants'!$D$2:$W$3,2,FALSE)</f>
        <v>0</v>
      </c>
      <c r="B149" s="370"/>
      <c r="C149" s="371">
        <f>HLOOKUP(110,'Fund 22 Grants'!$D$2:$W$4,3,FALSE)</f>
        <v>0</v>
      </c>
      <c r="D149" s="39"/>
      <c r="E149" s="40">
        <v>0</v>
      </c>
      <c r="F149" s="40"/>
      <c r="G149" s="40">
        <v>0</v>
      </c>
      <c r="H149" s="373">
        <f>IF(ISERROR(HLOOKUP(110,'Fund 22 Grants'!$D$2:$W$117,116,FALSE)),0,(HLOOKUP(110,'Fund 22 Grants'!$D$2:$W$117,116,FALSE)))</f>
        <v>0</v>
      </c>
      <c r="I149" s="40">
        <v>0</v>
      </c>
      <c r="J149" s="492">
        <f t="shared" si="14"/>
        <v>0</v>
      </c>
    </row>
    <row r="150" spans="1:10" ht="11.25" thickBot="1" x14ac:dyDescent="0.2">
      <c r="C150" s="39"/>
      <c r="D150" s="114"/>
      <c r="F150" s="156"/>
      <c r="G150" s="156"/>
      <c r="J150" s="164"/>
    </row>
    <row r="151" spans="1:10" ht="12" thickTop="1" thickBot="1" x14ac:dyDescent="0.2">
      <c r="A151" s="114" t="s">
        <v>832</v>
      </c>
      <c r="C151" s="114" t="s">
        <v>624</v>
      </c>
      <c r="E151" s="148">
        <f t="shared" ref="E151:J151" si="15">SUM(E140:E150)</f>
        <v>0</v>
      </c>
      <c r="F151" s="148">
        <f t="shared" si="15"/>
        <v>0</v>
      </c>
      <c r="G151" s="148">
        <f>SUM(G140:G150)</f>
        <v>0</v>
      </c>
      <c r="H151" s="148">
        <f t="shared" si="15"/>
        <v>0</v>
      </c>
      <c r="I151" s="148">
        <f t="shared" si="15"/>
        <v>0</v>
      </c>
      <c r="J151" s="166">
        <f t="shared" si="15"/>
        <v>0</v>
      </c>
    </row>
    <row r="152" spans="1:10" ht="12" thickTop="1" thickBot="1" x14ac:dyDescent="0.2">
      <c r="D152" s="114"/>
      <c r="F152" s="156"/>
      <c r="G152" s="156"/>
      <c r="J152" s="164"/>
    </row>
    <row r="153" spans="1:10" ht="12" thickTop="1" thickBot="1" x14ac:dyDescent="0.2">
      <c r="C153" s="114" t="s">
        <v>960</v>
      </c>
      <c r="D153" s="114"/>
      <c r="E153" s="190">
        <f t="shared" ref="E153:J153" si="16">E110+E136+E151</f>
        <v>0</v>
      </c>
      <c r="F153" s="190">
        <f t="shared" si="16"/>
        <v>0</v>
      </c>
      <c r="G153" s="190">
        <f t="shared" si="16"/>
        <v>0</v>
      </c>
      <c r="H153" s="190">
        <f t="shared" si="16"/>
        <v>0</v>
      </c>
      <c r="I153" s="190">
        <f t="shared" si="16"/>
        <v>0</v>
      </c>
      <c r="J153" s="528">
        <f t="shared" si="16"/>
        <v>0</v>
      </c>
    </row>
    <row r="154" spans="1:10" ht="11.25" thickTop="1" x14ac:dyDescent="0.15">
      <c r="C154" s="114"/>
      <c r="D154" s="114"/>
      <c r="F154" s="156"/>
      <c r="G154" s="156"/>
      <c r="J154" s="164"/>
    </row>
    <row r="155" spans="1:10" x14ac:dyDescent="0.15">
      <c r="B155" s="21" t="s">
        <v>807</v>
      </c>
      <c r="C155" s="114"/>
      <c r="D155" s="34"/>
      <c r="F155" s="156"/>
      <c r="G155" s="156"/>
      <c r="J155" s="164"/>
    </row>
    <row r="156" spans="1:10" x14ac:dyDescent="0.15">
      <c r="A156" s="34" t="s">
        <v>1140</v>
      </c>
      <c r="C156" s="34" t="s">
        <v>462</v>
      </c>
      <c r="D156" s="199"/>
      <c r="F156" s="156"/>
      <c r="G156" s="156"/>
      <c r="J156" s="164"/>
    </row>
    <row r="157" spans="1:10" x14ac:dyDescent="0.15">
      <c r="A157" s="365"/>
      <c r="C157" s="192"/>
      <c r="D157" s="199"/>
      <c r="E157" s="40">
        <v>0</v>
      </c>
      <c r="F157" s="40"/>
      <c r="G157" s="40">
        <v>0</v>
      </c>
      <c r="H157" s="40">
        <v>0</v>
      </c>
      <c r="I157" s="40">
        <v>0</v>
      </c>
      <c r="J157" s="492">
        <f t="shared" ref="J157:J165" si="17">H157+I157</f>
        <v>0</v>
      </c>
    </row>
    <row r="158" spans="1:10" x14ac:dyDescent="0.15">
      <c r="A158" s="365"/>
      <c r="C158" s="192"/>
      <c r="D158" s="199"/>
      <c r="E158" s="40">
        <v>0</v>
      </c>
      <c r="F158" s="40"/>
      <c r="G158" s="40">
        <v>0</v>
      </c>
      <c r="H158" s="40">
        <v>0</v>
      </c>
      <c r="I158" s="40">
        <v>0</v>
      </c>
      <c r="J158" s="492">
        <f t="shared" si="17"/>
        <v>0</v>
      </c>
    </row>
    <row r="159" spans="1:10" x14ac:dyDescent="0.15">
      <c r="A159" s="365"/>
      <c r="C159" s="192"/>
      <c r="D159" s="199"/>
      <c r="E159" s="40">
        <v>0</v>
      </c>
      <c r="F159" s="40"/>
      <c r="G159" s="40">
        <v>0</v>
      </c>
      <c r="H159" s="40">
        <v>0</v>
      </c>
      <c r="I159" s="40">
        <v>0</v>
      </c>
      <c r="J159" s="492">
        <f t="shared" si="17"/>
        <v>0</v>
      </c>
    </row>
    <row r="160" spans="1:10" x14ac:dyDescent="0.15">
      <c r="A160" s="365"/>
      <c r="C160" s="192"/>
      <c r="D160" s="199"/>
      <c r="E160" s="40">
        <v>0</v>
      </c>
      <c r="F160" s="40"/>
      <c r="G160" s="40">
        <v>0</v>
      </c>
      <c r="H160" s="40">
        <v>0</v>
      </c>
      <c r="I160" s="40">
        <v>0</v>
      </c>
      <c r="J160" s="492">
        <f t="shared" si="17"/>
        <v>0</v>
      </c>
    </row>
    <row r="161" spans="1:10" ht="10.5" customHeight="1" x14ac:dyDescent="0.15">
      <c r="A161" s="365"/>
      <c r="C161" s="192"/>
      <c r="D161" s="199"/>
      <c r="E161" s="40">
        <v>0</v>
      </c>
      <c r="F161" s="40"/>
      <c r="G161" s="40">
        <v>0</v>
      </c>
      <c r="H161" s="40">
        <v>0</v>
      </c>
      <c r="I161" s="40">
        <v>0</v>
      </c>
      <c r="J161" s="492">
        <f t="shared" si="17"/>
        <v>0</v>
      </c>
    </row>
    <row r="162" spans="1:10" x14ac:dyDescent="0.15">
      <c r="A162" s="365"/>
      <c r="C162" s="192"/>
      <c r="D162" s="199"/>
      <c r="E162" s="40">
        <v>0</v>
      </c>
      <c r="F162" s="40"/>
      <c r="G162" s="40">
        <v>0</v>
      </c>
      <c r="H162" s="40">
        <v>0</v>
      </c>
      <c r="I162" s="40">
        <v>0</v>
      </c>
      <c r="J162" s="492">
        <f t="shared" si="17"/>
        <v>0</v>
      </c>
    </row>
    <row r="163" spans="1:10" x14ac:dyDescent="0.15">
      <c r="A163" s="365"/>
      <c r="C163" s="192"/>
      <c r="D163" s="199"/>
      <c r="E163" s="40">
        <v>0</v>
      </c>
      <c r="F163" s="40"/>
      <c r="G163" s="40">
        <v>0</v>
      </c>
      <c r="H163" s="40">
        <v>0</v>
      </c>
      <c r="I163" s="40">
        <v>0</v>
      </c>
      <c r="J163" s="492">
        <f t="shared" si="17"/>
        <v>0</v>
      </c>
    </row>
    <row r="164" spans="1:10" x14ac:dyDescent="0.15">
      <c r="A164" s="365"/>
      <c r="C164" s="192"/>
      <c r="D164" s="199"/>
      <c r="E164" s="40">
        <v>0</v>
      </c>
      <c r="F164" s="40"/>
      <c r="G164" s="40">
        <v>0</v>
      </c>
      <c r="H164" s="40">
        <v>0</v>
      </c>
      <c r="I164" s="40">
        <v>0</v>
      </c>
      <c r="J164" s="492">
        <f t="shared" si="17"/>
        <v>0</v>
      </c>
    </row>
    <row r="165" spans="1:10" x14ac:dyDescent="0.15">
      <c r="A165" s="365"/>
      <c r="C165" s="192"/>
      <c r="D165" s="199"/>
      <c r="E165" s="40">
        <v>0</v>
      </c>
      <c r="F165" s="40"/>
      <c r="G165" s="40">
        <v>0</v>
      </c>
      <c r="H165" s="40">
        <v>0</v>
      </c>
      <c r="I165" s="40">
        <v>0</v>
      </c>
      <c r="J165" s="492">
        <f t="shared" si="17"/>
        <v>0</v>
      </c>
    </row>
    <row r="166" spans="1:10" x14ac:dyDescent="0.15">
      <c r="A166" s="571"/>
      <c r="B166" s="572"/>
      <c r="C166" s="568" t="s">
        <v>304</v>
      </c>
      <c r="D166" s="570"/>
      <c r="E166" s="459">
        <f t="shared" ref="E166:J166" si="18">+E91</f>
        <v>0</v>
      </c>
      <c r="F166" s="459">
        <f t="shared" si="18"/>
        <v>0</v>
      </c>
      <c r="G166" s="459">
        <f t="shared" si="18"/>
        <v>0</v>
      </c>
      <c r="H166" s="459">
        <f>+H91</f>
        <v>0</v>
      </c>
      <c r="I166" s="459">
        <f t="shared" si="18"/>
        <v>0</v>
      </c>
      <c r="J166" s="459">
        <f t="shared" si="18"/>
        <v>0</v>
      </c>
    </row>
    <row r="167" spans="1:10" ht="11.25" thickBot="1" x14ac:dyDescent="0.2">
      <c r="C167" s="114"/>
      <c r="D167" s="114"/>
      <c r="F167" s="156"/>
      <c r="G167" s="156"/>
      <c r="J167" s="164"/>
    </row>
    <row r="168" spans="1:10" ht="12" thickTop="1" thickBot="1" x14ac:dyDescent="0.2">
      <c r="C168" s="114" t="s">
        <v>672</v>
      </c>
      <c r="D168" s="114"/>
      <c r="E168" s="190">
        <f t="shared" ref="E168:J168" si="19">SUM(E157:E167)</f>
        <v>0</v>
      </c>
      <c r="F168" s="190">
        <f t="shared" si="19"/>
        <v>0</v>
      </c>
      <c r="G168" s="190">
        <f t="shared" si="19"/>
        <v>0</v>
      </c>
      <c r="H168" s="190">
        <f>SUM(H157:H167)</f>
        <v>0</v>
      </c>
      <c r="I168" s="190">
        <f t="shared" si="19"/>
        <v>0</v>
      </c>
      <c r="J168" s="528">
        <f t="shared" si="19"/>
        <v>0</v>
      </c>
    </row>
    <row r="169" spans="1:10" ht="12" thickTop="1" thickBot="1" x14ac:dyDescent="0.2">
      <c r="C169" s="114"/>
      <c r="D169" s="193"/>
      <c r="F169" s="156"/>
      <c r="G169" s="156"/>
      <c r="J169" s="164"/>
    </row>
    <row r="170" spans="1:10" ht="12" thickTop="1" thickBot="1" x14ac:dyDescent="0.2">
      <c r="A170" s="729" t="s">
        <v>1574</v>
      </c>
      <c r="B170" s="729"/>
      <c r="C170" s="729"/>
      <c r="E170" s="166">
        <f t="shared" ref="E170:I170" si="20">E153+E168</f>
        <v>0</v>
      </c>
      <c r="F170" s="166">
        <f t="shared" si="20"/>
        <v>0</v>
      </c>
      <c r="G170" s="166">
        <f t="shared" si="20"/>
        <v>0</v>
      </c>
      <c r="H170" s="166">
        <f>H153+H168</f>
        <v>0</v>
      </c>
      <c r="I170" s="166">
        <f t="shared" si="20"/>
        <v>0</v>
      </c>
      <c r="J170" s="166">
        <f>J153+J168</f>
        <v>0</v>
      </c>
    </row>
    <row r="171" spans="1:10" ht="11.25" thickTop="1" x14ac:dyDescent="0.15">
      <c r="F171" s="156"/>
      <c r="G171" s="156"/>
      <c r="J171" s="164"/>
    </row>
    <row r="172" spans="1:10" s="173" customFormat="1" ht="23.25" customHeight="1" x14ac:dyDescent="0.15">
      <c r="A172" s="155"/>
      <c r="B172" s="155"/>
      <c r="C172" s="155"/>
      <c r="D172" s="155"/>
      <c r="E172"/>
      <c r="F172" s="156"/>
      <c r="G172" s="156"/>
      <c r="H172" s="155"/>
      <c r="I172" s="155"/>
      <c r="J172" s="164"/>
    </row>
    <row r="173" spans="1:10" x14ac:dyDescent="0.15">
      <c r="A173" s="152" t="s">
        <v>1048</v>
      </c>
      <c r="C173" s="206" t="s">
        <v>211</v>
      </c>
      <c r="D173" s="114"/>
      <c r="E173" s="156"/>
      <c r="F173" s="156"/>
      <c r="G173" s="156"/>
      <c r="H173" s="156"/>
      <c r="J173" s="164"/>
    </row>
    <row r="174" spans="1:10" x14ac:dyDescent="0.15">
      <c r="A174" s="486" t="s">
        <v>827</v>
      </c>
      <c r="B174" s="441" t="s">
        <v>652</v>
      </c>
      <c r="C174" s="135" t="s">
        <v>821</v>
      </c>
      <c r="D174" s="114"/>
      <c r="E174" s="40">
        <v>0</v>
      </c>
      <c r="F174" s="40"/>
      <c r="G174" s="40">
        <v>0</v>
      </c>
      <c r="H174" s="40">
        <v>0</v>
      </c>
      <c r="I174" s="40">
        <v>0</v>
      </c>
      <c r="J174" s="492">
        <f>H174+I174</f>
        <v>0</v>
      </c>
    </row>
    <row r="175" spans="1:10" x14ac:dyDescent="0.15">
      <c r="A175" s="627" t="s">
        <v>1394</v>
      </c>
      <c r="B175" s="441" t="s">
        <v>657</v>
      </c>
      <c r="C175" s="135" t="s">
        <v>822</v>
      </c>
      <c r="D175" s="114"/>
      <c r="E175" s="40">
        <v>0</v>
      </c>
      <c r="F175" s="40"/>
      <c r="G175" s="40">
        <v>0</v>
      </c>
      <c r="H175" s="40">
        <v>0</v>
      </c>
      <c r="I175" s="40">
        <v>0</v>
      </c>
      <c r="J175" s="492">
        <f>H175+I175</f>
        <v>0</v>
      </c>
    </row>
    <row r="176" spans="1:10" x14ac:dyDescent="0.15">
      <c r="A176" s="627" t="s">
        <v>1395</v>
      </c>
      <c r="B176" s="441" t="s">
        <v>658</v>
      </c>
      <c r="C176" s="135" t="s">
        <v>823</v>
      </c>
      <c r="D176" s="114"/>
      <c r="E176" s="40">
        <v>0</v>
      </c>
      <c r="F176" s="40"/>
      <c r="G176" s="40">
        <v>0</v>
      </c>
      <c r="H176" s="40">
        <v>0</v>
      </c>
      <c r="I176" s="40">
        <v>0</v>
      </c>
      <c r="J176" s="492">
        <f>H176+I176</f>
        <v>0</v>
      </c>
    </row>
    <row r="177" spans="1:10" x14ac:dyDescent="0.15">
      <c r="A177" s="627" t="s">
        <v>1396</v>
      </c>
      <c r="B177" s="441" t="s">
        <v>659</v>
      </c>
      <c r="C177" s="625" t="s">
        <v>1397</v>
      </c>
      <c r="D177" s="114"/>
      <c r="E177" s="40">
        <v>0</v>
      </c>
      <c r="F177" s="40"/>
      <c r="G177" s="40">
        <v>0</v>
      </c>
      <c r="H177" s="40">
        <v>0</v>
      </c>
      <c r="I177" s="40">
        <v>0</v>
      </c>
      <c r="J177" s="492">
        <f>H177+I177</f>
        <v>0</v>
      </c>
    </row>
    <row r="178" spans="1:10" ht="11.25" thickBot="1" x14ac:dyDescent="0.2">
      <c r="A178" s="486" t="s">
        <v>831</v>
      </c>
      <c r="B178" s="441" t="s">
        <v>660</v>
      </c>
      <c r="C178" s="135" t="s">
        <v>825</v>
      </c>
      <c r="D178" s="114"/>
      <c r="E178" s="147">
        <v>0</v>
      </c>
      <c r="F178" s="147"/>
      <c r="G178" s="147">
        <v>0</v>
      </c>
      <c r="H178" s="147">
        <v>0</v>
      </c>
      <c r="I178" s="40">
        <v>0</v>
      </c>
      <c r="J178" s="492">
        <f>H178+I178</f>
        <v>0</v>
      </c>
    </row>
    <row r="179" spans="1:10" ht="12" thickTop="1" thickBot="1" x14ac:dyDescent="0.2">
      <c r="A179" s="146"/>
      <c r="C179" s="114" t="s">
        <v>202</v>
      </c>
      <c r="D179" s="114"/>
      <c r="E179" s="148">
        <f t="shared" ref="E179:J179" si="21">SUM(E174:E178)</f>
        <v>0</v>
      </c>
      <c r="F179" s="148">
        <f t="shared" si="21"/>
        <v>0</v>
      </c>
      <c r="G179" s="148">
        <f t="shared" si="21"/>
        <v>0</v>
      </c>
      <c r="H179" s="148">
        <f>SUM(H174:H178)</f>
        <v>0</v>
      </c>
      <c r="I179" s="148">
        <f t="shared" si="21"/>
        <v>0</v>
      </c>
      <c r="J179" s="166">
        <f t="shared" si="21"/>
        <v>0</v>
      </c>
    </row>
    <row r="180" spans="1:10" ht="12" thickTop="1" thickBot="1" x14ac:dyDescent="0.2">
      <c r="A180" s="146"/>
      <c r="C180" s="114"/>
      <c r="D180" s="173"/>
      <c r="E180" s="156"/>
      <c r="F180" s="156"/>
      <c r="G180" s="156"/>
      <c r="H180" s="156"/>
      <c r="J180" s="164"/>
    </row>
    <row r="181" spans="1:10" ht="11.25" thickBot="1" x14ac:dyDescent="0.2">
      <c r="A181" s="728" t="s">
        <v>267</v>
      </c>
      <c r="B181" s="728"/>
      <c r="C181" s="728"/>
      <c r="D181" s="114"/>
      <c r="E181" s="168">
        <f t="shared" ref="E181:J181" si="22">E170+E179</f>
        <v>0</v>
      </c>
      <c r="F181" s="168">
        <f t="shared" si="22"/>
        <v>0</v>
      </c>
      <c r="G181" s="168">
        <f t="shared" si="22"/>
        <v>0</v>
      </c>
      <c r="H181" s="168">
        <f>H170+H179</f>
        <v>0</v>
      </c>
      <c r="I181" s="168">
        <f t="shared" si="22"/>
        <v>0</v>
      </c>
      <c r="J181" s="168">
        <f t="shared" si="22"/>
        <v>0</v>
      </c>
    </row>
    <row r="182" spans="1:10" x14ac:dyDescent="0.15">
      <c r="A182" s="146"/>
      <c r="C182" s="114" t="s">
        <v>203</v>
      </c>
      <c r="D182" s="114"/>
      <c r="E182" s="156"/>
      <c r="F182" s="156"/>
      <c r="G182" s="156"/>
      <c r="H182" s="156"/>
      <c r="J182" s="164"/>
    </row>
    <row r="183" spans="1:10" ht="11.25" thickBot="1" x14ac:dyDescent="0.2">
      <c r="A183" s="146"/>
      <c r="C183" s="114"/>
      <c r="D183" s="169"/>
      <c r="E183" s="156"/>
      <c r="F183" s="156"/>
      <c r="G183" s="156"/>
      <c r="H183" s="156"/>
      <c r="J183" s="164"/>
    </row>
    <row r="184" spans="1:10" ht="12" thickTop="1" thickBot="1" x14ac:dyDescent="0.2">
      <c r="C184" s="169" t="s">
        <v>204</v>
      </c>
      <c r="E184" s="170">
        <f t="shared" ref="E184:J184" si="23">E88</f>
        <v>0</v>
      </c>
      <c r="F184" s="170">
        <f t="shared" si="23"/>
        <v>0</v>
      </c>
      <c r="G184" s="170">
        <f t="shared" si="23"/>
        <v>0</v>
      </c>
      <c r="H184" s="170">
        <f t="shared" si="23"/>
        <v>0</v>
      </c>
      <c r="I184" s="170">
        <f t="shared" si="23"/>
        <v>0</v>
      </c>
      <c r="J184" s="170">
        <f t="shared" si="23"/>
        <v>0</v>
      </c>
    </row>
    <row r="185" spans="1:10" ht="11.25" thickTop="1" x14ac:dyDescent="0.15">
      <c r="D185" s="169"/>
      <c r="E185" s="155"/>
      <c r="J185" s="164"/>
    </row>
    <row r="186" spans="1:10" x14ac:dyDescent="0.15">
      <c r="C186" s="169" t="s">
        <v>205</v>
      </c>
      <c r="E186" s="155">
        <f t="shared" ref="E186:J186" si="24">E181-E184</f>
        <v>0</v>
      </c>
      <c r="F186" s="155">
        <f>F181-F184</f>
        <v>0</v>
      </c>
      <c r="G186" s="155">
        <f t="shared" si="24"/>
        <v>0</v>
      </c>
      <c r="H186" s="155">
        <f>H181-H184</f>
        <v>0</v>
      </c>
      <c r="I186" s="155">
        <f t="shared" si="24"/>
        <v>0</v>
      </c>
      <c r="J186" s="164">
        <f t="shared" si="24"/>
        <v>0</v>
      </c>
    </row>
    <row r="187" spans="1:10" x14ac:dyDescent="0.15">
      <c r="J187" s="164"/>
    </row>
    <row r="188" spans="1:10" x14ac:dyDescent="0.15">
      <c r="J188" s="164"/>
    </row>
    <row r="189" spans="1:10" x14ac:dyDescent="0.15">
      <c r="A189" s="114" t="s">
        <v>1306</v>
      </c>
    </row>
    <row r="192" spans="1:10" x14ac:dyDescent="0.15">
      <c r="A192" s="18" t="s">
        <v>1104</v>
      </c>
      <c r="D192" s="114"/>
    </row>
    <row r="193" spans="2:3" x14ac:dyDescent="0.15">
      <c r="B193" s="180" t="s">
        <v>1292</v>
      </c>
      <c r="C193" s="114" t="s">
        <v>159</v>
      </c>
    </row>
    <row r="194" spans="2:3" x14ac:dyDescent="0.15">
      <c r="B194" s="181" t="s">
        <v>162</v>
      </c>
      <c r="C194" s="114" t="s">
        <v>160</v>
      </c>
    </row>
    <row r="195" spans="2:3" x14ac:dyDescent="0.15">
      <c r="B195" s="181" t="s">
        <v>163</v>
      </c>
      <c r="C195" s="114" t="s">
        <v>161</v>
      </c>
    </row>
    <row r="196" spans="2:3" x14ac:dyDescent="0.15">
      <c r="B196" s="180" t="s">
        <v>73</v>
      </c>
      <c r="C196" s="114" t="s">
        <v>74</v>
      </c>
    </row>
    <row r="197" spans="2:3" x14ac:dyDescent="0.15">
      <c r="B197" s="180" t="s">
        <v>75</v>
      </c>
      <c r="C197" s="114" t="s">
        <v>76</v>
      </c>
    </row>
    <row r="198" spans="2:3" x14ac:dyDescent="0.15">
      <c r="B198" s="180" t="s">
        <v>77</v>
      </c>
      <c r="C198" s="114" t="s">
        <v>78</v>
      </c>
    </row>
  </sheetData>
  <sheetProtection formatCells="0" formatColumns="0" formatRows="0"/>
  <mergeCells count="3">
    <mergeCell ref="A181:C181"/>
    <mergeCell ref="A88:C88"/>
    <mergeCell ref="A170:C170"/>
  </mergeCells>
  <phoneticPr fontId="15" type="noConversion"/>
  <pageMargins left="0.75" right="0.75" top="1" bottom="1" header="0.5" footer="0.5"/>
  <pageSetup scale="56" firstPageNumber="31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I72"/>
  <sheetViews>
    <sheetView workbookViewId="0">
      <selection activeCell="A2" sqref="A2"/>
    </sheetView>
  </sheetViews>
  <sheetFormatPr defaultRowHeight="10.5" x14ac:dyDescent="0.15"/>
  <cols>
    <col min="1" max="1" width="12.33203125" style="155" customWidth="1"/>
    <col min="2" max="2" width="3.6640625" style="155" customWidth="1"/>
    <col min="3" max="3" width="70.83203125" style="155" customWidth="1"/>
    <col min="4" max="4" width="15.83203125" customWidth="1"/>
    <col min="5" max="6" width="17.6640625" style="155" customWidth="1"/>
    <col min="7" max="7" width="15.83203125" style="155" customWidth="1"/>
    <col min="8" max="9" width="16.6640625" style="155" customWidth="1"/>
    <col min="10" max="16384" width="9.33203125" style="155"/>
  </cols>
  <sheetData>
    <row r="1" spans="1:9" x14ac:dyDescent="0.15">
      <c r="A1" s="155" t="s">
        <v>1044</v>
      </c>
      <c r="C1" s="160">
        <f>+'Page 1 - FY2016-17'!B5</f>
        <v>0</v>
      </c>
      <c r="D1" s="155" t="s">
        <v>889</v>
      </c>
      <c r="E1" s="161">
        <f>+'Page 1 - FY2016-17'!F7</f>
        <v>0</v>
      </c>
      <c r="G1" s="37" t="s">
        <v>891</v>
      </c>
    </row>
    <row r="2" spans="1:9" x14ac:dyDescent="0.15">
      <c r="A2" s="15" t="s">
        <v>1307</v>
      </c>
    </row>
    <row r="3" spans="1:9" ht="42" x14ac:dyDescent="0.15">
      <c r="C3" s="587" t="s">
        <v>1586</v>
      </c>
      <c r="D3" s="580" t="s">
        <v>1607</v>
      </c>
      <c r="E3" s="580" t="s">
        <v>1606</v>
      </c>
      <c r="F3" s="580" t="s">
        <v>1605</v>
      </c>
      <c r="G3" s="580" t="s">
        <v>1604</v>
      </c>
      <c r="H3" s="580" t="s">
        <v>1603</v>
      </c>
      <c r="I3" s="580" t="s">
        <v>1602</v>
      </c>
    </row>
    <row r="4" spans="1:9" ht="63" x14ac:dyDescent="0.15">
      <c r="D4" s="424"/>
      <c r="E4" s="424"/>
      <c r="F4" s="424"/>
      <c r="G4" s="424"/>
      <c r="H4" s="713" t="s">
        <v>1541</v>
      </c>
      <c r="I4" s="715" t="s">
        <v>1516</v>
      </c>
    </row>
    <row r="5" spans="1:9" ht="11.25" thickBot="1" x14ac:dyDescent="0.2">
      <c r="D5" s="163"/>
      <c r="E5" s="163"/>
      <c r="F5" s="163"/>
      <c r="G5" s="163"/>
      <c r="I5" s="164"/>
    </row>
    <row r="6" spans="1:9" ht="11.25" thickBot="1" x14ac:dyDescent="0.2">
      <c r="A6" s="34" t="s">
        <v>1132</v>
      </c>
      <c r="B6" s="34" t="s">
        <v>892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168">
        <f>G6+H6</f>
        <v>0</v>
      </c>
    </row>
    <row r="7" spans="1:9" x14ac:dyDescent="0.15">
      <c r="A7" s="35" t="s">
        <v>895</v>
      </c>
      <c r="C7" s="206" t="s">
        <v>1133</v>
      </c>
      <c r="D7" s="156"/>
      <c r="F7" s="156"/>
      <c r="G7" s="156"/>
      <c r="I7" s="164"/>
    </row>
    <row r="8" spans="1:9" x14ac:dyDescent="0.15">
      <c r="A8" s="114" t="s">
        <v>905</v>
      </c>
      <c r="B8" s="157" t="s">
        <v>560</v>
      </c>
      <c r="C8" s="114" t="s">
        <v>1332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92">
        <f>G8+H8</f>
        <v>0</v>
      </c>
    </row>
    <row r="9" spans="1:9" x14ac:dyDescent="0.15">
      <c r="A9" s="149" t="s">
        <v>1051</v>
      </c>
      <c r="B9" s="157" t="s">
        <v>561</v>
      </c>
      <c r="C9" s="114" t="s">
        <v>199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2">
        <f t="shared" ref="I9:I15" si="0">G9+H9</f>
        <v>0</v>
      </c>
    </row>
    <row r="10" spans="1:9" x14ac:dyDescent="0.15">
      <c r="A10" s="149" t="s">
        <v>22</v>
      </c>
      <c r="B10" s="157" t="s">
        <v>562</v>
      </c>
      <c r="C10" s="114" t="s">
        <v>23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2">
        <f t="shared" si="0"/>
        <v>0</v>
      </c>
    </row>
    <row r="11" spans="1:9" x14ac:dyDescent="0.15">
      <c r="A11" s="114" t="s">
        <v>832</v>
      </c>
      <c r="B11" s="157" t="s">
        <v>625</v>
      </c>
      <c r="C11" s="114" t="s">
        <v>1154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2">
        <f t="shared" si="0"/>
        <v>0</v>
      </c>
    </row>
    <row r="12" spans="1:9" x14ac:dyDescent="0.15">
      <c r="A12" s="114" t="s">
        <v>1328</v>
      </c>
      <c r="B12" s="157" t="s">
        <v>626</v>
      </c>
      <c r="C12" s="114" t="s">
        <v>654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92">
        <f t="shared" si="0"/>
        <v>0</v>
      </c>
    </row>
    <row r="13" spans="1:9" x14ac:dyDescent="0.15">
      <c r="A13" s="114" t="s">
        <v>1329</v>
      </c>
      <c r="B13" s="157" t="s">
        <v>627</v>
      </c>
      <c r="C13" s="114" t="s">
        <v>655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92">
        <f t="shared" si="0"/>
        <v>0</v>
      </c>
    </row>
    <row r="14" spans="1:9" x14ac:dyDescent="0.15">
      <c r="A14" s="114" t="s">
        <v>1043</v>
      </c>
      <c r="B14" s="157" t="s">
        <v>628</v>
      </c>
      <c r="C14" s="2" t="s">
        <v>972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92">
        <f t="shared" si="0"/>
        <v>0</v>
      </c>
    </row>
    <row r="15" spans="1:9" x14ac:dyDescent="0.15">
      <c r="A15" s="114"/>
      <c r="B15" s="157" t="s">
        <v>629</v>
      </c>
      <c r="C15" s="135" t="s">
        <v>479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92">
        <f t="shared" si="0"/>
        <v>0</v>
      </c>
    </row>
    <row r="16" spans="1:9" ht="11.25" thickBot="1" x14ac:dyDescent="0.2">
      <c r="A16" s="114"/>
      <c r="B16" s="164"/>
      <c r="C16" s="2"/>
      <c r="D16" s="14"/>
      <c r="F16" s="156"/>
      <c r="G16" s="156"/>
      <c r="I16" s="164"/>
    </row>
    <row r="17" spans="1:9" ht="12" thickTop="1" thickBot="1" x14ac:dyDescent="0.2">
      <c r="B17" s="157" t="s">
        <v>637</v>
      </c>
      <c r="C17" s="34" t="s">
        <v>480</v>
      </c>
      <c r="D17" s="166">
        <f t="shared" ref="D17:I17" si="1">SUM(D8:D15)</f>
        <v>0</v>
      </c>
      <c r="E17" s="166">
        <f t="shared" si="1"/>
        <v>0</v>
      </c>
      <c r="F17" s="166">
        <f t="shared" si="1"/>
        <v>0</v>
      </c>
      <c r="G17" s="166">
        <f t="shared" si="1"/>
        <v>0</v>
      </c>
      <c r="H17" s="166">
        <f t="shared" si="1"/>
        <v>0</v>
      </c>
      <c r="I17" s="166">
        <f t="shared" si="1"/>
        <v>0</v>
      </c>
    </row>
    <row r="18" spans="1:9" ht="12" thickTop="1" thickBot="1" x14ac:dyDescent="0.2">
      <c r="B18" s="164"/>
      <c r="C18" s="114"/>
      <c r="D18" s="189"/>
      <c r="E18" s="189"/>
      <c r="F18" s="189"/>
      <c r="G18" s="189"/>
      <c r="I18" s="164"/>
    </row>
    <row r="19" spans="1:9" ht="11.25" thickBot="1" x14ac:dyDescent="0.2">
      <c r="A19" s="34" t="s">
        <v>569</v>
      </c>
      <c r="D19" s="168">
        <f t="shared" ref="D19:I19" si="2">D6+D17</f>
        <v>0</v>
      </c>
      <c r="E19" s="168">
        <f t="shared" si="2"/>
        <v>0</v>
      </c>
      <c r="F19" s="168">
        <f t="shared" si="2"/>
        <v>0</v>
      </c>
      <c r="G19" s="168">
        <f t="shared" si="2"/>
        <v>0</v>
      </c>
      <c r="H19" s="168">
        <f t="shared" si="2"/>
        <v>0</v>
      </c>
      <c r="I19" s="168">
        <f t="shared" si="2"/>
        <v>0</v>
      </c>
    </row>
    <row r="20" spans="1:9" x14ac:dyDescent="0.15">
      <c r="A20" s="34"/>
      <c r="D20" s="167"/>
      <c r="E20" s="167"/>
      <c r="F20" s="167"/>
      <c r="G20" s="167"/>
      <c r="I20" s="164"/>
    </row>
    <row r="21" spans="1:9" x14ac:dyDescent="0.15">
      <c r="A21" s="563" t="s">
        <v>290</v>
      </c>
      <c r="B21" s="413"/>
      <c r="C21" s="427" t="s">
        <v>286</v>
      </c>
      <c r="D21" s="412"/>
      <c r="E21" s="412"/>
      <c r="F21" s="412"/>
      <c r="G21" s="412"/>
      <c r="H21" s="412"/>
      <c r="I21" s="176"/>
    </row>
    <row r="22" spans="1:9" x14ac:dyDescent="0.15">
      <c r="A22" s="417" t="s">
        <v>1043</v>
      </c>
      <c r="B22" s="433" t="s">
        <v>973</v>
      </c>
      <c r="C22" s="2" t="s">
        <v>293</v>
      </c>
      <c r="D22" s="40">
        <v>0</v>
      </c>
      <c r="E22" s="40">
        <v>0</v>
      </c>
      <c r="F22" s="40">
        <v>0</v>
      </c>
      <c r="G22" s="40">
        <v>0</v>
      </c>
      <c r="H22" s="463">
        <v>0</v>
      </c>
      <c r="I22" s="464">
        <f>SUM(G22+H22)</f>
        <v>0</v>
      </c>
    </row>
    <row r="23" spans="1:9" x14ac:dyDescent="0.15">
      <c r="A23" s="417"/>
      <c r="B23" s="433"/>
      <c r="C23" s="2"/>
      <c r="D23" s="14"/>
      <c r="E23" s="14"/>
      <c r="F23" s="14"/>
      <c r="G23" s="14"/>
      <c r="H23" s="301"/>
      <c r="I23" s="298"/>
    </row>
    <row r="24" spans="1:9" x14ac:dyDescent="0.15">
      <c r="A24" s="423"/>
      <c r="B24" s="413"/>
      <c r="C24" s="412"/>
      <c r="D24" s="412"/>
      <c r="E24" s="412"/>
      <c r="F24" s="412"/>
      <c r="G24" s="412"/>
      <c r="H24" s="412"/>
      <c r="I24" s="412"/>
    </row>
    <row r="25" spans="1:9" s="302" customFormat="1" x14ac:dyDescent="0.15">
      <c r="A25" s="155"/>
      <c r="B25" s="155"/>
      <c r="C25" s="206" t="s">
        <v>1136</v>
      </c>
      <c r="D25" s="156"/>
      <c r="E25" s="155"/>
      <c r="F25" s="167"/>
      <c r="G25" s="167"/>
      <c r="H25" s="155"/>
      <c r="I25" s="164"/>
    </row>
    <row r="26" spans="1:9" s="302" customFormat="1" x14ac:dyDescent="0.15">
      <c r="A26" s="200" t="s">
        <v>1290</v>
      </c>
      <c r="B26" s="155"/>
      <c r="C26" s="155"/>
      <c r="D26" s="156"/>
      <c r="E26" s="156"/>
      <c r="F26" s="156"/>
      <c r="G26" s="155"/>
      <c r="H26" s="155"/>
      <c r="I26" s="164"/>
    </row>
    <row r="27" spans="1:9" s="302" customFormat="1" x14ac:dyDescent="0.15">
      <c r="A27" s="111" t="s">
        <v>1168</v>
      </c>
      <c r="B27" s="155"/>
      <c r="C27" s="155"/>
      <c r="D27" s="156"/>
      <c r="E27" s="156"/>
      <c r="F27" s="156"/>
      <c r="G27" s="155"/>
      <c r="H27" s="155"/>
      <c r="I27" s="164"/>
    </row>
    <row r="28" spans="1:9" s="302" customFormat="1" x14ac:dyDescent="0.15">
      <c r="A28" s="35" t="s">
        <v>1135</v>
      </c>
      <c r="B28" s="155"/>
      <c r="C28" s="155"/>
      <c r="D28" s="156"/>
      <c r="E28" s="156"/>
      <c r="F28" s="156"/>
      <c r="G28" s="155"/>
      <c r="H28" s="155"/>
      <c r="I28" s="164"/>
    </row>
    <row r="29" spans="1:9" hidden="1" x14ac:dyDescent="0.15">
      <c r="A29" s="304" t="s">
        <v>880</v>
      </c>
      <c r="B29" s="511" t="s">
        <v>637</v>
      </c>
      <c r="C29" s="305" t="s">
        <v>1164</v>
      </c>
      <c r="D29" s="308">
        <v>0</v>
      </c>
      <c r="E29" s="308">
        <v>0</v>
      </c>
      <c r="F29" s="308">
        <v>0</v>
      </c>
      <c r="G29" s="459"/>
      <c r="H29" s="512">
        <v>0</v>
      </c>
      <c r="I29" s="503">
        <f>SUM(G29+H29)</f>
        <v>0</v>
      </c>
    </row>
    <row r="30" spans="1:9" x14ac:dyDescent="0.15">
      <c r="A30" s="304" t="s">
        <v>1312</v>
      </c>
      <c r="B30" s="511" t="s">
        <v>637</v>
      </c>
      <c r="C30" s="305" t="s">
        <v>337</v>
      </c>
      <c r="D30" s="308">
        <v>0</v>
      </c>
      <c r="E30" s="308">
        <v>0</v>
      </c>
      <c r="F30" s="308">
        <v>0</v>
      </c>
      <c r="G30" s="308">
        <v>0</v>
      </c>
      <c r="H30" s="512">
        <v>0</v>
      </c>
      <c r="I30" s="503">
        <f>SUM(G30+H30)</f>
        <v>0</v>
      </c>
    </row>
    <row r="31" spans="1:9" hidden="1" x14ac:dyDescent="0.15">
      <c r="A31" s="304" t="s">
        <v>881</v>
      </c>
      <c r="B31" s="511" t="s">
        <v>641</v>
      </c>
      <c r="C31" s="305" t="s">
        <v>1169</v>
      </c>
      <c r="D31" s="308">
        <v>0</v>
      </c>
      <c r="E31" s="308">
        <v>0</v>
      </c>
      <c r="F31" s="308">
        <v>0</v>
      </c>
      <c r="G31" s="459"/>
      <c r="H31" s="512">
        <v>0</v>
      </c>
      <c r="I31" s="503">
        <f>SUM(G31+H31)</f>
        <v>0</v>
      </c>
    </row>
    <row r="32" spans="1:9" x14ac:dyDescent="0.15">
      <c r="A32" s="304" t="s">
        <v>1313</v>
      </c>
      <c r="B32" s="511" t="s">
        <v>641</v>
      </c>
      <c r="C32" s="305" t="s">
        <v>338</v>
      </c>
      <c r="D32" s="308">
        <v>0</v>
      </c>
      <c r="E32" s="308">
        <v>0</v>
      </c>
      <c r="F32" s="308">
        <v>0</v>
      </c>
      <c r="G32" s="308">
        <v>0</v>
      </c>
      <c r="H32" s="512">
        <v>0</v>
      </c>
      <c r="I32" s="503">
        <f>SUM(G32+H32)</f>
        <v>0</v>
      </c>
    </row>
    <row r="33" spans="1:9" x14ac:dyDescent="0.15">
      <c r="A33" s="114" t="s">
        <v>1314</v>
      </c>
      <c r="B33" s="171" t="s">
        <v>638</v>
      </c>
      <c r="C33" s="114" t="s">
        <v>643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92">
        <f t="shared" ref="I33:I38" si="3">G33+H33</f>
        <v>0</v>
      </c>
    </row>
    <row r="34" spans="1:9" x14ac:dyDescent="0.15">
      <c r="A34" s="114" t="s">
        <v>1315</v>
      </c>
      <c r="B34" s="171" t="s">
        <v>639</v>
      </c>
      <c r="C34" s="114" t="s">
        <v>1059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92">
        <f t="shared" si="3"/>
        <v>0</v>
      </c>
    </row>
    <row r="35" spans="1:9" x14ac:dyDescent="0.15">
      <c r="A35" s="114" t="s">
        <v>1316</v>
      </c>
      <c r="B35" s="171" t="s">
        <v>644</v>
      </c>
      <c r="C35" s="114" t="s">
        <v>1064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92">
        <f t="shared" si="3"/>
        <v>0</v>
      </c>
    </row>
    <row r="36" spans="1:9" x14ac:dyDescent="0.15">
      <c r="A36" s="114" t="s">
        <v>1317</v>
      </c>
      <c r="B36" s="171" t="s">
        <v>645</v>
      </c>
      <c r="C36" s="114" t="s">
        <v>1096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92">
        <f t="shared" si="3"/>
        <v>0</v>
      </c>
    </row>
    <row r="37" spans="1:9" x14ac:dyDescent="0.15">
      <c r="A37" s="107" t="s">
        <v>1020</v>
      </c>
      <c r="B37" s="171" t="s">
        <v>646</v>
      </c>
      <c r="C37" s="1" t="s">
        <v>1021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92">
        <f t="shared" si="3"/>
        <v>0</v>
      </c>
    </row>
    <row r="38" spans="1:9" x14ac:dyDescent="0.15">
      <c r="A38" s="114" t="s">
        <v>1318</v>
      </c>
      <c r="B38" s="171" t="s">
        <v>648</v>
      </c>
      <c r="C38" s="114" t="s">
        <v>877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92">
        <f t="shared" si="3"/>
        <v>0</v>
      </c>
    </row>
    <row r="39" spans="1:9" ht="11.25" thickBot="1" x14ac:dyDescent="0.2">
      <c r="A39" s="114"/>
      <c r="C39" s="114"/>
      <c r="D39" s="14"/>
      <c r="E39" s="156"/>
      <c r="F39" s="156"/>
      <c r="I39" s="164"/>
    </row>
    <row r="40" spans="1:9" ht="12" thickTop="1" thickBot="1" x14ac:dyDescent="0.2">
      <c r="B40" s="171" t="s">
        <v>649</v>
      </c>
      <c r="C40" s="114" t="s">
        <v>563</v>
      </c>
      <c r="D40" s="166">
        <f t="shared" ref="D40:I40" si="4">SUM(D29:D38)</f>
        <v>0</v>
      </c>
      <c r="E40" s="166">
        <f t="shared" si="4"/>
        <v>0</v>
      </c>
      <c r="F40" s="166">
        <f t="shared" si="4"/>
        <v>0</v>
      </c>
      <c r="G40" s="166">
        <f t="shared" si="4"/>
        <v>0</v>
      </c>
      <c r="H40" s="166">
        <f t="shared" si="4"/>
        <v>0</v>
      </c>
      <c r="I40" s="166">
        <f t="shared" si="4"/>
        <v>0</v>
      </c>
    </row>
    <row r="41" spans="1:9" ht="11.25" thickTop="1" x14ac:dyDescent="0.15">
      <c r="A41" s="35"/>
      <c r="C41" s="39"/>
      <c r="D41" s="156"/>
      <c r="E41" s="156"/>
      <c r="F41" s="156"/>
      <c r="I41" s="164"/>
    </row>
    <row r="42" spans="1:9" x14ac:dyDescent="0.15">
      <c r="A42" s="699" t="s">
        <v>1153</v>
      </c>
      <c r="D42" s="156"/>
      <c r="E42" s="156"/>
      <c r="F42" s="156"/>
      <c r="I42" s="164"/>
    </row>
    <row r="43" spans="1:9" x14ac:dyDescent="0.15">
      <c r="A43" s="114" t="s">
        <v>1312</v>
      </c>
      <c r="B43" s="171" t="s">
        <v>650</v>
      </c>
      <c r="C43" s="114" t="s">
        <v>337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92">
        <f t="shared" ref="I43:I51" si="5">G43+H43</f>
        <v>0</v>
      </c>
    </row>
    <row r="44" spans="1:9" x14ac:dyDescent="0.15">
      <c r="A44" s="114" t="s">
        <v>1313</v>
      </c>
      <c r="B44" s="171" t="s">
        <v>651</v>
      </c>
      <c r="C44" s="114" t="s">
        <v>342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92">
        <f t="shared" si="5"/>
        <v>0</v>
      </c>
    </row>
    <row r="45" spans="1:9" x14ac:dyDescent="0.15">
      <c r="A45" s="114" t="s">
        <v>1314</v>
      </c>
      <c r="B45" s="171" t="s">
        <v>652</v>
      </c>
      <c r="C45" s="114" t="s">
        <v>643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92">
        <f t="shared" si="5"/>
        <v>0</v>
      </c>
    </row>
    <row r="46" spans="1:9" x14ac:dyDescent="0.15">
      <c r="A46" s="114" t="s">
        <v>1315</v>
      </c>
      <c r="B46" s="171" t="s">
        <v>657</v>
      </c>
      <c r="C46" s="114" t="s">
        <v>1059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92">
        <f t="shared" si="5"/>
        <v>0</v>
      </c>
    </row>
    <row r="47" spans="1:9" x14ac:dyDescent="0.15">
      <c r="A47" s="114" t="s">
        <v>1316</v>
      </c>
      <c r="B47" s="171" t="s">
        <v>658</v>
      </c>
      <c r="C47" s="114" t="s">
        <v>1064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92">
        <f t="shared" si="5"/>
        <v>0</v>
      </c>
    </row>
    <row r="48" spans="1:9" x14ac:dyDescent="0.15">
      <c r="A48" s="114" t="s">
        <v>1317</v>
      </c>
      <c r="B48" s="171" t="s">
        <v>659</v>
      </c>
      <c r="C48" s="114" t="s">
        <v>1096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92">
        <f t="shared" si="5"/>
        <v>0</v>
      </c>
    </row>
    <row r="49" spans="1:9" x14ac:dyDescent="0.15">
      <c r="A49" s="107" t="s">
        <v>1020</v>
      </c>
      <c r="B49" s="171" t="s">
        <v>660</v>
      </c>
      <c r="C49" s="1" t="s">
        <v>1021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92">
        <f t="shared" si="5"/>
        <v>0</v>
      </c>
    </row>
    <row r="50" spans="1:9" x14ac:dyDescent="0.15">
      <c r="A50" s="451"/>
      <c r="B50" s="451"/>
      <c r="C50" s="566" t="s">
        <v>974</v>
      </c>
      <c r="D50" s="567">
        <f t="shared" ref="D50:I50" si="6">+D22</f>
        <v>0</v>
      </c>
      <c r="E50" s="567">
        <f t="shared" si="6"/>
        <v>0</v>
      </c>
      <c r="F50" s="567">
        <f t="shared" si="6"/>
        <v>0</v>
      </c>
      <c r="G50" s="567">
        <f t="shared" si="6"/>
        <v>0</v>
      </c>
      <c r="H50" s="567">
        <f t="shared" si="6"/>
        <v>0</v>
      </c>
      <c r="I50" s="567">
        <f t="shared" si="6"/>
        <v>0</v>
      </c>
    </row>
    <row r="51" spans="1:9" customFormat="1" x14ac:dyDescent="0.15">
      <c r="A51" s="114" t="s">
        <v>1318</v>
      </c>
      <c r="B51" s="171" t="s">
        <v>663</v>
      </c>
      <c r="C51" s="114" t="s">
        <v>877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92">
        <f t="shared" si="5"/>
        <v>0</v>
      </c>
    </row>
    <row r="52" spans="1:9" customFormat="1" ht="11.25" thickBot="1" x14ac:dyDescent="0.2">
      <c r="A52" s="114"/>
      <c r="B52" s="155"/>
      <c r="C52" s="114"/>
      <c r="D52" s="14"/>
      <c r="E52" s="156"/>
      <c r="F52" s="156"/>
      <c r="G52" s="155"/>
      <c r="H52" s="155"/>
      <c r="I52" s="164"/>
    </row>
    <row r="53" spans="1:9" customFormat="1" ht="12" thickTop="1" thickBot="1" x14ac:dyDescent="0.2">
      <c r="A53" s="155"/>
      <c r="B53" s="171" t="s">
        <v>664</v>
      </c>
      <c r="C53" s="169" t="s">
        <v>564</v>
      </c>
      <c r="D53" s="166">
        <f t="shared" ref="D53:I53" si="7">SUM(D43:D51)</f>
        <v>0</v>
      </c>
      <c r="E53" s="166">
        <f t="shared" si="7"/>
        <v>0</v>
      </c>
      <c r="F53" s="166">
        <f t="shared" si="7"/>
        <v>0</v>
      </c>
      <c r="G53" s="166">
        <f t="shared" si="7"/>
        <v>0</v>
      </c>
      <c r="H53" s="166">
        <f t="shared" si="7"/>
        <v>0</v>
      </c>
      <c r="I53" s="166">
        <f t="shared" si="7"/>
        <v>0</v>
      </c>
    </row>
    <row r="54" spans="1:9" customFormat="1" ht="12" thickTop="1" thickBot="1" x14ac:dyDescent="0.2">
      <c r="D54" s="5"/>
      <c r="E54" s="5"/>
      <c r="F54" s="5"/>
      <c r="I54" s="6"/>
    </row>
    <row r="55" spans="1:9" customFormat="1" ht="12" thickTop="1" thickBot="1" x14ac:dyDescent="0.2">
      <c r="A55" s="155"/>
      <c r="B55" s="171" t="s">
        <v>665</v>
      </c>
      <c r="C55" s="34" t="s">
        <v>565</v>
      </c>
      <c r="D55" s="170">
        <f t="shared" ref="D55:I55" si="8">D40+D53</f>
        <v>0</v>
      </c>
      <c r="E55" s="170">
        <f t="shared" si="8"/>
        <v>0</v>
      </c>
      <c r="F55" s="170">
        <f t="shared" si="8"/>
        <v>0</v>
      </c>
      <c r="G55" s="170">
        <f t="shared" si="8"/>
        <v>0</v>
      </c>
      <c r="H55" s="170">
        <f t="shared" si="8"/>
        <v>0</v>
      </c>
      <c r="I55" s="170">
        <f t="shared" si="8"/>
        <v>0</v>
      </c>
    </row>
    <row r="56" spans="1:9" customFormat="1" ht="11.25" thickTop="1" x14ac:dyDescent="0.15">
      <c r="D56" s="5"/>
      <c r="E56" s="5"/>
      <c r="F56" s="5"/>
      <c r="I56" s="6"/>
    </row>
    <row r="57" spans="1:9" customFormat="1" x14ac:dyDescent="0.15">
      <c r="A57" s="152" t="s">
        <v>1048</v>
      </c>
      <c r="B57" s="155"/>
      <c r="C57" s="206" t="s">
        <v>211</v>
      </c>
      <c r="D57" s="156"/>
      <c r="E57" s="156"/>
      <c r="F57" s="156"/>
      <c r="G57" s="156"/>
      <c r="I57" s="6"/>
    </row>
    <row r="58" spans="1:9" customFormat="1" x14ac:dyDescent="0.15">
      <c r="A58" s="486" t="s">
        <v>827</v>
      </c>
      <c r="B58" s="633" t="s">
        <v>666</v>
      </c>
      <c r="C58" s="135" t="s">
        <v>821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92">
        <f>G58+H58</f>
        <v>0</v>
      </c>
    </row>
    <row r="59" spans="1:9" customFormat="1" x14ac:dyDescent="0.15">
      <c r="A59" s="627" t="s">
        <v>1394</v>
      </c>
      <c r="B59" s="633" t="s">
        <v>667</v>
      </c>
      <c r="C59" s="135" t="s">
        <v>822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92">
        <f>G59+H59</f>
        <v>0</v>
      </c>
    </row>
    <row r="60" spans="1:9" customFormat="1" ht="11.25" customHeight="1" x14ac:dyDescent="0.15">
      <c r="A60" s="627" t="s">
        <v>1395</v>
      </c>
      <c r="B60" s="633" t="s">
        <v>668</v>
      </c>
      <c r="C60" s="135" t="s">
        <v>823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92">
        <f>G60+H60</f>
        <v>0</v>
      </c>
    </row>
    <row r="61" spans="1:9" customFormat="1" x14ac:dyDescent="0.15">
      <c r="A61" s="627" t="s">
        <v>1396</v>
      </c>
      <c r="B61" s="633" t="s">
        <v>669</v>
      </c>
      <c r="C61" s="625" t="s">
        <v>1397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92">
        <f>G61+H61</f>
        <v>0</v>
      </c>
    </row>
    <row r="62" spans="1:9" customFormat="1" ht="11.25" thickBot="1" x14ac:dyDescent="0.2">
      <c r="A62" s="486" t="s">
        <v>831</v>
      </c>
      <c r="B62" s="633" t="s">
        <v>670</v>
      </c>
      <c r="C62" s="135" t="s">
        <v>825</v>
      </c>
      <c r="D62" s="147">
        <v>0</v>
      </c>
      <c r="E62" s="147">
        <v>0</v>
      </c>
      <c r="F62" s="147">
        <v>0</v>
      </c>
      <c r="G62" s="147">
        <v>0</v>
      </c>
      <c r="H62" s="40">
        <v>0</v>
      </c>
      <c r="I62" s="492">
        <f>G62+H62</f>
        <v>0</v>
      </c>
    </row>
    <row r="63" spans="1:9" customFormat="1" ht="12" thickTop="1" thickBot="1" x14ac:dyDescent="0.2">
      <c r="A63" s="146"/>
      <c r="B63" s="185" t="s">
        <v>671</v>
      </c>
      <c r="C63" s="114" t="s">
        <v>566</v>
      </c>
      <c r="D63" s="148">
        <f t="shared" ref="D63:I63" si="9">SUM(D58:D62)</f>
        <v>0</v>
      </c>
      <c r="E63" s="148">
        <f t="shared" si="9"/>
        <v>0</v>
      </c>
      <c r="F63" s="148">
        <f t="shared" si="9"/>
        <v>0</v>
      </c>
      <c r="G63" s="148">
        <f t="shared" si="9"/>
        <v>0</v>
      </c>
      <c r="H63" s="148">
        <f t="shared" si="9"/>
        <v>0</v>
      </c>
      <c r="I63" s="166">
        <f t="shared" si="9"/>
        <v>0</v>
      </c>
    </row>
    <row r="64" spans="1:9" customFormat="1" ht="12" thickTop="1" thickBot="1" x14ac:dyDescent="0.2">
      <c r="A64" s="146"/>
      <c r="B64" s="155"/>
      <c r="C64" s="114"/>
      <c r="D64" s="156"/>
      <c r="E64" s="156"/>
      <c r="F64" s="156"/>
      <c r="G64" s="156"/>
      <c r="I64" s="6"/>
    </row>
    <row r="65" spans="1:9" customFormat="1" ht="11.25" thickBot="1" x14ac:dyDescent="0.2">
      <c r="A65" s="728" t="s">
        <v>567</v>
      </c>
      <c r="B65" s="728"/>
      <c r="C65" s="729"/>
      <c r="D65" s="208">
        <f t="shared" ref="D65:I65" si="10">D55+D63</f>
        <v>0</v>
      </c>
      <c r="E65" s="208">
        <f t="shared" si="10"/>
        <v>0</v>
      </c>
      <c r="F65" s="208">
        <f t="shared" si="10"/>
        <v>0</v>
      </c>
      <c r="G65" s="208">
        <f t="shared" si="10"/>
        <v>0</v>
      </c>
      <c r="H65" s="208">
        <f t="shared" si="10"/>
        <v>0</v>
      </c>
      <c r="I65" s="208">
        <f t="shared" si="10"/>
        <v>0</v>
      </c>
    </row>
    <row r="66" spans="1:9" x14ac:dyDescent="0.15">
      <c r="A66" s="146"/>
      <c r="C66" s="114" t="s">
        <v>203</v>
      </c>
      <c r="D66" s="156"/>
      <c r="E66" s="156"/>
      <c r="F66" s="156"/>
      <c r="G66" s="156"/>
      <c r="H66"/>
      <c r="I66" s="6"/>
    </row>
    <row r="67" spans="1:9" ht="11.25" thickBot="1" x14ac:dyDescent="0.2">
      <c r="A67" s="146"/>
      <c r="C67" s="114"/>
      <c r="D67" s="156"/>
      <c r="E67" s="156"/>
      <c r="F67" s="156"/>
      <c r="G67" s="156"/>
      <c r="H67"/>
      <c r="I67" s="6"/>
    </row>
    <row r="68" spans="1:9" ht="12" thickTop="1" thickBot="1" x14ac:dyDescent="0.2">
      <c r="C68" s="169" t="s">
        <v>204</v>
      </c>
      <c r="D68" s="170">
        <f t="shared" ref="D68:I68" si="11">D19</f>
        <v>0</v>
      </c>
      <c r="E68" s="170">
        <f t="shared" si="11"/>
        <v>0</v>
      </c>
      <c r="F68" s="170">
        <f t="shared" si="11"/>
        <v>0</v>
      </c>
      <c r="G68" s="170">
        <f t="shared" si="11"/>
        <v>0</v>
      </c>
      <c r="H68" s="170">
        <f t="shared" si="11"/>
        <v>0</v>
      </c>
      <c r="I68" s="170">
        <f t="shared" si="11"/>
        <v>0</v>
      </c>
    </row>
    <row r="69" spans="1:9" ht="11.25" thickTop="1" x14ac:dyDescent="0.15">
      <c r="D69" s="155"/>
      <c r="H69"/>
      <c r="I69" s="6"/>
    </row>
    <row r="70" spans="1:9" x14ac:dyDescent="0.15">
      <c r="C70" s="169" t="s">
        <v>205</v>
      </c>
      <c r="D70" s="155">
        <f t="shared" ref="D70:I70" si="12">D65-D68</f>
        <v>0</v>
      </c>
      <c r="E70" s="155">
        <f>E65-E68</f>
        <v>0</v>
      </c>
      <c r="F70" s="155">
        <f t="shared" si="12"/>
        <v>0</v>
      </c>
      <c r="G70" s="155">
        <f t="shared" si="12"/>
        <v>0</v>
      </c>
      <c r="H70" s="155">
        <f t="shared" si="12"/>
        <v>0</v>
      </c>
      <c r="I70" s="164">
        <f t="shared" si="12"/>
        <v>0</v>
      </c>
    </row>
    <row r="71" spans="1:9" x14ac:dyDescent="0.15">
      <c r="I71" s="164"/>
    </row>
    <row r="72" spans="1:9" x14ac:dyDescent="0.15">
      <c r="I72" s="164"/>
    </row>
  </sheetData>
  <sheetProtection password="CB03" sheet="1" objects="1" scenarios="1" formatCells="0" formatColumns="0" formatRows="0"/>
  <mergeCells count="1">
    <mergeCell ref="A65:C65"/>
  </mergeCells>
  <phoneticPr fontId="15" type="noConversion"/>
  <pageMargins left="0.75" right="0.75" top="1" bottom="1" header="0.5" footer="0.5"/>
  <pageSetup scale="60" firstPageNumber="34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>
    <pageSetUpPr fitToPage="1"/>
  </sheetPr>
  <dimension ref="A1:I54"/>
  <sheetViews>
    <sheetView workbookViewId="0">
      <selection activeCell="A2" sqref="A2"/>
    </sheetView>
  </sheetViews>
  <sheetFormatPr defaultRowHeight="10.5" x14ac:dyDescent="0.15"/>
  <cols>
    <col min="1" max="1" width="10" style="155" customWidth="1"/>
    <col min="2" max="2" width="4" style="155" customWidth="1"/>
    <col min="3" max="3" width="70.83203125" style="155" customWidth="1"/>
    <col min="4" max="4" width="15.83203125" style="155" customWidth="1"/>
    <col min="5" max="5" width="17" style="155" customWidth="1"/>
    <col min="6" max="6" width="17.33203125" style="155" customWidth="1"/>
    <col min="7" max="7" width="15.83203125" style="155" customWidth="1"/>
    <col min="8" max="8" width="16.33203125" style="155" customWidth="1"/>
    <col min="9" max="9" width="16" style="155" customWidth="1"/>
    <col min="10" max="16384" width="9.33203125" style="155"/>
  </cols>
  <sheetData>
    <row r="1" spans="1:9" x14ac:dyDescent="0.15">
      <c r="A1" s="155" t="s">
        <v>1044</v>
      </c>
      <c r="C1" s="160">
        <f>+'Page 1 - FY2016-17'!B5</f>
        <v>0</v>
      </c>
      <c r="D1" s="155" t="s">
        <v>889</v>
      </c>
      <c r="E1" s="161">
        <f>+'Page 1 - FY2016-17'!F7</f>
        <v>0</v>
      </c>
      <c r="F1" s="118"/>
      <c r="G1" s="37" t="s">
        <v>891</v>
      </c>
    </row>
    <row r="2" spans="1:9" x14ac:dyDescent="0.15">
      <c r="A2" s="15" t="s">
        <v>1252</v>
      </c>
    </row>
    <row r="3" spans="1:9" ht="42" x14ac:dyDescent="0.15">
      <c r="D3" s="580" t="s">
        <v>1607</v>
      </c>
      <c r="E3" s="580" t="s">
        <v>1606</v>
      </c>
      <c r="F3" s="580" t="s">
        <v>1605</v>
      </c>
      <c r="G3" s="580" t="s">
        <v>1604</v>
      </c>
      <c r="H3" s="580" t="s">
        <v>1603</v>
      </c>
      <c r="I3" s="580" t="s">
        <v>1602</v>
      </c>
    </row>
    <row r="4" spans="1:9" ht="63" x14ac:dyDescent="0.15">
      <c r="D4" s="424"/>
      <c r="E4" s="424"/>
      <c r="F4" s="424"/>
      <c r="G4" s="424"/>
      <c r="H4" s="713" t="s">
        <v>1541</v>
      </c>
      <c r="I4" s="715" t="s">
        <v>1516</v>
      </c>
    </row>
    <row r="5" spans="1:9" ht="11.25" thickBot="1" x14ac:dyDescent="0.2">
      <c r="D5" s="163"/>
      <c r="E5" s="163"/>
      <c r="F5" s="163"/>
      <c r="G5" s="163"/>
      <c r="I5" s="164"/>
    </row>
    <row r="6" spans="1:9" ht="11.25" thickBot="1" x14ac:dyDescent="0.2">
      <c r="A6" s="34" t="s">
        <v>1132</v>
      </c>
      <c r="B6" s="34" t="s">
        <v>892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168">
        <f>G6+H6</f>
        <v>0</v>
      </c>
    </row>
    <row r="7" spans="1:9" x14ac:dyDescent="0.15">
      <c r="A7" s="35" t="s">
        <v>895</v>
      </c>
      <c r="C7" s="206" t="s">
        <v>1133</v>
      </c>
      <c r="D7" s="156"/>
      <c r="E7" s="156"/>
      <c r="F7" s="156"/>
      <c r="I7" s="164"/>
    </row>
    <row r="8" spans="1:9" x14ac:dyDescent="0.15">
      <c r="A8" s="114" t="s">
        <v>898</v>
      </c>
      <c r="B8" s="171" t="s">
        <v>560</v>
      </c>
      <c r="C8" s="114" t="s">
        <v>1191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92">
        <f t="shared" ref="I8:I18" si="0">G8+H8</f>
        <v>0</v>
      </c>
    </row>
    <row r="9" spans="1:9" x14ac:dyDescent="0.15">
      <c r="A9" s="114" t="s">
        <v>899</v>
      </c>
      <c r="B9" s="171" t="s">
        <v>561</v>
      </c>
      <c r="C9" s="114" t="s">
        <v>1192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2">
        <f t="shared" si="0"/>
        <v>0</v>
      </c>
    </row>
    <row r="10" spans="1:9" x14ac:dyDescent="0.15">
      <c r="A10" s="114" t="s">
        <v>901</v>
      </c>
      <c r="B10" s="171" t="s">
        <v>562</v>
      </c>
      <c r="C10" s="114" t="s">
        <v>632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2">
        <f t="shared" si="0"/>
        <v>0</v>
      </c>
    </row>
    <row r="11" spans="1:9" x14ac:dyDescent="0.15">
      <c r="A11" s="114" t="s">
        <v>904</v>
      </c>
      <c r="B11" s="171" t="s">
        <v>625</v>
      </c>
      <c r="C11" s="114" t="s">
        <v>1331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2">
        <f t="shared" si="0"/>
        <v>0</v>
      </c>
    </row>
    <row r="12" spans="1:9" x14ac:dyDescent="0.15">
      <c r="A12" s="114" t="s">
        <v>631</v>
      </c>
      <c r="B12" s="171" t="s">
        <v>626</v>
      </c>
      <c r="C12" s="114" t="s">
        <v>633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92">
        <f t="shared" si="0"/>
        <v>0</v>
      </c>
    </row>
    <row r="13" spans="1:9" x14ac:dyDescent="0.15">
      <c r="A13" s="149" t="s">
        <v>14</v>
      </c>
      <c r="B13" s="171" t="s">
        <v>627</v>
      </c>
      <c r="C13" s="114" t="s">
        <v>634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92">
        <f t="shared" si="0"/>
        <v>0</v>
      </c>
    </row>
    <row r="14" spans="1:9" x14ac:dyDescent="0.15">
      <c r="A14" s="149" t="s">
        <v>16</v>
      </c>
      <c r="B14" s="171" t="s">
        <v>628</v>
      </c>
      <c r="C14" s="114" t="s">
        <v>17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92">
        <f t="shared" si="0"/>
        <v>0</v>
      </c>
    </row>
    <row r="15" spans="1:9" x14ac:dyDescent="0.15">
      <c r="A15" s="114" t="s">
        <v>905</v>
      </c>
      <c r="B15" s="171" t="s">
        <v>629</v>
      </c>
      <c r="C15" s="114" t="s">
        <v>1332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92">
        <f t="shared" si="0"/>
        <v>0</v>
      </c>
    </row>
    <row r="16" spans="1:9" x14ac:dyDescent="0.15">
      <c r="A16" s="114" t="s">
        <v>1040</v>
      </c>
      <c r="B16" s="171" t="s">
        <v>637</v>
      </c>
      <c r="C16" s="114" t="s">
        <v>635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92">
        <f t="shared" si="0"/>
        <v>0</v>
      </c>
    </row>
    <row r="17" spans="1:9" x14ac:dyDescent="0.15">
      <c r="A17" s="114" t="s">
        <v>1043</v>
      </c>
      <c r="B17" s="171" t="s">
        <v>641</v>
      </c>
      <c r="C17" s="2" t="s">
        <v>537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92">
        <f t="shared" si="0"/>
        <v>0</v>
      </c>
    </row>
    <row r="18" spans="1:9" x14ac:dyDescent="0.15">
      <c r="B18" s="171" t="s">
        <v>642</v>
      </c>
      <c r="C18" s="114" t="s">
        <v>636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92">
        <f t="shared" si="0"/>
        <v>0</v>
      </c>
    </row>
    <row r="19" spans="1:9" ht="11.25" thickBot="1" x14ac:dyDescent="0.2">
      <c r="B19" s="171"/>
      <c r="C19" s="114"/>
      <c r="D19" s="14"/>
      <c r="E19" s="14"/>
      <c r="F19" s="14"/>
      <c r="G19" s="14"/>
      <c r="I19" s="164"/>
    </row>
    <row r="20" spans="1:9" ht="12" thickTop="1" thickBot="1" x14ac:dyDescent="0.2">
      <c r="B20" s="171" t="s">
        <v>638</v>
      </c>
      <c r="C20" s="34" t="s">
        <v>640</v>
      </c>
      <c r="D20" s="166">
        <f t="shared" ref="D20:I20" si="1">SUM(D8:D18)</f>
        <v>0</v>
      </c>
      <c r="E20" s="166">
        <f t="shared" si="1"/>
        <v>0</v>
      </c>
      <c r="F20" s="166">
        <f t="shared" si="1"/>
        <v>0</v>
      </c>
      <c r="G20" s="166">
        <f t="shared" si="1"/>
        <v>0</v>
      </c>
      <c r="H20" s="166">
        <f t="shared" si="1"/>
        <v>0</v>
      </c>
      <c r="I20" s="166">
        <f t="shared" si="1"/>
        <v>0</v>
      </c>
    </row>
    <row r="21" spans="1:9" ht="12" thickTop="1" thickBot="1" x14ac:dyDescent="0.2">
      <c r="C21" s="114"/>
      <c r="D21" s="156"/>
      <c r="E21" s="167"/>
      <c r="F21" s="156"/>
      <c r="I21" s="164"/>
    </row>
    <row r="22" spans="1:9" ht="11.25" thickBot="1" x14ac:dyDescent="0.2">
      <c r="A22" s="34" t="s">
        <v>817</v>
      </c>
      <c r="D22" s="168">
        <f t="shared" ref="D22:I22" si="2">D6+D20</f>
        <v>0</v>
      </c>
      <c r="E22" s="168">
        <f t="shared" si="2"/>
        <v>0</v>
      </c>
      <c r="F22" s="168">
        <f t="shared" si="2"/>
        <v>0</v>
      </c>
      <c r="G22" s="168">
        <f t="shared" si="2"/>
        <v>0</v>
      </c>
      <c r="H22" s="168">
        <f t="shared" si="2"/>
        <v>0</v>
      </c>
      <c r="I22" s="168">
        <f t="shared" si="2"/>
        <v>0</v>
      </c>
    </row>
    <row r="23" spans="1:9" x14ac:dyDescent="0.15">
      <c r="D23" s="156"/>
      <c r="E23" s="156"/>
      <c r="F23" s="156"/>
      <c r="I23" s="164"/>
    </row>
    <row r="24" spans="1:9" x14ac:dyDescent="0.15">
      <c r="A24" s="35" t="s">
        <v>1135</v>
      </c>
      <c r="C24" s="206" t="s">
        <v>1136</v>
      </c>
      <c r="D24" s="156"/>
      <c r="E24" s="156"/>
      <c r="F24" s="156"/>
      <c r="I24" s="164"/>
    </row>
    <row r="25" spans="1:9" hidden="1" x14ac:dyDescent="0.15">
      <c r="A25" s="149" t="s">
        <v>880</v>
      </c>
      <c r="B25" s="157" t="s">
        <v>639</v>
      </c>
      <c r="C25" s="305" t="s">
        <v>1164</v>
      </c>
      <c r="D25" s="40">
        <v>0</v>
      </c>
      <c r="E25" s="40">
        <v>0</v>
      </c>
      <c r="F25" s="40">
        <v>0</v>
      </c>
      <c r="G25" s="459"/>
      <c r="H25" s="40">
        <v>0</v>
      </c>
      <c r="I25" s="492">
        <f>G25+H25</f>
        <v>0</v>
      </c>
    </row>
    <row r="26" spans="1:9" x14ac:dyDescent="0.15">
      <c r="A26" s="114" t="s">
        <v>1312</v>
      </c>
      <c r="B26" s="157" t="s">
        <v>639</v>
      </c>
      <c r="C26" s="305" t="s">
        <v>337</v>
      </c>
      <c r="D26" s="40">
        <v>0</v>
      </c>
      <c r="E26" s="40">
        <v>0</v>
      </c>
      <c r="F26" s="40">
        <v>0</v>
      </c>
      <c r="G26" s="308">
        <v>0</v>
      </c>
      <c r="H26" s="40">
        <v>0</v>
      </c>
      <c r="I26" s="492">
        <f t="shared" ref="I26:I35" si="3">G26+H26</f>
        <v>0</v>
      </c>
    </row>
    <row r="27" spans="1:9" hidden="1" x14ac:dyDescent="0.15">
      <c r="A27" s="149" t="s">
        <v>881</v>
      </c>
      <c r="B27" s="171" t="s">
        <v>644</v>
      </c>
      <c r="C27" s="305" t="s">
        <v>1169</v>
      </c>
      <c r="D27" s="40">
        <v>0</v>
      </c>
      <c r="E27" s="40">
        <v>0</v>
      </c>
      <c r="F27" s="40">
        <v>0</v>
      </c>
      <c r="G27" s="459"/>
      <c r="H27" s="40">
        <v>0</v>
      </c>
      <c r="I27" s="492">
        <f>G27+H27</f>
        <v>0</v>
      </c>
    </row>
    <row r="28" spans="1:9" x14ac:dyDescent="0.15">
      <c r="A28" s="114" t="s">
        <v>1313</v>
      </c>
      <c r="B28" s="171" t="s">
        <v>644</v>
      </c>
      <c r="C28" s="305" t="s">
        <v>338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92">
        <f t="shared" si="3"/>
        <v>0</v>
      </c>
    </row>
    <row r="29" spans="1:9" x14ac:dyDescent="0.15">
      <c r="A29" s="114" t="s">
        <v>1314</v>
      </c>
      <c r="B29" s="171" t="s">
        <v>645</v>
      </c>
      <c r="C29" s="114" t="s">
        <v>643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92">
        <f t="shared" si="3"/>
        <v>0</v>
      </c>
    </row>
    <row r="30" spans="1:9" x14ac:dyDescent="0.15">
      <c r="A30" s="114" t="s">
        <v>1315</v>
      </c>
      <c r="B30" s="171" t="s">
        <v>646</v>
      </c>
      <c r="C30" s="114" t="s">
        <v>1059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92">
        <f t="shared" si="3"/>
        <v>0</v>
      </c>
    </row>
    <row r="31" spans="1:9" x14ac:dyDescent="0.15">
      <c r="A31" s="114" t="s">
        <v>1316</v>
      </c>
      <c r="B31" s="171" t="s">
        <v>647</v>
      </c>
      <c r="C31" s="114" t="s">
        <v>1064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92">
        <f t="shared" si="3"/>
        <v>0</v>
      </c>
    </row>
    <row r="32" spans="1:9" x14ac:dyDescent="0.15">
      <c r="A32" s="114" t="s">
        <v>1317</v>
      </c>
      <c r="B32" s="171" t="s">
        <v>648</v>
      </c>
      <c r="C32" s="114" t="s">
        <v>1096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92">
        <f t="shared" si="3"/>
        <v>0</v>
      </c>
    </row>
    <row r="33" spans="1:9" x14ac:dyDescent="0.15">
      <c r="A33" s="107" t="s">
        <v>1020</v>
      </c>
      <c r="B33" s="171" t="s">
        <v>649</v>
      </c>
      <c r="C33" s="1" t="s">
        <v>1021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92">
        <f t="shared" si="3"/>
        <v>0</v>
      </c>
    </row>
    <row r="34" spans="1:9" x14ac:dyDescent="0.15">
      <c r="A34" s="107" t="s">
        <v>1139</v>
      </c>
      <c r="B34" s="171" t="s">
        <v>650</v>
      </c>
      <c r="C34" s="1" t="s">
        <v>1109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92">
        <f t="shared" si="3"/>
        <v>0</v>
      </c>
    </row>
    <row r="35" spans="1:9" x14ac:dyDescent="0.15">
      <c r="A35" s="114" t="s">
        <v>656</v>
      </c>
      <c r="B35" s="171" t="s">
        <v>652</v>
      </c>
      <c r="C35" s="719" t="s">
        <v>877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92">
        <f t="shared" si="3"/>
        <v>0</v>
      </c>
    </row>
    <row r="36" spans="1:9" ht="11.25" thickBot="1" x14ac:dyDescent="0.2">
      <c r="A36" s="114"/>
      <c r="C36" s="114"/>
      <c r="D36" s="14"/>
      <c r="E36" s="156"/>
      <c r="F36" s="156"/>
      <c r="I36" s="164"/>
    </row>
    <row r="37" spans="1:9" ht="12" thickTop="1" thickBot="1" x14ac:dyDescent="0.2">
      <c r="B37" s="171" t="s">
        <v>657</v>
      </c>
      <c r="C37" s="34" t="s">
        <v>464</v>
      </c>
      <c r="D37" s="170">
        <f t="shared" ref="D37:I37" si="4">SUM(D25:D35)</f>
        <v>0</v>
      </c>
      <c r="E37" s="170">
        <f t="shared" si="4"/>
        <v>0</v>
      </c>
      <c r="F37" s="170">
        <f t="shared" si="4"/>
        <v>0</v>
      </c>
      <c r="G37" s="170">
        <f t="shared" si="4"/>
        <v>0</v>
      </c>
      <c r="H37" s="170">
        <f t="shared" si="4"/>
        <v>0</v>
      </c>
      <c r="I37" s="170">
        <f t="shared" si="4"/>
        <v>0</v>
      </c>
    </row>
    <row r="38" spans="1:9" ht="11.25" thickTop="1" x14ac:dyDescent="0.15">
      <c r="D38" s="156"/>
      <c r="E38" s="156"/>
      <c r="F38" s="156"/>
      <c r="I38" s="164"/>
    </row>
    <row r="39" spans="1:9" x14ac:dyDescent="0.15">
      <c r="A39" s="152" t="s">
        <v>1048</v>
      </c>
      <c r="C39" s="206" t="s">
        <v>211</v>
      </c>
      <c r="D39" s="156"/>
      <c r="E39" s="156"/>
      <c r="F39" s="156"/>
      <c r="G39" s="156"/>
      <c r="I39" s="164"/>
    </row>
    <row r="40" spans="1:9" x14ac:dyDescent="0.15">
      <c r="A40" s="486" t="s">
        <v>827</v>
      </c>
      <c r="B40" s="157" t="s">
        <v>658</v>
      </c>
      <c r="C40" s="135" t="s">
        <v>821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92">
        <f>G40+H40</f>
        <v>0</v>
      </c>
    </row>
    <row r="41" spans="1:9" x14ac:dyDescent="0.15">
      <c r="A41" s="627" t="s">
        <v>1394</v>
      </c>
      <c r="B41" s="157" t="s">
        <v>659</v>
      </c>
      <c r="C41" s="135" t="s">
        <v>822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92">
        <f>G41+H41</f>
        <v>0</v>
      </c>
    </row>
    <row r="42" spans="1:9" x14ac:dyDescent="0.15">
      <c r="A42" s="627" t="s">
        <v>1395</v>
      </c>
      <c r="B42" s="157" t="s">
        <v>660</v>
      </c>
      <c r="C42" s="135" t="s">
        <v>823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92">
        <f>G42+H42</f>
        <v>0</v>
      </c>
    </row>
    <row r="43" spans="1:9" ht="11.25" customHeight="1" x14ac:dyDescent="0.15">
      <c r="A43" s="627" t="s">
        <v>1396</v>
      </c>
      <c r="B43" s="633" t="s">
        <v>662</v>
      </c>
      <c r="C43" s="625" t="s">
        <v>1397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92">
        <f>G43+H43</f>
        <v>0</v>
      </c>
    </row>
    <row r="44" spans="1:9" ht="11.25" thickBot="1" x14ac:dyDescent="0.2">
      <c r="A44" s="486" t="s">
        <v>831</v>
      </c>
      <c r="B44" s="157" t="s">
        <v>663</v>
      </c>
      <c r="C44" s="135" t="s">
        <v>825</v>
      </c>
      <c r="D44" s="147">
        <v>0</v>
      </c>
      <c r="E44" s="147">
        <v>0</v>
      </c>
      <c r="F44" s="147">
        <v>0</v>
      </c>
      <c r="G44" s="147">
        <v>0</v>
      </c>
      <c r="H44" s="40">
        <v>0</v>
      </c>
      <c r="I44" s="492">
        <f>G44+H44</f>
        <v>0</v>
      </c>
    </row>
    <row r="45" spans="1:9" ht="12" thickTop="1" thickBot="1" x14ac:dyDescent="0.2">
      <c r="A45" s="146"/>
      <c r="B45" s="157" t="s">
        <v>664</v>
      </c>
      <c r="C45" s="114" t="s">
        <v>530</v>
      </c>
      <c r="D45" s="148">
        <f t="shared" ref="D45:I45" si="5">SUM(D40:D44)</f>
        <v>0</v>
      </c>
      <c r="E45" s="148">
        <f t="shared" si="5"/>
        <v>0</v>
      </c>
      <c r="F45" s="148">
        <f t="shared" si="5"/>
        <v>0</v>
      </c>
      <c r="G45" s="148">
        <f t="shared" si="5"/>
        <v>0</v>
      </c>
      <c r="H45" s="148">
        <f t="shared" si="5"/>
        <v>0</v>
      </c>
      <c r="I45" s="166">
        <f t="shared" si="5"/>
        <v>0</v>
      </c>
    </row>
    <row r="46" spans="1:9" ht="12" thickTop="1" thickBot="1" x14ac:dyDescent="0.2">
      <c r="A46" s="146"/>
      <c r="B46" s="157"/>
      <c r="C46" s="114"/>
      <c r="D46" s="156"/>
      <c r="E46" s="156"/>
      <c r="F46" s="156"/>
      <c r="G46" s="156"/>
      <c r="I46" s="164"/>
    </row>
    <row r="47" spans="1:9" ht="11.25" thickBot="1" x14ac:dyDescent="0.2">
      <c r="A47" s="728" t="s">
        <v>466</v>
      </c>
      <c r="B47" s="728"/>
      <c r="C47" s="729"/>
      <c r="D47" s="208">
        <f t="shared" ref="D47:I47" si="6">D37+D45</f>
        <v>0</v>
      </c>
      <c r="E47" s="208">
        <f t="shared" si="6"/>
        <v>0</v>
      </c>
      <c r="F47" s="208">
        <f t="shared" si="6"/>
        <v>0</v>
      </c>
      <c r="G47" s="208">
        <f t="shared" si="6"/>
        <v>0</v>
      </c>
      <c r="H47" s="208">
        <f t="shared" si="6"/>
        <v>0</v>
      </c>
      <c r="I47" s="208">
        <f t="shared" si="6"/>
        <v>0</v>
      </c>
    </row>
    <row r="48" spans="1:9" x14ac:dyDescent="0.15">
      <c r="A48" s="146"/>
      <c r="C48" s="114" t="s">
        <v>203</v>
      </c>
      <c r="D48" s="156"/>
      <c r="E48" s="156"/>
      <c r="F48" s="156"/>
      <c r="G48" s="156"/>
      <c r="I48" s="164"/>
    </row>
    <row r="49" spans="1:9" ht="11.25" thickBot="1" x14ac:dyDescent="0.2">
      <c r="A49" s="146"/>
      <c r="C49" s="114"/>
      <c r="D49" s="156"/>
      <c r="E49" s="156"/>
      <c r="F49" s="156"/>
      <c r="G49" s="156"/>
      <c r="I49" s="164"/>
    </row>
    <row r="50" spans="1:9" ht="12" thickTop="1" thickBot="1" x14ac:dyDescent="0.2">
      <c r="C50" s="169" t="s">
        <v>204</v>
      </c>
      <c r="D50" s="170">
        <f t="shared" ref="D50:I50" si="7">D22</f>
        <v>0</v>
      </c>
      <c r="E50" s="170">
        <f t="shared" si="7"/>
        <v>0</v>
      </c>
      <c r="F50" s="170">
        <f t="shared" si="7"/>
        <v>0</v>
      </c>
      <c r="G50" s="170">
        <f t="shared" si="7"/>
        <v>0</v>
      </c>
      <c r="H50" s="170">
        <f t="shared" si="7"/>
        <v>0</v>
      </c>
      <c r="I50" s="170">
        <f t="shared" si="7"/>
        <v>0</v>
      </c>
    </row>
    <row r="51" spans="1:9" ht="11.25" thickTop="1" x14ac:dyDescent="0.15">
      <c r="I51" s="164"/>
    </row>
    <row r="52" spans="1:9" x14ac:dyDescent="0.15">
      <c r="C52" s="169" t="s">
        <v>205</v>
      </c>
      <c r="D52" s="155">
        <f t="shared" ref="D52:I52" si="8">D47-D50</f>
        <v>0</v>
      </c>
      <c r="E52" s="155">
        <f t="shared" si="8"/>
        <v>0</v>
      </c>
      <c r="F52" s="155">
        <f t="shared" si="8"/>
        <v>0</v>
      </c>
      <c r="G52" s="155">
        <f t="shared" si="8"/>
        <v>0</v>
      </c>
      <c r="H52" s="155">
        <f t="shared" si="8"/>
        <v>0</v>
      </c>
      <c r="I52" s="164">
        <f t="shared" si="8"/>
        <v>0</v>
      </c>
    </row>
    <row r="53" spans="1:9" x14ac:dyDescent="0.15">
      <c r="B53" s="3"/>
      <c r="D53" s="3"/>
      <c r="E53" s="8"/>
      <c r="F53" s="8"/>
      <c r="G53" s="156"/>
      <c r="I53" s="164"/>
    </row>
    <row r="54" spans="1:9" x14ac:dyDescent="0.15">
      <c r="A54" s="204" t="s">
        <v>1275</v>
      </c>
      <c r="B54" s="3"/>
      <c r="D54" s="3"/>
      <c r="E54" s="8"/>
      <c r="F54" s="8"/>
      <c r="G54" s="156"/>
      <c r="I54" s="164"/>
    </row>
  </sheetData>
  <sheetProtection password="CB03" sheet="1" objects="1" scenarios="1" formatCells="0" formatColumns="0" formatRows="0"/>
  <mergeCells count="1">
    <mergeCell ref="A47:C47"/>
  </mergeCells>
  <phoneticPr fontId="15" type="noConversion"/>
  <pageMargins left="0.75" right="0.75" top="1" bottom="1" header="0.5" footer="0.5"/>
  <pageSetup scale="61" firstPageNumber="35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I55"/>
  <sheetViews>
    <sheetView workbookViewId="0">
      <selection activeCell="A2" sqref="A2"/>
    </sheetView>
  </sheetViews>
  <sheetFormatPr defaultRowHeight="10.5" x14ac:dyDescent="0.15"/>
  <cols>
    <col min="1" max="1" width="10" style="155" customWidth="1"/>
    <col min="2" max="2" width="4" style="155" customWidth="1"/>
    <col min="3" max="3" width="70.83203125" style="155" customWidth="1"/>
    <col min="4" max="4" width="15.83203125" style="155" customWidth="1"/>
    <col min="5" max="5" width="17" style="155" customWidth="1"/>
    <col min="6" max="6" width="17.33203125" style="155" customWidth="1"/>
    <col min="7" max="7" width="15.83203125" style="155" customWidth="1"/>
    <col min="8" max="8" width="16.33203125" style="155" customWidth="1"/>
    <col min="9" max="9" width="16" style="155" customWidth="1"/>
    <col min="10" max="16384" width="9.33203125" style="155"/>
  </cols>
  <sheetData>
    <row r="1" spans="1:9" x14ac:dyDescent="0.15">
      <c r="A1" s="155" t="s">
        <v>1044</v>
      </c>
      <c r="C1" s="160">
        <f>+'Page 1 - FY2016-17'!B5</f>
        <v>0</v>
      </c>
      <c r="D1" s="155" t="s">
        <v>889</v>
      </c>
      <c r="E1" s="161">
        <f>+'Page 1 - FY2016-17'!F7</f>
        <v>0</v>
      </c>
      <c r="F1" s="118"/>
      <c r="G1" s="37" t="s">
        <v>891</v>
      </c>
    </row>
    <row r="2" spans="1:9" x14ac:dyDescent="0.15">
      <c r="A2" s="15" t="s">
        <v>1311</v>
      </c>
    </row>
    <row r="3" spans="1:9" ht="42" x14ac:dyDescent="0.15">
      <c r="D3" s="580" t="s">
        <v>1607</v>
      </c>
      <c r="E3" s="580" t="s">
        <v>1606</v>
      </c>
      <c r="F3" s="580" t="s">
        <v>1605</v>
      </c>
      <c r="G3" s="580" t="s">
        <v>1604</v>
      </c>
      <c r="H3" s="580" t="s">
        <v>1603</v>
      </c>
      <c r="I3" s="580" t="s">
        <v>1602</v>
      </c>
    </row>
    <row r="4" spans="1:9" ht="63" x14ac:dyDescent="0.15">
      <c r="D4" s="424"/>
      <c r="E4" s="424"/>
      <c r="F4" s="424"/>
      <c r="G4" s="424"/>
      <c r="H4" s="713" t="s">
        <v>1541</v>
      </c>
      <c r="I4" s="715" t="s">
        <v>1516</v>
      </c>
    </row>
    <row r="5" spans="1:9" ht="11.25" thickBot="1" x14ac:dyDescent="0.2">
      <c r="D5" s="163"/>
      <c r="E5" s="163"/>
      <c r="F5" s="163"/>
      <c r="G5" s="163"/>
      <c r="I5" s="164"/>
    </row>
    <row r="6" spans="1:9" ht="11.25" thickBot="1" x14ac:dyDescent="0.2">
      <c r="A6" s="34" t="s">
        <v>1132</v>
      </c>
      <c r="B6" s="34" t="s">
        <v>892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168">
        <f>G6+H6</f>
        <v>0</v>
      </c>
    </row>
    <row r="7" spans="1:9" x14ac:dyDescent="0.15">
      <c r="A7" s="35" t="s">
        <v>895</v>
      </c>
      <c r="C7" s="206" t="s">
        <v>1133</v>
      </c>
      <c r="D7" s="156"/>
      <c r="E7" s="156"/>
      <c r="F7" s="156"/>
      <c r="I7" s="164"/>
    </row>
    <row r="8" spans="1:9" x14ac:dyDescent="0.15">
      <c r="A8" s="114" t="s">
        <v>898</v>
      </c>
      <c r="B8" s="171" t="s">
        <v>560</v>
      </c>
      <c r="C8" s="114" t="s">
        <v>1191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92">
        <f>G8+H8</f>
        <v>0</v>
      </c>
    </row>
    <row r="9" spans="1:9" x14ac:dyDescent="0.15">
      <c r="A9" s="114" t="s">
        <v>899</v>
      </c>
      <c r="B9" s="171" t="s">
        <v>561</v>
      </c>
      <c r="C9" s="114" t="s">
        <v>1192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2">
        <f t="shared" ref="I9:I18" si="0">G9+H9</f>
        <v>0</v>
      </c>
    </row>
    <row r="10" spans="1:9" x14ac:dyDescent="0.15">
      <c r="A10" s="114" t="s">
        <v>901</v>
      </c>
      <c r="B10" s="171" t="s">
        <v>562</v>
      </c>
      <c r="C10" s="114" t="s">
        <v>632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2">
        <f t="shared" si="0"/>
        <v>0</v>
      </c>
    </row>
    <row r="11" spans="1:9" x14ac:dyDescent="0.15">
      <c r="A11" s="114" t="s">
        <v>904</v>
      </c>
      <c r="B11" s="171" t="s">
        <v>625</v>
      </c>
      <c r="C11" s="114" t="s">
        <v>1331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2">
        <f t="shared" si="0"/>
        <v>0</v>
      </c>
    </row>
    <row r="12" spans="1:9" x14ac:dyDescent="0.15">
      <c r="A12" s="114" t="s">
        <v>631</v>
      </c>
      <c r="B12" s="171" t="s">
        <v>626</v>
      </c>
      <c r="C12" s="114" t="s">
        <v>633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92">
        <f t="shared" si="0"/>
        <v>0</v>
      </c>
    </row>
    <row r="13" spans="1:9" x14ac:dyDescent="0.15">
      <c r="A13" s="149" t="s">
        <v>14</v>
      </c>
      <c r="B13" s="171" t="s">
        <v>627</v>
      </c>
      <c r="C13" s="114" t="s">
        <v>634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92">
        <f t="shared" si="0"/>
        <v>0</v>
      </c>
    </row>
    <row r="14" spans="1:9" x14ac:dyDescent="0.15">
      <c r="A14" s="149" t="s">
        <v>16</v>
      </c>
      <c r="B14" s="171" t="s">
        <v>628</v>
      </c>
      <c r="C14" s="114" t="s">
        <v>17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92">
        <f t="shared" si="0"/>
        <v>0</v>
      </c>
    </row>
    <row r="15" spans="1:9" x14ac:dyDescent="0.15">
      <c r="A15" s="114" t="s">
        <v>905</v>
      </c>
      <c r="B15" s="171" t="s">
        <v>629</v>
      </c>
      <c r="C15" s="114" t="s">
        <v>1332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92">
        <f t="shared" si="0"/>
        <v>0</v>
      </c>
    </row>
    <row r="16" spans="1:9" x14ac:dyDescent="0.15">
      <c r="A16" s="114" t="s">
        <v>1040</v>
      </c>
      <c r="B16" s="171" t="s">
        <v>637</v>
      </c>
      <c r="C16" s="114" t="s">
        <v>635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92">
        <f t="shared" si="0"/>
        <v>0</v>
      </c>
    </row>
    <row r="17" spans="1:9" x14ac:dyDescent="0.15">
      <c r="A17" s="114" t="s">
        <v>1043</v>
      </c>
      <c r="B17" s="171" t="s">
        <v>641</v>
      </c>
      <c r="C17" s="2" t="s">
        <v>537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92">
        <f t="shared" si="0"/>
        <v>0</v>
      </c>
    </row>
    <row r="18" spans="1:9" x14ac:dyDescent="0.15">
      <c r="B18" s="171" t="s">
        <v>642</v>
      </c>
      <c r="C18" s="114" t="s">
        <v>636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92">
        <f t="shared" si="0"/>
        <v>0</v>
      </c>
    </row>
    <row r="19" spans="1:9" ht="11.25" thickBot="1" x14ac:dyDescent="0.2">
      <c r="B19" s="171"/>
      <c r="C19" s="114"/>
      <c r="D19" s="14"/>
      <c r="E19" s="14"/>
      <c r="F19" s="14"/>
      <c r="G19" s="14"/>
      <c r="I19" s="164"/>
    </row>
    <row r="20" spans="1:9" ht="12" thickTop="1" thickBot="1" x14ac:dyDescent="0.2">
      <c r="B20" s="171" t="s">
        <v>638</v>
      </c>
      <c r="C20" s="34" t="s">
        <v>640</v>
      </c>
      <c r="D20" s="166">
        <f t="shared" ref="D20:I20" si="1">SUM(D8:D18)</f>
        <v>0</v>
      </c>
      <c r="E20" s="166">
        <f t="shared" si="1"/>
        <v>0</v>
      </c>
      <c r="F20" s="166">
        <f t="shared" si="1"/>
        <v>0</v>
      </c>
      <c r="G20" s="166">
        <f t="shared" si="1"/>
        <v>0</v>
      </c>
      <c r="H20" s="166">
        <f t="shared" si="1"/>
        <v>0</v>
      </c>
      <c r="I20" s="166">
        <f t="shared" si="1"/>
        <v>0</v>
      </c>
    </row>
    <row r="21" spans="1:9" ht="12" thickTop="1" thickBot="1" x14ac:dyDescent="0.2">
      <c r="C21" s="114"/>
      <c r="D21" s="156"/>
      <c r="E21" s="167"/>
      <c r="F21" s="156"/>
      <c r="I21" s="164"/>
    </row>
    <row r="22" spans="1:9" ht="11.25" thickBot="1" x14ac:dyDescent="0.2">
      <c r="A22" s="34" t="s">
        <v>817</v>
      </c>
      <c r="D22" s="168">
        <f t="shared" ref="D22:I22" si="2">D6+D20</f>
        <v>0</v>
      </c>
      <c r="E22" s="168">
        <f t="shared" si="2"/>
        <v>0</v>
      </c>
      <c r="F22" s="168">
        <f t="shared" si="2"/>
        <v>0</v>
      </c>
      <c r="G22" s="168">
        <f t="shared" si="2"/>
        <v>0</v>
      </c>
      <c r="H22" s="168">
        <f t="shared" si="2"/>
        <v>0</v>
      </c>
      <c r="I22" s="168">
        <f t="shared" si="2"/>
        <v>0</v>
      </c>
    </row>
    <row r="23" spans="1:9" x14ac:dyDescent="0.15">
      <c r="D23" s="156"/>
      <c r="E23" s="156"/>
      <c r="F23" s="156"/>
      <c r="I23" s="164"/>
    </row>
    <row r="24" spans="1:9" x14ac:dyDescent="0.15">
      <c r="D24" s="156"/>
      <c r="E24" s="156"/>
      <c r="F24" s="156"/>
      <c r="I24" s="164"/>
    </row>
    <row r="25" spans="1:9" x14ac:dyDescent="0.15">
      <c r="A25" s="35" t="s">
        <v>1135</v>
      </c>
      <c r="C25" s="206" t="s">
        <v>1136</v>
      </c>
      <c r="D25" s="156"/>
      <c r="E25" s="156"/>
      <c r="F25" s="156"/>
      <c r="I25" s="164"/>
    </row>
    <row r="26" spans="1:9" x14ac:dyDescent="0.15">
      <c r="A26" s="114" t="s">
        <v>1312</v>
      </c>
      <c r="B26" s="157" t="s">
        <v>639</v>
      </c>
      <c r="C26" s="719" t="s">
        <v>337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92">
        <f t="shared" ref="I26:I36" si="3">G26+H26</f>
        <v>0</v>
      </c>
    </row>
    <row r="27" spans="1:9" hidden="1" x14ac:dyDescent="0.15">
      <c r="A27" s="114"/>
      <c r="B27" s="157"/>
      <c r="C27" s="719"/>
      <c r="D27" s="40"/>
      <c r="E27" s="40"/>
      <c r="F27" s="40"/>
      <c r="G27" s="40"/>
      <c r="H27" s="40"/>
      <c r="I27" s="492"/>
    </row>
    <row r="28" spans="1:9" hidden="1" x14ac:dyDescent="0.15">
      <c r="A28" s="114"/>
      <c r="B28" s="157"/>
      <c r="C28" s="719"/>
      <c r="D28" s="40"/>
      <c r="E28" s="40"/>
      <c r="F28" s="40"/>
      <c r="G28" s="40"/>
      <c r="H28" s="40"/>
      <c r="I28" s="492"/>
    </row>
    <row r="29" spans="1:9" x14ac:dyDescent="0.15">
      <c r="A29" s="114" t="s">
        <v>1313</v>
      </c>
      <c r="B29" s="171" t="s">
        <v>644</v>
      </c>
      <c r="C29" s="719" t="s">
        <v>342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92">
        <f t="shared" si="3"/>
        <v>0</v>
      </c>
    </row>
    <row r="30" spans="1:9" x14ac:dyDescent="0.15">
      <c r="A30" s="114" t="s">
        <v>1314</v>
      </c>
      <c r="B30" s="171" t="s">
        <v>645</v>
      </c>
      <c r="C30" s="114" t="s">
        <v>643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92">
        <f t="shared" si="3"/>
        <v>0</v>
      </c>
    </row>
    <row r="31" spans="1:9" x14ac:dyDescent="0.15">
      <c r="A31" s="114" t="s">
        <v>1315</v>
      </c>
      <c r="B31" s="171" t="s">
        <v>646</v>
      </c>
      <c r="C31" s="114" t="s">
        <v>1059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92">
        <f t="shared" si="3"/>
        <v>0</v>
      </c>
    </row>
    <row r="32" spans="1:9" x14ac:dyDescent="0.15">
      <c r="A32" s="114" t="s">
        <v>1316</v>
      </c>
      <c r="B32" s="171" t="s">
        <v>647</v>
      </c>
      <c r="C32" s="114" t="s">
        <v>1064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92">
        <f t="shared" si="3"/>
        <v>0</v>
      </c>
    </row>
    <row r="33" spans="1:9" x14ac:dyDescent="0.15">
      <c r="A33" s="114" t="s">
        <v>1317</v>
      </c>
      <c r="B33" s="171" t="s">
        <v>648</v>
      </c>
      <c r="C33" s="114" t="s">
        <v>1096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92">
        <f t="shared" si="3"/>
        <v>0</v>
      </c>
    </row>
    <row r="34" spans="1:9" x14ac:dyDescent="0.15">
      <c r="A34" s="107" t="s">
        <v>1020</v>
      </c>
      <c r="B34" s="171" t="s">
        <v>649</v>
      </c>
      <c r="C34" s="1" t="s">
        <v>1021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92">
        <f t="shared" si="3"/>
        <v>0</v>
      </c>
    </row>
    <row r="35" spans="1:9" x14ac:dyDescent="0.15">
      <c r="A35" s="107" t="s">
        <v>1139</v>
      </c>
      <c r="B35" s="171" t="s">
        <v>650</v>
      </c>
      <c r="C35" s="1" t="s">
        <v>1109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92">
        <f t="shared" si="3"/>
        <v>0</v>
      </c>
    </row>
    <row r="36" spans="1:9" x14ac:dyDescent="0.15">
      <c r="A36" s="114" t="s">
        <v>656</v>
      </c>
      <c r="B36" s="171" t="s">
        <v>652</v>
      </c>
      <c r="C36" s="114" t="s">
        <v>877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92">
        <f t="shared" si="3"/>
        <v>0</v>
      </c>
    </row>
    <row r="37" spans="1:9" ht="11.25" thickBot="1" x14ac:dyDescent="0.2">
      <c r="A37" s="114"/>
      <c r="C37" s="114"/>
      <c r="D37" s="14"/>
      <c r="E37" s="156"/>
      <c r="F37" s="156"/>
      <c r="I37" s="164"/>
    </row>
    <row r="38" spans="1:9" ht="12" thickTop="1" thickBot="1" x14ac:dyDescent="0.2">
      <c r="B38" s="171" t="s">
        <v>657</v>
      </c>
      <c r="C38" s="34" t="s">
        <v>464</v>
      </c>
      <c r="D38" s="170">
        <f t="shared" ref="D38:H38" si="4">SUM(D26:D36)</f>
        <v>0</v>
      </c>
      <c r="E38" s="170">
        <f t="shared" si="4"/>
        <v>0</v>
      </c>
      <c r="F38" s="170">
        <f t="shared" si="4"/>
        <v>0</v>
      </c>
      <c r="G38" s="170">
        <f t="shared" si="4"/>
        <v>0</v>
      </c>
      <c r="H38" s="170">
        <f t="shared" si="4"/>
        <v>0</v>
      </c>
      <c r="I38" s="170">
        <f>SUM(I26:I36)</f>
        <v>0</v>
      </c>
    </row>
    <row r="39" spans="1:9" ht="11.25" thickTop="1" x14ac:dyDescent="0.15">
      <c r="D39" s="156"/>
      <c r="E39" s="156"/>
      <c r="F39" s="156"/>
      <c r="I39" s="164"/>
    </row>
    <row r="40" spans="1:9" x14ac:dyDescent="0.15">
      <c r="A40" s="152" t="s">
        <v>1048</v>
      </c>
      <c r="C40" s="206" t="s">
        <v>211</v>
      </c>
      <c r="D40" s="156"/>
      <c r="E40" s="156"/>
      <c r="F40" s="156"/>
      <c r="G40" s="156"/>
      <c r="I40" s="164"/>
    </row>
    <row r="41" spans="1:9" x14ac:dyDescent="0.15">
      <c r="A41" s="486" t="s">
        <v>827</v>
      </c>
      <c r="B41" s="633" t="s">
        <v>658</v>
      </c>
      <c r="C41" s="135" t="s">
        <v>821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92">
        <f>G41+H41</f>
        <v>0</v>
      </c>
    </row>
    <row r="42" spans="1:9" x14ac:dyDescent="0.15">
      <c r="A42" s="627" t="s">
        <v>1394</v>
      </c>
      <c r="B42" s="633" t="s">
        <v>659</v>
      </c>
      <c r="C42" s="135" t="s">
        <v>822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92">
        <f>G42+H42</f>
        <v>0</v>
      </c>
    </row>
    <row r="43" spans="1:9" x14ac:dyDescent="0.15">
      <c r="A43" s="627" t="s">
        <v>1395</v>
      </c>
      <c r="B43" s="633" t="s">
        <v>660</v>
      </c>
      <c r="C43" s="135" t="s">
        <v>823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92">
        <f>G43+H43</f>
        <v>0</v>
      </c>
    </row>
    <row r="44" spans="1:9" x14ac:dyDescent="0.15">
      <c r="A44" s="627" t="s">
        <v>1396</v>
      </c>
      <c r="B44" s="633" t="s">
        <v>662</v>
      </c>
      <c r="C44" s="625" t="s">
        <v>1397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92">
        <f>G44+H44</f>
        <v>0</v>
      </c>
    </row>
    <row r="45" spans="1:9" ht="11.25" thickBot="1" x14ac:dyDescent="0.2">
      <c r="A45" s="486" t="s">
        <v>831</v>
      </c>
      <c r="B45" s="633" t="s">
        <v>663</v>
      </c>
      <c r="C45" s="135" t="s">
        <v>825</v>
      </c>
      <c r="D45" s="147">
        <v>0</v>
      </c>
      <c r="E45" s="147">
        <v>0</v>
      </c>
      <c r="F45" s="147">
        <v>0</v>
      </c>
      <c r="G45" s="147">
        <v>0</v>
      </c>
      <c r="H45" s="40">
        <v>0</v>
      </c>
      <c r="I45" s="492">
        <f>G45+H45</f>
        <v>0</v>
      </c>
    </row>
    <row r="46" spans="1:9" ht="12" thickTop="1" thickBot="1" x14ac:dyDescent="0.2">
      <c r="A46" s="146"/>
      <c r="B46" s="157" t="s">
        <v>664</v>
      </c>
      <c r="C46" s="114" t="s">
        <v>530</v>
      </c>
      <c r="D46" s="148">
        <f t="shared" ref="D46:I46" si="5">SUM(D41:D45)</f>
        <v>0</v>
      </c>
      <c r="E46" s="148">
        <f t="shared" si="5"/>
        <v>0</v>
      </c>
      <c r="F46" s="148">
        <f t="shared" si="5"/>
        <v>0</v>
      </c>
      <c r="G46" s="148">
        <f t="shared" si="5"/>
        <v>0</v>
      </c>
      <c r="H46" s="148">
        <f t="shared" si="5"/>
        <v>0</v>
      </c>
      <c r="I46" s="166">
        <f t="shared" si="5"/>
        <v>0</v>
      </c>
    </row>
    <row r="47" spans="1:9" ht="12" thickTop="1" thickBot="1" x14ac:dyDescent="0.2">
      <c r="A47" s="146"/>
      <c r="B47" s="157"/>
      <c r="C47" s="114"/>
      <c r="D47" s="156"/>
      <c r="E47" s="156"/>
      <c r="F47" s="156"/>
      <c r="G47" s="156"/>
      <c r="I47" s="164"/>
    </row>
    <row r="48" spans="1:9" ht="23.25" customHeight="1" thickBot="1" x14ac:dyDescent="0.2">
      <c r="A48" s="728" t="s">
        <v>466</v>
      </c>
      <c r="B48" s="728"/>
      <c r="C48" s="729"/>
      <c r="D48" s="208">
        <f t="shared" ref="D48:I48" si="6">D38+D46</f>
        <v>0</v>
      </c>
      <c r="E48" s="208">
        <f t="shared" si="6"/>
        <v>0</v>
      </c>
      <c r="F48" s="208">
        <f t="shared" si="6"/>
        <v>0</v>
      </c>
      <c r="G48" s="208">
        <f t="shared" si="6"/>
        <v>0</v>
      </c>
      <c r="H48" s="208">
        <f t="shared" si="6"/>
        <v>0</v>
      </c>
      <c r="I48" s="208">
        <f t="shared" si="6"/>
        <v>0</v>
      </c>
    </row>
    <row r="49" spans="1:9" x14ac:dyDescent="0.15">
      <c r="A49" s="146"/>
      <c r="C49" s="114" t="s">
        <v>203</v>
      </c>
      <c r="D49" s="156"/>
      <c r="E49" s="156"/>
      <c r="F49" s="156"/>
      <c r="G49" s="156"/>
      <c r="I49" s="164"/>
    </row>
    <row r="50" spans="1:9" ht="11.25" thickBot="1" x14ac:dyDescent="0.2">
      <c r="A50" s="146"/>
      <c r="C50" s="114"/>
      <c r="D50" s="156"/>
      <c r="E50" s="156"/>
      <c r="F50" s="156"/>
      <c r="G50" s="156"/>
      <c r="I50" s="164"/>
    </row>
    <row r="51" spans="1:9" ht="12" thickTop="1" thickBot="1" x14ac:dyDescent="0.2">
      <c r="C51" s="169" t="s">
        <v>204</v>
      </c>
      <c r="D51" s="170">
        <f t="shared" ref="D51:I51" si="7">D22</f>
        <v>0</v>
      </c>
      <c r="E51" s="170">
        <f t="shared" si="7"/>
        <v>0</v>
      </c>
      <c r="F51" s="170">
        <f t="shared" si="7"/>
        <v>0</v>
      </c>
      <c r="G51" s="170">
        <f t="shared" si="7"/>
        <v>0</v>
      </c>
      <c r="H51" s="170">
        <f t="shared" si="7"/>
        <v>0</v>
      </c>
      <c r="I51" s="170">
        <f t="shared" si="7"/>
        <v>0</v>
      </c>
    </row>
    <row r="52" spans="1:9" ht="11.25" thickTop="1" x14ac:dyDescent="0.15">
      <c r="I52" s="164"/>
    </row>
    <row r="53" spans="1:9" x14ac:dyDescent="0.15">
      <c r="C53" s="169" t="s">
        <v>205</v>
      </c>
      <c r="D53" s="155">
        <f t="shared" ref="D53:I53" si="8">D48-D51</f>
        <v>0</v>
      </c>
      <c r="E53" s="155">
        <f t="shared" si="8"/>
        <v>0</v>
      </c>
      <c r="F53" s="155">
        <f t="shared" si="8"/>
        <v>0</v>
      </c>
      <c r="G53" s="155">
        <f t="shared" si="8"/>
        <v>0</v>
      </c>
      <c r="H53" s="155">
        <f t="shared" si="8"/>
        <v>0</v>
      </c>
      <c r="I53" s="164">
        <f t="shared" si="8"/>
        <v>0</v>
      </c>
    </row>
    <row r="54" spans="1:9" x14ac:dyDescent="0.15">
      <c r="B54" s="3"/>
      <c r="D54" s="3"/>
      <c r="E54" s="8"/>
      <c r="F54" s="8"/>
      <c r="G54" s="156"/>
      <c r="I54" s="164"/>
    </row>
    <row r="55" spans="1:9" x14ac:dyDescent="0.15">
      <c r="A55" s="204" t="s">
        <v>538</v>
      </c>
      <c r="B55" s="3"/>
      <c r="D55" s="3"/>
      <c r="E55" s="8"/>
      <c r="F55" s="8"/>
      <c r="G55" s="156"/>
      <c r="I55" s="164"/>
    </row>
  </sheetData>
  <sheetProtection password="CB03" sheet="1" objects="1" scenarios="1" formatCells="0" formatColumns="0" formatRows="0"/>
  <mergeCells count="1">
    <mergeCell ref="A48:C48"/>
  </mergeCells>
  <phoneticPr fontId="15" type="noConversion"/>
  <pageMargins left="0.75" right="0.75" top="1" bottom="1" header="0.5" footer="0.5"/>
  <pageSetup scale="61" firstPageNumber="35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I79"/>
  <sheetViews>
    <sheetView workbookViewId="0">
      <selection activeCell="A2" sqref="A2"/>
    </sheetView>
  </sheetViews>
  <sheetFormatPr defaultRowHeight="10.5" x14ac:dyDescent="0.15"/>
  <cols>
    <col min="1" max="1" width="18.6640625" style="155" customWidth="1"/>
    <col min="2" max="2" width="4.1640625" style="155" customWidth="1"/>
    <col min="3" max="3" width="70.83203125" style="155" customWidth="1"/>
    <col min="4" max="4" width="15.83203125" style="155" customWidth="1"/>
    <col min="5" max="5" width="16.83203125" style="155" customWidth="1"/>
    <col min="6" max="6" width="17.1640625" style="155" customWidth="1"/>
    <col min="7" max="7" width="15.83203125" style="155" customWidth="1"/>
    <col min="8" max="8" width="16.83203125" style="155" customWidth="1"/>
    <col min="9" max="9" width="15.33203125" style="155" customWidth="1"/>
    <col min="10" max="16384" width="9.33203125" style="155"/>
  </cols>
  <sheetData>
    <row r="1" spans="1:9" x14ac:dyDescent="0.15">
      <c r="A1" s="155" t="s">
        <v>1044</v>
      </c>
      <c r="C1" s="160">
        <f>+'Page 1 - FY2016-17'!B5</f>
        <v>0</v>
      </c>
      <c r="D1" s="155" t="s">
        <v>889</v>
      </c>
      <c r="E1" s="161">
        <f>+'Page 1 - FY2016-17'!F7</f>
        <v>0</v>
      </c>
      <c r="G1" s="37" t="s">
        <v>891</v>
      </c>
    </row>
    <row r="2" spans="1:9" x14ac:dyDescent="0.15">
      <c r="A2" s="15" t="s">
        <v>1319</v>
      </c>
    </row>
    <row r="3" spans="1:9" ht="31.5" x14ac:dyDescent="0.15">
      <c r="D3" s="580" t="s">
        <v>1607</v>
      </c>
      <c r="E3" s="580" t="s">
        <v>1606</v>
      </c>
      <c r="F3" s="580" t="s">
        <v>1605</v>
      </c>
      <c r="G3" s="580" t="s">
        <v>1604</v>
      </c>
      <c r="H3" s="580" t="s">
        <v>1603</v>
      </c>
      <c r="I3" s="580" t="s">
        <v>1602</v>
      </c>
    </row>
    <row r="4" spans="1:9" ht="63" x14ac:dyDescent="0.15">
      <c r="D4" s="424"/>
      <c r="E4" s="424"/>
      <c r="F4" s="424"/>
      <c r="G4" s="424"/>
      <c r="H4" s="713" t="s">
        <v>1541</v>
      </c>
      <c r="I4" s="715" t="s">
        <v>1516</v>
      </c>
    </row>
    <row r="5" spans="1:9" x14ac:dyDescent="0.15">
      <c r="D5" s="163"/>
      <c r="E5" s="163"/>
      <c r="F5" s="163"/>
      <c r="G5" s="163"/>
    </row>
    <row r="6" spans="1:9" ht="11.25" thickBot="1" x14ac:dyDescent="0.2">
      <c r="D6" s="163"/>
      <c r="E6" s="163"/>
      <c r="F6" s="163"/>
      <c r="G6" s="163"/>
      <c r="I6" s="164"/>
    </row>
    <row r="7" spans="1:9" ht="11.25" thickBot="1" x14ac:dyDescent="0.2">
      <c r="A7" s="34" t="s">
        <v>1132</v>
      </c>
      <c r="B7" s="34" t="s">
        <v>892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168">
        <f>G7+H7</f>
        <v>0</v>
      </c>
    </row>
    <row r="8" spans="1:9" x14ac:dyDescent="0.15">
      <c r="A8" s="35" t="s">
        <v>895</v>
      </c>
      <c r="C8" s="206" t="s">
        <v>1133</v>
      </c>
      <c r="E8" s="156"/>
      <c r="F8" s="156"/>
      <c r="G8" s="156"/>
      <c r="I8" s="164"/>
    </row>
    <row r="9" spans="1:9" x14ac:dyDescent="0.15">
      <c r="A9" s="114" t="s">
        <v>1327</v>
      </c>
      <c r="B9" s="157" t="s">
        <v>560</v>
      </c>
      <c r="C9" s="114" t="s">
        <v>653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2">
        <f t="shared" ref="I9:I14" si="0">G9+H9</f>
        <v>0</v>
      </c>
    </row>
    <row r="10" spans="1:9" x14ac:dyDescent="0.15">
      <c r="A10" s="114" t="s">
        <v>905</v>
      </c>
      <c r="B10" s="157" t="s">
        <v>561</v>
      </c>
      <c r="C10" s="114" t="s">
        <v>1332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2">
        <f t="shared" si="0"/>
        <v>0</v>
      </c>
    </row>
    <row r="11" spans="1:9" x14ac:dyDescent="0.15">
      <c r="A11" s="114" t="s">
        <v>1328</v>
      </c>
      <c r="B11" s="157" t="s">
        <v>562</v>
      </c>
      <c r="C11" s="114" t="s">
        <v>654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2">
        <f t="shared" si="0"/>
        <v>0</v>
      </c>
    </row>
    <row r="12" spans="1:9" x14ac:dyDescent="0.15">
      <c r="A12" s="114" t="s">
        <v>1329</v>
      </c>
      <c r="B12" s="157" t="s">
        <v>625</v>
      </c>
      <c r="C12" s="114" t="s">
        <v>655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92">
        <f t="shared" si="0"/>
        <v>0</v>
      </c>
    </row>
    <row r="13" spans="1:9" x14ac:dyDescent="0.15">
      <c r="A13" s="114" t="s">
        <v>1043</v>
      </c>
      <c r="B13" s="157" t="s">
        <v>626</v>
      </c>
      <c r="C13" s="2" t="s">
        <v>972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92">
        <f t="shared" si="0"/>
        <v>0</v>
      </c>
    </row>
    <row r="14" spans="1:9" x14ac:dyDescent="0.15">
      <c r="A14" s="149"/>
      <c r="B14" s="171" t="s">
        <v>627</v>
      </c>
      <c r="C14" s="135" t="s">
        <v>1149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92">
        <f t="shared" si="0"/>
        <v>0</v>
      </c>
    </row>
    <row r="15" spans="1:9" ht="11.25" thickBot="1" x14ac:dyDescent="0.2">
      <c r="A15" s="114"/>
      <c r="B15" s="164"/>
      <c r="C15" s="2"/>
      <c r="E15" s="14"/>
      <c r="F15" s="156"/>
      <c r="G15" s="156"/>
      <c r="I15" s="164"/>
    </row>
    <row r="16" spans="1:9" ht="12" thickTop="1" thickBot="1" x14ac:dyDescent="0.2">
      <c r="B16" s="171" t="s">
        <v>628</v>
      </c>
      <c r="C16" s="34" t="s">
        <v>1150</v>
      </c>
      <c r="D16" s="166">
        <f t="shared" ref="D16:I16" si="1">SUM(D9:D14)</f>
        <v>0</v>
      </c>
      <c r="E16" s="166">
        <f t="shared" si="1"/>
        <v>0</v>
      </c>
      <c r="F16" s="166">
        <f t="shared" si="1"/>
        <v>0</v>
      </c>
      <c r="G16" s="166">
        <f t="shared" si="1"/>
        <v>0</v>
      </c>
      <c r="H16" s="166">
        <f t="shared" si="1"/>
        <v>0</v>
      </c>
      <c r="I16" s="166">
        <f t="shared" si="1"/>
        <v>0</v>
      </c>
    </row>
    <row r="17" spans="1:9" ht="12" thickTop="1" thickBot="1" x14ac:dyDescent="0.2">
      <c r="C17" s="114"/>
      <c r="I17" s="164"/>
    </row>
    <row r="18" spans="1:9" ht="11.25" thickBot="1" x14ac:dyDescent="0.2">
      <c r="A18" s="34" t="s">
        <v>1151</v>
      </c>
      <c r="D18" s="168">
        <f t="shared" ref="D18:H18" si="2">D7+D16</f>
        <v>0</v>
      </c>
      <c r="E18" s="168">
        <f t="shared" si="2"/>
        <v>0</v>
      </c>
      <c r="F18" s="168">
        <f t="shared" si="2"/>
        <v>0</v>
      </c>
      <c r="G18" s="168">
        <f t="shared" si="2"/>
        <v>0</v>
      </c>
      <c r="H18" s="168">
        <f t="shared" si="2"/>
        <v>0</v>
      </c>
      <c r="I18" s="168">
        <f>I7+I16</f>
        <v>0</v>
      </c>
    </row>
    <row r="19" spans="1:9" x14ac:dyDescent="0.15">
      <c r="E19" s="156"/>
      <c r="F19" s="156"/>
      <c r="G19" s="156"/>
      <c r="I19" s="164"/>
    </row>
    <row r="20" spans="1:9" x14ac:dyDescent="0.15">
      <c r="A20" s="563" t="s">
        <v>290</v>
      </c>
      <c r="B20" s="413"/>
      <c r="C20" s="427" t="s">
        <v>286</v>
      </c>
      <c r="D20" s="412"/>
      <c r="E20" s="412"/>
      <c r="F20" s="412"/>
      <c r="G20" s="412"/>
      <c r="H20" s="412"/>
      <c r="I20" s="176"/>
    </row>
    <row r="21" spans="1:9" x14ac:dyDescent="0.15">
      <c r="A21" s="417" t="s">
        <v>1043</v>
      </c>
      <c r="B21" s="433" t="s">
        <v>766</v>
      </c>
      <c r="C21" s="2" t="s">
        <v>293</v>
      </c>
      <c r="D21" s="40">
        <v>0</v>
      </c>
      <c r="E21" s="40">
        <v>0</v>
      </c>
      <c r="F21" s="40">
        <v>0</v>
      </c>
      <c r="G21" s="40">
        <v>0</v>
      </c>
      <c r="H21" s="463">
        <v>0</v>
      </c>
      <c r="I21" s="464">
        <f>SUM(G21+H21)</f>
        <v>0</v>
      </c>
    </row>
    <row r="22" spans="1:9" x14ac:dyDescent="0.15">
      <c r="A22" s="417"/>
      <c r="B22" s="433"/>
      <c r="C22" s="2"/>
      <c r="D22" s="14"/>
      <c r="E22" s="14"/>
      <c r="F22" s="14"/>
      <c r="G22" s="14"/>
      <c r="H22" s="301"/>
      <c r="I22" s="298"/>
    </row>
    <row r="23" spans="1:9" x14ac:dyDescent="0.15">
      <c r="A23" s="423"/>
      <c r="B23" s="413"/>
      <c r="C23" s="412"/>
      <c r="D23" s="412"/>
      <c r="E23" s="412"/>
      <c r="F23" s="412"/>
      <c r="G23" s="412"/>
      <c r="H23" s="412"/>
      <c r="I23" s="412"/>
    </row>
    <row r="24" spans="1:9" x14ac:dyDescent="0.15">
      <c r="A24" s="35" t="s">
        <v>1135</v>
      </c>
      <c r="C24" s="206" t="s">
        <v>1136</v>
      </c>
      <c r="D24" s="156"/>
      <c r="E24" s="156"/>
      <c r="F24" s="156"/>
      <c r="I24" s="164"/>
    </row>
    <row r="25" spans="1:9" x14ac:dyDescent="0.15">
      <c r="A25" s="35"/>
      <c r="C25" s="155" t="s">
        <v>591</v>
      </c>
      <c r="D25" s="156"/>
      <c r="E25" s="156"/>
      <c r="F25" s="156"/>
      <c r="I25" s="164"/>
    </row>
    <row r="26" spans="1:9" x14ac:dyDescent="0.15">
      <c r="A26" s="114" t="s">
        <v>1312</v>
      </c>
      <c r="B26" s="157" t="s">
        <v>629</v>
      </c>
      <c r="C26" s="114" t="s">
        <v>337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92">
        <f t="shared" ref="I26:I33" si="3">G26+H26</f>
        <v>0</v>
      </c>
    </row>
    <row r="27" spans="1:9" x14ac:dyDescent="0.15">
      <c r="A27" s="114" t="s">
        <v>1313</v>
      </c>
      <c r="B27" s="171" t="s">
        <v>637</v>
      </c>
      <c r="C27" s="114" t="s">
        <v>342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92">
        <f t="shared" si="3"/>
        <v>0</v>
      </c>
    </row>
    <row r="28" spans="1:9" x14ac:dyDescent="0.15">
      <c r="A28" s="114" t="s">
        <v>1314</v>
      </c>
      <c r="B28" s="171" t="s">
        <v>641</v>
      </c>
      <c r="C28" s="114" t="s">
        <v>643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92">
        <f t="shared" si="3"/>
        <v>0</v>
      </c>
    </row>
    <row r="29" spans="1:9" x14ac:dyDescent="0.15">
      <c r="A29" s="114" t="s">
        <v>1315</v>
      </c>
      <c r="B29" s="171" t="s">
        <v>642</v>
      </c>
      <c r="C29" s="114" t="s">
        <v>1059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92">
        <f t="shared" si="3"/>
        <v>0</v>
      </c>
    </row>
    <row r="30" spans="1:9" x14ac:dyDescent="0.15">
      <c r="A30" s="114" t="s">
        <v>1316</v>
      </c>
      <c r="B30" s="171" t="s">
        <v>638</v>
      </c>
      <c r="C30" s="114" t="s">
        <v>1064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92">
        <f t="shared" si="3"/>
        <v>0</v>
      </c>
    </row>
    <row r="31" spans="1:9" x14ac:dyDescent="0.15">
      <c r="A31" s="114" t="s">
        <v>1317</v>
      </c>
      <c r="B31" s="171" t="s">
        <v>639</v>
      </c>
      <c r="C31" s="114" t="s">
        <v>1096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92">
        <f t="shared" si="3"/>
        <v>0</v>
      </c>
    </row>
    <row r="32" spans="1:9" x14ac:dyDescent="0.15">
      <c r="A32" s="107" t="s">
        <v>1020</v>
      </c>
      <c r="B32" s="171" t="s">
        <v>644</v>
      </c>
      <c r="C32" s="1" t="s">
        <v>1021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92">
        <f t="shared" si="3"/>
        <v>0</v>
      </c>
    </row>
    <row r="33" spans="1:9" x14ac:dyDescent="0.15">
      <c r="A33" s="114" t="s">
        <v>1318</v>
      </c>
      <c r="B33" s="171" t="s">
        <v>646</v>
      </c>
      <c r="C33" s="114" t="s">
        <v>877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92">
        <f t="shared" si="3"/>
        <v>0</v>
      </c>
    </row>
    <row r="34" spans="1:9" ht="11.25" thickBot="1" x14ac:dyDescent="0.2">
      <c r="A34" s="114"/>
      <c r="C34" s="114"/>
      <c r="D34" s="14"/>
      <c r="E34" s="156"/>
      <c r="F34" s="156"/>
      <c r="I34" s="164"/>
    </row>
    <row r="35" spans="1:9" ht="12" thickTop="1" thickBot="1" x14ac:dyDescent="0.2">
      <c r="B35" s="171" t="s">
        <v>647</v>
      </c>
      <c r="C35" s="114" t="s">
        <v>531</v>
      </c>
      <c r="D35" s="166">
        <f t="shared" ref="D35:I35" si="4">SUM(D26:D33)</f>
        <v>0</v>
      </c>
      <c r="E35" s="166">
        <f t="shared" si="4"/>
        <v>0</v>
      </c>
      <c r="F35" s="166">
        <f t="shared" si="4"/>
        <v>0</v>
      </c>
      <c r="G35" s="166">
        <f t="shared" si="4"/>
        <v>0</v>
      </c>
      <c r="H35" s="166">
        <f t="shared" si="4"/>
        <v>0</v>
      </c>
      <c r="I35" s="166">
        <f t="shared" si="4"/>
        <v>0</v>
      </c>
    </row>
    <row r="36" spans="1:9" ht="11.25" thickTop="1" x14ac:dyDescent="0.15">
      <c r="A36" s="35"/>
      <c r="C36" s="39"/>
      <c r="D36" s="156"/>
      <c r="E36" s="156"/>
      <c r="F36" s="156"/>
      <c r="I36" s="164"/>
    </row>
    <row r="37" spans="1:9" x14ac:dyDescent="0.15">
      <c r="A37" s="35"/>
      <c r="C37" s="169" t="s">
        <v>1300</v>
      </c>
      <c r="D37" s="156"/>
      <c r="E37" s="156"/>
      <c r="F37" s="156"/>
      <c r="I37" s="164"/>
    </row>
    <row r="38" spans="1:9" x14ac:dyDescent="0.15">
      <c r="A38" s="114" t="s">
        <v>1312</v>
      </c>
      <c r="B38" s="157" t="s">
        <v>648</v>
      </c>
      <c r="C38" s="114" t="s">
        <v>337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92">
        <f t="shared" ref="I38:I45" si="5">G38+H38</f>
        <v>0</v>
      </c>
    </row>
    <row r="39" spans="1:9" x14ac:dyDescent="0.15">
      <c r="A39" s="114" t="s">
        <v>1313</v>
      </c>
      <c r="B39" s="171" t="s">
        <v>649</v>
      </c>
      <c r="C39" s="114" t="s">
        <v>342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92">
        <f t="shared" si="5"/>
        <v>0</v>
      </c>
    </row>
    <row r="40" spans="1:9" x14ac:dyDescent="0.15">
      <c r="A40" s="114" t="s">
        <v>1314</v>
      </c>
      <c r="B40" s="171" t="s">
        <v>650</v>
      </c>
      <c r="C40" s="114" t="s">
        <v>643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92">
        <f t="shared" si="5"/>
        <v>0</v>
      </c>
    </row>
    <row r="41" spans="1:9" x14ac:dyDescent="0.15">
      <c r="A41" s="114" t="s">
        <v>1315</v>
      </c>
      <c r="B41" s="171" t="s">
        <v>651</v>
      </c>
      <c r="C41" s="114" t="s">
        <v>1059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92">
        <f t="shared" si="5"/>
        <v>0</v>
      </c>
    </row>
    <row r="42" spans="1:9" x14ac:dyDescent="0.15">
      <c r="A42" s="114" t="s">
        <v>1316</v>
      </c>
      <c r="B42" s="171" t="s">
        <v>652</v>
      </c>
      <c r="C42" s="114" t="s">
        <v>1064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92">
        <f t="shared" si="5"/>
        <v>0</v>
      </c>
    </row>
    <row r="43" spans="1:9" x14ac:dyDescent="0.15">
      <c r="A43" s="114" t="s">
        <v>1317</v>
      </c>
      <c r="B43" s="171" t="s">
        <v>657</v>
      </c>
      <c r="C43" s="114" t="s">
        <v>1096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92">
        <f t="shared" si="5"/>
        <v>0</v>
      </c>
    </row>
    <row r="44" spans="1:9" x14ac:dyDescent="0.15">
      <c r="A44" s="107" t="s">
        <v>1020</v>
      </c>
      <c r="B44" s="171" t="s">
        <v>658</v>
      </c>
      <c r="C44" s="1" t="s">
        <v>1021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92">
        <f t="shared" si="5"/>
        <v>0</v>
      </c>
    </row>
    <row r="45" spans="1:9" x14ac:dyDescent="0.15">
      <c r="A45" s="114" t="s">
        <v>1318</v>
      </c>
      <c r="B45" s="171" t="s">
        <v>660</v>
      </c>
      <c r="C45" s="114" t="s">
        <v>877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92">
        <f t="shared" si="5"/>
        <v>0</v>
      </c>
    </row>
    <row r="46" spans="1:9" ht="11.25" thickBot="1" x14ac:dyDescent="0.2">
      <c r="A46" s="114"/>
      <c r="C46" s="114"/>
      <c r="D46" s="14"/>
      <c r="E46" s="156"/>
      <c r="F46" s="156"/>
      <c r="I46" s="164"/>
    </row>
    <row r="47" spans="1:9" ht="12" thickTop="1" thickBot="1" x14ac:dyDescent="0.2">
      <c r="B47" s="171" t="s">
        <v>662</v>
      </c>
      <c r="C47" s="169" t="s">
        <v>532</v>
      </c>
      <c r="D47" s="166">
        <f t="shared" ref="D47:I47" si="6">SUM(D38:D45)</f>
        <v>0</v>
      </c>
      <c r="E47" s="166">
        <f t="shared" si="6"/>
        <v>0</v>
      </c>
      <c r="F47" s="166">
        <f t="shared" si="6"/>
        <v>0</v>
      </c>
      <c r="G47" s="166">
        <f t="shared" si="6"/>
        <v>0</v>
      </c>
      <c r="H47" s="166">
        <f t="shared" si="6"/>
        <v>0</v>
      </c>
      <c r="I47" s="166">
        <f t="shared" si="6"/>
        <v>0</v>
      </c>
    </row>
    <row r="48" spans="1:9" ht="11.25" thickTop="1" x14ac:dyDescent="0.15">
      <c r="D48" s="156"/>
      <c r="E48" s="156"/>
      <c r="F48" s="156"/>
      <c r="I48" s="164"/>
    </row>
    <row r="49" spans="1:9" x14ac:dyDescent="0.15">
      <c r="B49" s="171"/>
      <c r="C49" s="114" t="s">
        <v>1294</v>
      </c>
      <c r="D49" s="14"/>
      <c r="E49" s="14"/>
      <c r="F49" s="14"/>
      <c r="G49" s="14"/>
      <c r="I49" s="164"/>
    </row>
    <row r="50" spans="1:9" x14ac:dyDescent="0.15">
      <c r="A50" s="157" t="s">
        <v>1323</v>
      </c>
      <c r="B50" s="157" t="s">
        <v>663</v>
      </c>
      <c r="C50" s="114" t="s">
        <v>1302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92">
        <f>G50+H50</f>
        <v>0</v>
      </c>
    </row>
    <row r="51" spans="1:9" x14ac:dyDescent="0.15">
      <c r="A51" s="157" t="s">
        <v>1322</v>
      </c>
      <c r="B51" s="157" t="s">
        <v>664</v>
      </c>
      <c r="C51" s="114" t="s">
        <v>1303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92">
        <f>G51+H51</f>
        <v>0</v>
      </c>
    </row>
    <row r="52" spans="1:9" x14ac:dyDescent="0.15">
      <c r="A52" s="427" t="s">
        <v>979</v>
      </c>
      <c r="B52" s="441"/>
      <c r="C52" s="135"/>
      <c r="D52" s="158"/>
      <c r="E52" s="158"/>
      <c r="F52" s="158"/>
      <c r="G52" s="158"/>
      <c r="H52" s="285"/>
      <c r="I52" s="574"/>
    </row>
    <row r="53" spans="1:9" x14ac:dyDescent="0.15">
      <c r="A53" s="412"/>
      <c r="B53" s="441"/>
      <c r="C53" s="561" t="s">
        <v>975</v>
      </c>
      <c r="D53" s="459">
        <f t="shared" ref="D53:I53" si="7">+D21</f>
        <v>0</v>
      </c>
      <c r="E53" s="459">
        <f t="shared" si="7"/>
        <v>0</v>
      </c>
      <c r="F53" s="459">
        <f t="shared" si="7"/>
        <v>0</v>
      </c>
      <c r="G53" s="459">
        <f t="shared" si="7"/>
        <v>0</v>
      </c>
      <c r="H53" s="459">
        <f t="shared" si="7"/>
        <v>0</v>
      </c>
      <c r="I53" s="459">
        <f t="shared" si="7"/>
        <v>0</v>
      </c>
    </row>
    <row r="54" spans="1:9" ht="11.25" thickBot="1" x14ac:dyDescent="0.2">
      <c r="C54" s="114"/>
      <c r="D54" s="14"/>
      <c r="E54" s="14"/>
      <c r="F54" s="14"/>
      <c r="G54" s="14"/>
      <c r="I54" s="164"/>
    </row>
    <row r="55" spans="1:9" ht="12" thickTop="1" thickBot="1" x14ac:dyDescent="0.2">
      <c r="B55" s="157" t="s">
        <v>665</v>
      </c>
      <c r="C55" s="114" t="s">
        <v>661</v>
      </c>
      <c r="D55" s="154">
        <f t="shared" ref="D55:I55" si="8">SUM(D50:D54)</f>
        <v>0</v>
      </c>
      <c r="E55" s="154">
        <f t="shared" si="8"/>
        <v>0</v>
      </c>
      <c r="F55" s="154">
        <f t="shared" si="8"/>
        <v>0</v>
      </c>
      <c r="G55" s="154">
        <f t="shared" si="8"/>
        <v>0</v>
      </c>
      <c r="H55" s="154">
        <f t="shared" si="8"/>
        <v>0</v>
      </c>
      <c r="I55" s="170">
        <f t="shared" si="8"/>
        <v>0</v>
      </c>
    </row>
    <row r="56" spans="1:9" ht="12" thickTop="1" thickBot="1" x14ac:dyDescent="0.2">
      <c r="D56" s="156"/>
      <c r="E56" s="156"/>
      <c r="F56" s="156"/>
      <c r="I56" s="164"/>
    </row>
    <row r="57" spans="1:9" ht="12" thickTop="1" thickBot="1" x14ac:dyDescent="0.2">
      <c r="B57" s="157" t="s">
        <v>666</v>
      </c>
      <c r="C57" s="34" t="s">
        <v>533</v>
      </c>
      <c r="D57" s="170">
        <f t="shared" ref="D57:I57" si="9">D35+D47+D55</f>
        <v>0</v>
      </c>
      <c r="E57" s="170">
        <f t="shared" si="9"/>
        <v>0</v>
      </c>
      <c r="F57" s="170">
        <f t="shared" si="9"/>
        <v>0</v>
      </c>
      <c r="G57" s="170">
        <f t="shared" si="9"/>
        <v>0</v>
      </c>
      <c r="H57" s="170">
        <f t="shared" si="9"/>
        <v>0</v>
      </c>
      <c r="I57" s="170">
        <f t="shared" si="9"/>
        <v>0</v>
      </c>
    </row>
    <row r="58" spans="1:9" ht="11.25" thickTop="1" x14ac:dyDescent="0.15">
      <c r="D58" s="156"/>
      <c r="E58" s="156"/>
      <c r="F58" s="156"/>
      <c r="I58" s="164"/>
    </row>
    <row r="59" spans="1:9" x14ac:dyDescent="0.15">
      <c r="A59" s="152" t="s">
        <v>1048</v>
      </c>
      <c r="C59" s="206" t="s">
        <v>211</v>
      </c>
      <c r="D59" s="156"/>
      <c r="E59" s="156"/>
      <c r="F59" s="156"/>
      <c r="G59" s="156"/>
      <c r="I59" s="164"/>
    </row>
    <row r="60" spans="1:9" x14ac:dyDescent="0.15">
      <c r="A60" s="486" t="s">
        <v>827</v>
      </c>
      <c r="B60" s="633" t="s">
        <v>667</v>
      </c>
      <c r="C60" s="135" t="s">
        <v>821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92">
        <f>G60+H60</f>
        <v>0</v>
      </c>
    </row>
    <row r="61" spans="1:9" x14ac:dyDescent="0.15">
      <c r="A61" s="627" t="s">
        <v>1394</v>
      </c>
      <c r="B61" s="633" t="s">
        <v>668</v>
      </c>
      <c r="C61" s="135" t="s">
        <v>822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92">
        <f>G61+H61</f>
        <v>0</v>
      </c>
    </row>
    <row r="62" spans="1:9" x14ac:dyDescent="0.15">
      <c r="A62" s="627" t="s">
        <v>1395</v>
      </c>
      <c r="B62" s="633" t="s">
        <v>669</v>
      </c>
      <c r="C62" s="135" t="s">
        <v>823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92">
        <f>G62+H62</f>
        <v>0</v>
      </c>
    </row>
    <row r="63" spans="1:9" ht="10.5" customHeight="1" x14ac:dyDescent="0.15">
      <c r="A63" s="627" t="s">
        <v>1396</v>
      </c>
      <c r="B63" s="633" t="s">
        <v>670</v>
      </c>
      <c r="C63" s="625" t="s">
        <v>1397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92">
        <f>G63+H63</f>
        <v>0</v>
      </c>
    </row>
    <row r="64" spans="1:9" ht="11.25" thickBot="1" x14ac:dyDescent="0.2">
      <c r="A64" s="486" t="s">
        <v>831</v>
      </c>
      <c r="B64" s="633" t="s">
        <v>671</v>
      </c>
      <c r="C64" s="135" t="s">
        <v>825</v>
      </c>
      <c r="D64" s="147">
        <v>0</v>
      </c>
      <c r="E64" s="147">
        <v>0</v>
      </c>
      <c r="F64" s="147">
        <v>0</v>
      </c>
      <c r="G64" s="147">
        <v>0</v>
      </c>
      <c r="H64" s="40">
        <v>0</v>
      </c>
      <c r="I64" s="492">
        <f>G64+H64</f>
        <v>0</v>
      </c>
    </row>
    <row r="65" spans="1:9" ht="12" thickTop="1" thickBot="1" x14ac:dyDescent="0.2">
      <c r="A65" s="146"/>
      <c r="B65" s="185" t="s">
        <v>1187</v>
      </c>
      <c r="C65" s="1" t="s">
        <v>1410</v>
      </c>
      <c r="D65" s="148">
        <f t="shared" ref="D65:I65" si="10">SUM(D60:D64)</f>
        <v>0</v>
      </c>
      <c r="E65" s="148">
        <f t="shared" si="10"/>
        <v>0</v>
      </c>
      <c r="F65" s="148">
        <f t="shared" si="10"/>
        <v>0</v>
      </c>
      <c r="G65" s="148">
        <f t="shared" si="10"/>
        <v>0</v>
      </c>
      <c r="H65" s="148">
        <f t="shared" si="10"/>
        <v>0</v>
      </c>
      <c r="I65" s="166">
        <f t="shared" si="10"/>
        <v>0</v>
      </c>
    </row>
    <row r="66" spans="1:9" ht="12" thickTop="1" thickBot="1" x14ac:dyDescent="0.2">
      <c r="A66" s="146"/>
      <c r="B66" s="388"/>
      <c r="C66" s="114"/>
      <c r="D66" s="156"/>
      <c r="E66" s="156"/>
      <c r="F66" s="156"/>
      <c r="G66" s="156"/>
      <c r="I66" s="164"/>
    </row>
    <row r="67" spans="1:9" ht="11.25" thickBot="1" x14ac:dyDescent="0.2">
      <c r="A67" s="731" t="s">
        <v>534</v>
      </c>
      <c r="B67" s="731"/>
      <c r="C67" s="732"/>
      <c r="D67" s="208">
        <f t="shared" ref="D67:I67" si="11">D57+D65</f>
        <v>0</v>
      </c>
      <c r="E67" s="208">
        <f t="shared" si="11"/>
        <v>0</v>
      </c>
      <c r="F67" s="208">
        <f t="shared" si="11"/>
        <v>0</v>
      </c>
      <c r="G67" s="208">
        <f t="shared" si="11"/>
        <v>0</v>
      </c>
      <c r="H67" s="208">
        <f t="shared" si="11"/>
        <v>0</v>
      </c>
      <c r="I67" s="208">
        <f t="shared" si="11"/>
        <v>0</v>
      </c>
    </row>
    <row r="68" spans="1:9" x14ac:dyDescent="0.15">
      <c r="C68" s="114" t="s">
        <v>203</v>
      </c>
      <c r="D68" s="156"/>
      <c r="E68" s="156"/>
      <c r="F68" s="156"/>
      <c r="G68" s="156"/>
      <c r="I68" s="164"/>
    </row>
    <row r="69" spans="1:9" ht="11.25" thickBot="1" x14ac:dyDescent="0.2">
      <c r="A69" s="146"/>
      <c r="C69" s="114"/>
      <c r="D69" s="156"/>
      <c r="E69" s="156"/>
      <c r="F69" s="156"/>
      <c r="G69" s="156"/>
      <c r="I69" s="164"/>
    </row>
    <row r="70" spans="1:9" ht="12" thickTop="1" thickBot="1" x14ac:dyDescent="0.2">
      <c r="C70" s="169" t="s">
        <v>204</v>
      </c>
      <c r="D70" s="170">
        <f t="shared" ref="D70:I70" si="12">D18</f>
        <v>0</v>
      </c>
      <c r="E70" s="170">
        <f t="shared" si="12"/>
        <v>0</v>
      </c>
      <c r="F70" s="170">
        <f t="shared" si="12"/>
        <v>0</v>
      </c>
      <c r="G70" s="170">
        <f t="shared" si="12"/>
        <v>0</v>
      </c>
      <c r="H70" s="170">
        <f t="shared" si="12"/>
        <v>0</v>
      </c>
      <c r="I70" s="170">
        <f t="shared" si="12"/>
        <v>0</v>
      </c>
    </row>
    <row r="71" spans="1:9" ht="24.75" customHeight="1" thickTop="1" x14ac:dyDescent="0.15">
      <c r="I71" s="164"/>
    </row>
    <row r="72" spans="1:9" x14ac:dyDescent="0.15">
      <c r="C72" s="169" t="s">
        <v>205</v>
      </c>
      <c r="D72" s="155">
        <f t="shared" ref="D72:I72" si="13">D67-D70</f>
        <v>0</v>
      </c>
      <c r="E72" s="155">
        <f t="shared" si="13"/>
        <v>0</v>
      </c>
      <c r="F72" s="155">
        <f t="shared" si="13"/>
        <v>0</v>
      </c>
      <c r="G72" s="155">
        <f t="shared" si="13"/>
        <v>0</v>
      </c>
      <c r="H72" s="155">
        <f t="shared" si="13"/>
        <v>0</v>
      </c>
      <c r="I72" s="164">
        <f t="shared" si="13"/>
        <v>0</v>
      </c>
    </row>
    <row r="73" spans="1:9" x14ac:dyDescent="0.15">
      <c r="I73" s="164"/>
    </row>
    <row r="74" spans="1:9" x14ac:dyDescent="0.15">
      <c r="I74" s="164"/>
    </row>
    <row r="75" spans="1:9" x14ac:dyDescent="0.15">
      <c r="A75" s="730"/>
      <c r="B75" s="730"/>
      <c r="C75" s="730"/>
      <c r="D75" s="730"/>
      <c r="E75" s="730"/>
      <c r="F75" s="730"/>
      <c r="G75" s="730"/>
    </row>
    <row r="76" spans="1:9" x14ac:dyDescent="0.15">
      <c r="C76" s="172"/>
      <c r="D76" s="173"/>
      <c r="E76" s="173"/>
      <c r="F76" s="173"/>
      <c r="G76" s="173"/>
    </row>
    <row r="77" spans="1:9" x14ac:dyDescent="0.15">
      <c r="C77" s="172"/>
      <c r="D77" s="173"/>
      <c r="E77" s="173"/>
      <c r="F77" s="173"/>
      <c r="G77" s="173"/>
    </row>
    <row r="78" spans="1:9" x14ac:dyDescent="0.15">
      <c r="C78" s="172"/>
      <c r="D78" s="173"/>
      <c r="E78" s="173"/>
      <c r="F78" s="173"/>
      <c r="G78" s="173"/>
    </row>
    <row r="79" spans="1:9" x14ac:dyDescent="0.15">
      <c r="C79" s="172"/>
      <c r="D79" s="173"/>
      <c r="E79" s="173"/>
      <c r="F79" s="173"/>
      <c r="G79" s="173"/>
    </row>
  </sheetData>
  <sheetProtection password="CB03" sheet="1" objects="1" scenarios="1" formatCells="0" formatColumns="0" formatRows="0"/>
  <mergeCells count="2">
    <mergeCell ref="A75:G75"/>
    <mergeCell ref="A67:C67"/>
  </mergeCells>
  <phoneticPr fontId="15" type="noConversion"/>
  <pageMargins left="0.75" right="0.75" top="1" bottom="1" header="0.5" footer="0.5"/>
  <pageSetup scale="59" firstPageNumber="36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51"/>
  <sheetViews>
    <sheetView workbookViewId="0">
      <selection activeCell="E13" sqref="E13"/>
    </sheetView>
  </sheetViews>
  <sheetFormatPr defaultRowHeight="11.25" x14ac:dyDescent="0.2"/>
  <cols>
    <col min="1" max="1" width="35.83203125" style="397" customWidth="1"/>
    <col min="2" max="2" width="45.83203125" style="397" customWidth="1"/>
    <col min="3" max="3" width="4.83203125" style="397" customWidth="1"/>
    <col min="4" max="4" width="6.83203125" style="397" customWidth="1"/>
    <col min="5" max="5" width="35.83203125" style="397" customWidth="1"/>
    <col min="6" max="6" width="45.83203125" style="397" customWidth="1"/>
    <col min="7" max="7" width="4.83203125" style="397" customWidth="1"/>
    <col min="8" max="16384" width="9.33203125" style="397"/>
  </cols>
  <sheetData>
    <row r="1" spans="1:7" ht="15.75" x14ac:dyDescent="0.25">
      <c r="A1" s="579" t="s">
        <v>1600</v>
      </c>
      <c r="B1" s="395"/>
      <c r="C1" s="395"/>
      <c r="D1" s="395"/>
      <c r="E1" s="395"/>
      <c r="F1" s="396"/>
      <c r="G1" s="396"/>
    </row>
    <row r="2" spans="1:7" ht="15.75" x14ac:dyDescent="0.25">
      <c r="A2" s="398" t="s">
        <v>795</v>
      </c>
      <c r="B2" s="395"/>
      <c r="C2" s="395"/>
      <c r="D2" s="395"/>
      <c r="E2" s="395"/>
      <c r="F2" s="396"/>
      <c r="G2" s="396"/>
    </row>
    <row r="3" spans="1:7" ht="15.75" x14ac:dyDescent="0.25">
      <c r="A3" s="398" t="s">
        <v>1515</v>
      </c>
      <c r="B3" s="395"/>
      <c r="C3" s="395"/>
      <c r="D3" s="395"/>
      <c r="E3" s="395"/>
      <c r="F3" s="396"/>
      <c r="G3" s="396"/>
    </row>
    <row r="5" spans="1:7" ht="12.75" customHeight="1" x14ac:dyDescent="0.2">
      <c r="A5" s="399" t="s">
        <v>796</v>
      </c>
      <c r="B5" s="224"/>
      <c r="C5" s="400"/>
      <c r="D5" s="400"/>
      <c r="E5" s="399" t="s">
        <v>797</v>
      </c>
      <c r="F5" s="225"/>
      <c r="G5" s="223"/>
    </row>
    <row r="6" spans="1:7" ht="12.75" customHeight="1" x14ac:dyDescent="0.2">
      <c r="A6" s="399" t="s">
        <v>798</v>
      </c>
      <c r="B6" s="400"/>
      <c r="C6" s="401"/>
      <c r="D6" s="400"/>
      <c r="F6" s="400"/>
    </row>
    <row r="7" spans="1:7" ht="12.75" customHeight="1" x14ac:dyDescent="0.2">
      <c r="A7" s="399" t="s">
        <v>1601</v>
      </c>
      <c r="B7" s="226"/>
      <c r="C7" s="548"/>
      <c r="D7" s="402"/>
      <c r="E7" s="399" t="s">
        <v>385</v>
      </c>
      <c r="F7" s="227"/>
    </row>
    <row r="8" spans="1:7" ht="12.75" customHeight="1" x14ac:dyDescent="0.2">
      <c r="A8" s="403"/>
      <c r="B8" s="400"/>
      <c r="C8" s="400"/>
      <c r="D8" s="400"/>
      <c r="E8" s="400"/>
      <c r="F8" s="400"/>
    </row>
    <row r="9" spans="1:7" ht="12.75" customHeight="1" x14ac:dyDescent="0.2">
      <c r="A9" s="396"/>
      <c r="B9" s="402"/>
      <c r="C9" s="402"/>
      <c r="D9" s="402"/>
      <c r="E9" s="402"/>
      <c r="F9" s="402"/>
      <c r="G9" s="396"/>
    </row>
    <row r="10" spans="1:7" ht="12.75" customHeight="1" x14ac:dyDescent="0.2">
      <c r="D10" s="402"/>
      <c r="E10" s="402"/>
      <c r="F10" s="402"/>
      <c r="G10" s="396"/>
    </row>
    <row r="11" spans="1:7" ht="12.75" customHeight="1" x14ac:dyDescent="0.2">
      <c r="A11" s="396" t="s">
        <v>799</v>
      </c>
      <c r="B11" s="402"/>
      <c r="C11" s="402"/>
      <c r="D11" s="402"/>
      <c r="E11" s="402"/>
      <c r="F11" s="402"/>
      <c r="G11" s="396"/>
    </row>
    <row r="12" spans="1:7" ht="12.75" customHeight="1" x14ac:dyDescent="0.2">
      <c r="A12" s="404" t="s">
        <v>800</v>
      </c>
      <c r="E12" s="404" t="s">
        <v>800</v>
      </c>
    </row>
    <row r="13" spans="1:7" ht="12.75" customHeight="1" x14ac:dyDescent="0.2">
      <c r="A13" s="405" t="s">
        <v>801</v>
      </c>
      <c r="E13" s="405" t="s">
        <v>801</v>
      </c>
    </row>
    <row r="14" spans="1:7" ht="12.75" customHeight="1" x14ac:dyDescent="0.2">
      <c r="A14" s="399" t="s">
        <v>911</v>
      </c>
      <c r="E14" s="404" t="s">
        <v>912</v>
      </c>
    </row>
    <row r="15" spans="1:7" ht="12.75" customHeight="1" x14ac:dyDescent="0.2">
      <c r="A15" s="399" t="s">
        <v>913</v>
      </c>
      <c r="E15" s="399" t="s">
        <v>470</v>
      </c>
      <c r="F15" s="402"/>
    </row>
    <row r="16" spans="1:7" ht="12.75" customHeight="1" x14ac:dyDescent="0.2">
      <c r="A16" s="399" t="s">
        <v>949</v>
      </c>
      <c r="E16" s="399" t="s">
        <v>743</v>
      </c>
      <c r="F16" s="402"/>
    </row>
    <row r="17" spans="1:5" ht="12.75" customHeight="1" x14ac:dyDescent="0.2">
      <c r="A17" s="399" t="s">
        <v>950</v>
      </c>
      <c r="E17" s="399" t="s">
        <v>469</v>
      </c>
    </row>
    <row r="18" spans="1:5" ht="12.75" customHeight="1" x14ac:dyDescent="0.2">
      <c r="A18" s="406" t="s">
        <v>1046</v>
      </c>
      <c r="E18" s="404" t="s">
        <v>398</v>
      </c>
    </row>
    <row r="19" spans="1:5" ht="12.75" customHeight="1" x14ac:dyDescent="0.2">
      <c r="A19" s="399" t="s">
        <v>742</v>
      </c>
      <c r="E19" s="399" t="s">
        <v>917</v>
      </c>
    </row>
    <row r="20" spans="1:5" ht="12.75" customHeight="1" x14ac:dyDescent="0.2">
      <c r="A20" s="404" t="s">
        <v>914</v>
      </c>
      <c r="E20" s="399" t="s">
        <v>918</v>
      </c>
    </row>
    <row r="21" spans="1:5" ht="12.75" hidden="1" customHeight="1" x14ac:dyDescent="0.2">
      <c r="A21" s="399" t="s">
        <v>413</v>
      </c>
    </row>
    <row r="22" spans="1:5" ht="12.75" customHeight="1" x14ac:dyDescent="0.2">
      <c r="A22" s="406" t="s">
        <v>1501</v>
      </c>
      <c r="E22" s="399" t="s">
        <v>401</v>
      </c>
    </row>
    <row r="23" spans="1:5" ht="12.75" customHeight="1" x14ac:dyDescent="0.2">
      <c r="A23" s="399" t="s">
        <v>951</v>
      </c>
      <c r="E23" s="399" t="s">
        <v>471</v>
      </c>
    </row>
    <row r="24" spans="1:5" ht="12.75" customHeight="1" x14ac:dyDescent="0.2">
      <c r="A24" s="399" t="s">
        <v>916</v>
      </c>
      <c r="E24" s="399" t="s">
        <v>472</v>
      </c>
    </row>
    <row r="25" spans="1:5" ht="12.75" customHeight="1" x14ac:dyDescent="0.2">
      <c r="A25" s="406" t="s">
        <v>1253</v>
      </c>
      <c r="E25" s="399"/>
    </row>
    <row r="26" spans="1:5" ht="12.75" customHeight="1" x14ac:dyDescent="0.2">
      <c r="A26" s="406" t="s">
        <v>952</v>
      </c>
      <c r="E26" s="399"/>
    </row>
    <row r="27" spans="1:5" ht="12.75" customHeight="1" x14ac:dyDescent="0.2">
      <c r="A27" s="406" t="s">
        <v>953</v>
      </c>
      <c r="E27" s="399"/>
    </row>
    <row r="28" spans="1:5" ht="12.75" customHeight="1" x14ac:dyDescent="0.2">
      <c r="A28" s="404" t="s">
        <v>834</v>
      </c>
      <c r="E28" s="399"/>
    </row>
    <row r="29" spans="1:5" ht="12.75" customHeight="1" x14ac:dyDescent="0.2">
      <c r="A29" s="406" t="s">
        <v>836</v>
      </c>
      <c r="E29" s="404" t="s">
        <v>386</v>
      </c>
    </row>
    <row r="30" spans="1:5" ht="12.75" customHeight="1" x14ac:dyDescent="0.2">
      <c r="A30" s="406" t="s">
        <v>1579</v>
      </c>
      <c r="E30" s="399" t="s">
        <v>835</v>
      </c>
    </row>
    <row r="31" spans="1:5" ht="12.75" customHeight="1" x14ac:dyDescent="0.2">
      <c r="A31" s="404" t="s">
        <v>969</v>
      </c>
      <c r="E31" s="399" t="s">
        <v>968</v>
      </c>
    </row>
    <row r="32" spans="1:5" ht="12.75" customHeight="1" x14ac:dyDescent="0.2">
      <c r="A32" s="406" t="s">
        <v>997</v>
      </c>
      <c r="E32" s="399" t="s">
        <v>996</v>
      </c>
    </row>
    <row r="33" spans="1:6" ht="12.75" customHeight="1" x14ac:dyDescent="0.2">
      <c r="A33" s="406" t="s">
        <v>998</v>
      </c>
      <c r="E33" s="399" t="s">
        <v>387</v>
      </c>
    </row>
    <row r="34" spans="1:6" ht="12.75" customHeight="1" x14ac:dyDescent="0.2">
      <c r="A34" s="399" t="s">
        <v>999</v>
      </c>
      <c r="E34" s="397" t="s">
        <v>467</v>
      </c>
    </row>
    <row r="35" spans="1:6" ht="12.75" customHeight="1" x14ac:dyDescent="0.2">
      <c r="A35" s="404" t="s">
        <v>1001</v>
      </c>
      <c r="E35" s="397" t="s">
        <v>473</v>
      </c>
    </row>
    <row r="36" spans="1:6" ht="12.75" customHeight="1" x14ac:dyDescent="0.2">
      <c r="A36" s="406" t="s">
        <v>1502</v>
      </c>
      <c r="B36" s="402"/>
      <c r="E36" s="404" t="s">
        <v>1000</v>
      </c>
    </row>
    <row r="37" spans="1:6" ht="12.75" customHeight="1" x14ac:dyDescent="0.2">
      <c r="A37" s="406" t="s">
        <v>468</v>
      </c>
      <c r="E37" s="399" t="s">
        <v>1383</v>
      </c>
    </row>
    <row r="38" spans="1:6" ht="12.75" customHeight="1" x14ac:dyDescent="0.2">
      <c r="A38" s="400"/>
      <c r="B38" s="400"/>
      <c r="C38" s="400"/>
      <c r="D38" s="400"/>
    </row>
    <row r="39" spans="1:6" ht="12.75" customHeight="1" x14ac:dyDescent="0.2">
      <c r="A39" s="399" t="s">
        <v>1002</v>
      </c>
      <c r="B39" s="400"/>
      <c r="C39" s="400"/>
      <c r="D39" s="400"/>
    </row>
    <row r="40" spans="1:6" ht="12.75" customHeight="1" x14ac:dyDescent="0.2">
      <c r="A40" s="400"/>
      <c r="B40" s="400"/>
      <c r="C40" s="400"/>
      <c r="D40" s="400"/>
    </row>
    <row r="41" spans="1:6" ht="12.75" customHeight="1" x14ac:dyDescent="0.2">
      <c r="A41" s="399" t="s">
        <v>1003</v>
      </c>
      <c r="B41" s="228"/>
      <c r="E41" s="399" t="s">
        <v>1004</v>
      </c>
      <c r="F41" s="228"/>
    </row>
    <row r="42" spans="1:6" ht="12.75" customHeight="1" x14ac:dyDescent="0.2"/>
    <row r="43" spans="1:6" x14ac:dyDescent="0.2">
      <c r="A43" s="399" t="s">
        <v>1005</v>
      </c>
      <c r="B43" s="228"/>
      <c r="C43" s="396"/>
      <c r="D43" s="396"/>
      <c r="E43" s="399" t="s">
        <v>888</v>
      </c>
      <c r="F43" s="228"/>
    </row>
    <row r="45" spans="1:6" ht="12.75" x14ac:dyDescent="0.2">
      <c r="A45" s="399" t="s">
        <v>101</v>
      </c>
      <c r="B45" s="295"/>
      <c r="C45" s="407"/>
      <c r="D45" s="407"/>
      <c r="E45" s="408"/>
      <c r="F45" s="409"/>
    </row>
    <row r="46" spans="1:6" ht="12.75" x14ac:dyDescent="0.2">
      <c r="A46" s="407"/>
      <c r="B46" s="410"/>
      <c r="C46" s="407"/>
      <c r="D46" s="407"/>
      <c r="E46" s="408"/>
      <c r="F46" s="409"/>
    </row>
    <row r="47" spans="1:6" ht="12.75" x14ac:dyDescent="0.2">
      <c r="A47" s="407"/>
      <c r="B47" s="410"/>
      <c r="C47" s="407"/>
      <c r="D47" s="407"/>
      <c r="E47" s="408"/>
      <c r="F47" s="409"/>
    </row>
    <row r="48" spans="1:6" ht="12.75" x14ac:dyDescent="0.2">
      <c r="A48" s="407"/>
      <c r="B48" s="410"/>
      <c r="C48" s="407"/>
      <c r="D48" s="407"/>
      <c r="E48" s="408"/>
      <c r="F48" s="411"/>
    </row>
    <row r="50" spans="1:2" ht="12.75" x14ac:dyDescent="0.2">
      <c r="A50" s="410"/>
      <c r="B50" s="407"/>
    </row>
    <row r="51" spans="1:2" ht="12.75" x14ac:dyDescent="0.2">
      <c r="A51" s="410"/>
      <c r="B51" s="407"/>
    </row>
  </sheetData>
  <sheetProtection password="CB03" sheet="1" objects="1" scenarios="1" formatCells="0" formatColumns="0" formatRows="0"/>
  <phoneticPr fontId="15" type="noConversion"/>
  <pageMargins left="0.75" right="0.75" top="1" bottom="1" header="0.5" footer="0.5"/>
  <pageSetup scale="74" orientation="landscape" horizontalDpi="300" verticalDpi="300" r:id="rId1"/>
  <headerFooter alignWithMargins="0">
    <oddFooter>&amp;LCDE, Public Scool Finance Unit&amp;C&amp;P&amp;RRevised  March, 2009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I58"/>
  <sheetViews>
    <sheetView workbookViewId="0">
      <selection activeCell="A2" sqref="A2"/>
    </sheetView>
  </sheetViews>
  <sheetFormatPr defaultRowHeight="10.5" x14ac:dyDescent="0.15"/>
  <cols>
    <col min="1" max="1" width="9" style="155" customWidth="1"/>
    <col min="2" max="2" width="3.83203125" style="155" customWidth="1"/>
    <col min="3" max="3" width="70.83203125" style="155" customWidth="1"/>
    <col min="4" max="4" width="15.83203125" style="155" customWidth="1"/>
    <col min="5" max="5" width="18" style="155" customWidth="1"/>
    <col min="6" max="6" width="17.33203125" style="155" customWidth="1"/>
    <col min="7" max="7" width="15.83203125" style="155" customWidth="1"/>
    <col min="8" max="8" width="15" style="155" customWidth="1"/>
    <col min="9" max="9" width="16" style="155" customWidth="1"/>
    <col min="10" max="16384" width="9.33203125" style="155"/>
  </cols>
  <sheetData>
    <row r="1" spans="1:9" x14ac:dyDescent="0.15">
      <c r="A1" s="155" t="s">
        <v>1044</v>
      </c>
      <c r="C1" s="160">
        <f>+'Page 1 - FY2016-17'!B5</f>
        <v>0</v>
      </c>
      <c r="D1" s="155" t="s">
        <v>889</v>
      </c>
      <c r="E1" s="161">
        <f>+'Page 1 - FY2016-17'!F7</f>
        <v>0</v>
      </c>
      <c r="G1" s="37" t="s">
        <v>891</v>
      </c>
    </row>
    <row r="2" spans="1:9" x14ac:dyDescent="0.15">
      <c r="A2" s="15" t="s">
        <v>1320</v>
      </c>
    </row>
    <row r="3" spans="1:9" ht="42" x14ac:dyDescent="0.15">
      <c r="D3" s="580" t="s">
        <v>1607</v>
      </c>
      <c r="E3" s="580" t="s">
        <v>1606</v>
      </c>
      <c r="F3" s="580" t="s">
        <v>1605</v>
      </c>
      <c r="G3" s="580" t="s">
        <v>1604</v>
      </c>
      <c r="H3" s="580" t="s">
        <v>1603</v>
      </c>
      <c r="I3" s="580" t="s">
        <v>1602</v>
      </c>
    </row>
    <row r="4" spans="1:9" ht="63" x14ac:dyDescent="0.15">
      <c r="D4" s="424"/>
      <c r="E4" s="424"/>
      <c r="F4" s="424"/>
      <c r="G4" s="424"/>
      <c r="H4" s="713" t="s">
        <v>1541</v>
      </c>
      <c r="I4" s="715" t="s">
        <v>1516</v>
      </c>
    </row>
    <row r="5" spans="1:9" ht="11.25" thickBot="1" x14ac:dyDescent="0.2">
      <c r="D5" s="163"/>
      <c r="E5" s="163"/>
      <c r="F5" s="163"/>
      <c r="G5" s="163"/>
      <c r="I5" s="164"/>
    </row>
    <row r="6" spans="1:9" ht="11.25" thickBot="1" x14ac:dyDescent="0.2">
      <c r="A6" s="34" t="s">
        <v>1132</v>
      </c>
      <c r="B6" s="34" t="s">
        <v>892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168">
        <f>G6+H6</f>
        <v>0</v>
      </c>
    </row>
    <row r="7" spans="1:9" x14ac:dyDescent="0.15">
      <c r="A7" s="35" t="s">
        <v>895</v>
      </c>
      <c r="C7" s="206" t="s">
        <v>1133</v>
      </c>
      <c r="E7" s="8"/>
      <c r="F7" s="156"/>
      <c r="G7" s="156"/>
      <c r="I7" s="164"/>
    </row>
    <row r="8" spans="1:9" x14ac:dyDescent="0.15">
      <c r="A8" s="114" t="s">
        <v>898</v>
      </c>
      <c r="B8" s="171" t="s">
        <v>560</v>
      </c>
      <c r="C8" s="114" t="s">
        <v>1191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92">
        <f>SUM(G8+H8)</f>
        <v>0</v>
      </c>
    </row>
    <row r="9" spans="1:9" x14ac:dyDescent="0.15">
      <c r="A9" s="114" t="s">
        <v>899</v>
      </c>
      <c r="B9" s="171" t="s">
        <v>561</v>
      </c>
      <c r="C9" s="114" t="s">
        <v>1192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2">
        <f t="shared" ref="I9:I20" si="0">SUM(G9+H9)</f>
        <v>0</v>
      </c>
    </row>
    <row r="10" spans="1:9" x14ac:dyDescent="0.15">
      <c r="A10" s="149" t="s">
        <v>900</v>
      </c>
      <c r="B10" s="171" t="s">
        <v>562</v>
      </c>
      <c r="C10" s="114" t="s">
        <v>1193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2">
        <f t="shared" si="0"/>
        <v>0</v>
      </c>
    </row>
    <row r="11" spans="1:9" x14ac:dyDescent="0.15">
      <c r="A11" s="114" t="s">
        <v>901</v>
      </c>
      <c r="B11" s="171" t="s">
        <v>625</v>
      </c>
      <c r="C11" s="114" t="s">
        <v>632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2">
        <f t="shared" si="0"/>
        <v>0</v>
      </c>
    </row>
    <row r="12" spans="1:9" x14ac:dyDescent="0.15">
      <c r="A12" s="149" t="s">
        <v>1190</v>
      </c>
      <c r="B12" s="171" t="s">
        <v>626</v>
      </c>
      <c r="C12" s="114" t="s">
        <v>49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92">
        <f t="shared" si="0"/>
        <v>0</v>
      </c>
    </row>
    <row r="13" spans="1:9" x14ac:dyDescent="0.15">
      <c r="A13" s="114" t="s">
        <v>905</v>
      </c>
      <c r="B13" s="171" t="s">
        <v>627</v>
      </c>
      <c r="C13" s="114" t="s">
        <v>718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92">
        <f t="shared" si="0"/>
        <v>0</v>
      </c>
    </row>
    <row r="14" spans="1:9" x14ac:dyDescent="0.15">
      <c r="A14" s="149" t="s">
        <v>66</v>
      </c>
      <c r="B14" s="171" t="s">
        <v>628</v>
      </c>
      <c r="C14" s="114" t="s">
        <v>67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92">
        <f t="shared" si="0"/>
        <v>0</v>
      </c>
    </row>
    <row r="15" spans="1:9" x14ac:dyDescent="0.15">
      <c r="A15" s="149" t="s">
        <v>1033</v>
      </c>
      <c r="B15" s="171" t="s">
        <v>629</v>
      </c>
      <c r="C15" s="114" t="s">
        <v>722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92">
        <f t="shared" si="0"/>
        <v>0</v>
      </c>
    </row>
    <row r="16" spans="1:9" x14ac:dyDescent="0.15">
      <c r="A16" s="149" t="s">
        <v>719</v>
      </c>
      <c r="B16" s="171" t="s">
        <v>637</v>
      </c>
      <c r="C16" s="114" t="s">
        <v>723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92">
        <f t="shared" si="0"/>
        <v>0</v>
      </c>
    </row>
    <row r="17" spans="1:9" x14ac:dyDescent="0.15">
      <c r="A17" s="149" t="s">
        <v>720</v>
      </c>
      <c r="B17" s="171" t="s">
        <v>641</v>
      </c>
      <c r="C17" s="114" t="s">
        <v>581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92">
        <f t="shared" si="0"/>
        <v>0</v>
      </c>
    </row>
    <row r="18" spans="1:9" x14ac:dyDescent="0.15">
      <c r="A18" s="149" t="s">
        <v>721</v>
      </c>
      <c r="B18" s="171" t="s">
        <v>642</v>
      </c>
      <c r="C18" s="114" t="s">
        <v>582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92">
        <f t="shared" si="0"/>
        <v>0</v>
      </c>
    </row>
    <row r="19" spans="1:9" x14ac:dyDescent="0.15">
      <c r="A19" s="114" t="s">
        <v>1043</v>
      </c>
      <c r="B19" s="171" t="s">
        <v>638</v>
      </c>
      <c r="C19" s="2" t="s">
        <v>303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92">
        <f t="shared" si="0"/>
        <v>0</v>
      </c>
    </row>
    <row r="20" spans="1:9" x14ac:dyDescent="0.15">
      <c r="B20" s="171" t="s">
        <v>639</v>
      </c>
      <c r="C20" s="114" t="s">
        <v>1149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92">
        <f t="shared" si="0"/>
        <v>0</v>
      </c>
    </row>
    <row r="21" spans="1:9" ht="11.25" thickBot="1" x14ac:dyDescent="0.2">
      <c r="A21" s="114"/>
      <c r="B21" s="164"/>
      <c r="C21" s="2"/>
      <c r="D21" s="14"/>
      <c r="E21" s="14"/>
      <c r="F21" s="14"/>
      <c r="G21" s="14"/>
      <c r="I21" s="164"/>
    </row>
    <row r="22" spans="1:9" ht="12" thickTop="1" thickBot="1" x14ac:dyDescent="0.2">
      <c r="B22" s="171" t="s">
        <v>644</v>
      </c>
      <c r="C22" s="34" t="s">
        <v>583</v>
      </c>
      <c r="D22" s="166">
        <f t="shared" ref="D22:I22" si="1">SUM(D8:D20)</f>
        <v>0</v>
      </c>
      <c r="E22" s="166">
        <f t="shared" si="1"/>
        <v>0</v>
      </c>
      <c r="F22" s="166">
        <f t="shared" si="1"/>
        <v>0</v>
      </c>
      <c r="G22" s="166">
        <f t="shared" si="1"/>
        <v>0</v>
      </c>
      <c r="H22" s="166">
        <f t="shared" si="1"/>
        <v>0</v>
      </c>
      <c r="I22" s="166">
        <f t="shared" si="1"/>
        <v>0</v>
      </c>
    </row>
    <row r="23" spans="1:9" ht="12" thickTop="1" thickBot="1" x14ac:dyDescent="0.2">
      <c r="C23" s="114"/>
      <c r="D23" s="167"/>
      <c r="E23" s="167"/>
      <c r="F23" s="167"/>
      <c r="G23" s="167"/>
      <c r="I23" s="164"/>
    </row>
    <row r="24" spans="1:9" ht="11.25" thickBot="1" x14ac:dyDescent="0.2">
      <c r="A24" s="34" t="s">
        <v>584</v>
      </c>
      <c r="D24" s="168">
        <f t="shared" ref="D24:I24" si="2">D6+D22</f>
        <v>0</v>
      </c>
      <c r="E24" s="168">
        <f t="shared" si="2"/>
        <v>0</v>
      </c>
      <c r="F24" s="168">
        <f t="shared" si="2"/>
        <v>0</v>
      </c>
      <c r="G24" s="168">
        <f t="shared" si="2"/>
        <v>0</v>
      </c>
      <c r="H24" s="168">
        <f t="shared" si="2"/>
        <v>0</v>
      </c>
      <c r="I24" s="168">
        <f t="shared" si="2"/>
        <v>0</v>
      </c>
    </row>
    <row r="25" spans="1:9" x14ac:dyDescent="0.15">
      <c r="E25" s="156"/>
      <c r="F25" s="156"/>
      <c r="G25" s="156"/>
      <c r="I25" s="164"/>
    </row>
    <row r="26" spans="1:9" x14ac:dyDescent="0.15">
      <c r="A26" s="563" t="s">
        <v>290</v>
      </c>
      <c r="B26" s="413"/>
      <c r="C26" s="427" t="s">
        <v>286</v>
      </c>
      <c r="D26" s="412"/>
      <c r="E26" s="412"/>
      <c r="F26" s="412"/>
      <c r="G26" s="412"/>
      <c r="H26" s="412"/>
      <c r="I26" s="176"/>
    </row>
    <row r="27" spans="1:9" x14ac:dyDescent="0.15">
      <c r="A27" s="417" t="s">
        <v>1043</v>
      </c>
      <c r="B27" s="433" t="s">
        <v>733</v>
      </c>
      <c r="C27" s="2" t="s">
        <v>293</v>
      </c>
      <c r="D27" s="40">
        <v>0</v>
      </c>
      <c r="E27" s="40">
        <v>0</v>
      </c>
      <c r="F27" s="40">
        <v>0</v>
      </c>
      <c r="G27" s="40">
        <v>0</v>
      </c>
      <c r="H27" s="463">
        <v>0</v>
      </c>
      <c r="I27" s="464">
        <f>SUM(G27+H27)</f>
        <v>0</v>
      </c>
    </row>
    <row r="28" spans="1:9" x14ac:dyDescent="0.15">
      <c r="A28" s="417"/>
      <c r="B28" s="433"/>
      <c r="C28" s="2"/>
      <c r="D28" s="14"/>
      <c r="E28" s="14"/>
      <c r="F28" s="14"/>
      <c r="G28" s="14"/>
      <c r="H28" s="301"/>
      <c r="I28" s="298"/>
    </row>
    <row r="29" spans="1:9" x14ac:dyDescent="0.15">
      <c r="A29" s="423"/>
      <c r="B29" s="413"/>
      <c r="C29" s="412"/>
      <c r="D29" s="412"/>
      <c r="E29" s="412"/>
      <c r="F29" s="412"/>
      <c r="G29" s="412"/>
      <c r="H29" s="412"/>
      <c r="I29" s="412"/>
    </row>
    <row r="30" spans="1:9" x14ac:dyDescent="0.15">
      <c r="A30" s="35" t="s">
        <v>1135</v>
      </c>
      <c r="C30" s="206" t="s">
        <v>1136</v>
      </c>
      <c r="E30" s="156"/>
      <c r="F30" s="156"/>
      <c r="G30" s="156"/>
      <c r="I30" s="164"/>
    </row>
    <row r="31" spans="1:9" x14ac:dyDescent="0.15">
      <c r="A31" s="35"/>
      <c r="B31" s="39"/>
      <c r="C31" s="114" t="s">
        <v>1304</v>
      </c>
      <c r="E31" s="156"/>
      <c r="F31" s="156"/>
      <c r="G31" s="156"/>
      <c r="I31" s="164"/>
    </row>
    <row r="32" spans="1:9" x14ac:dyDescent="0.15">
      <c r="A32" s="114" t="s">
        <v>1323</v>
      </c>
      <c r="B32" s="157" t="s">
        <v>645</v>
      </c>
      <c r="C32" s="114" t="s">
        <v>1302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92">
        <f>SUM(G32+H32)</f>
        <v>0</v>
      </c>
    </row>
    <row r="33" spans="1:9" x14ac:dyDescent="0.15">
      <c r="A33" s="114" t="s">
        <v>1322</v>
      </c>
      <c r="B33" s="171" t="s">
        <v>646</v>
      </c>
      <c r="C33" s="114" t="s">
        <v>585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92">
        <f>SUM(G33+H33)</f>
        <v>0</v>
      </c>
    </row>
    <row r="34" spans="1:9" x14ac:dyDescent="0.15">
      <c r="A34" s="149"/>
      <c r="B34" s="149"/>
      <c r="C34" s="568" t="s">
        <v>976</v>
      </c>
      <c r="D34" s="459">
        <f t="shared" ref="D34:I34" si="3">+D27</f>
        <v>0</v>
      </c>
      <c r="E34" s="459">
        <f t="shared" si="3"/>
        <v>0</v>
      </c>
      <c r="F34" s="459">
        <f t="shared" si="3"/>
        <v>0</v>
      </c>
      <c r="G34" s="459">
        <f t="shared" si="3"/>
        <v>0</v>
      </c>
      <c r="H34" s="459">
        <f t="shared" si="3"/>
        <v>0</v>
      </c>
      <c r="I34" s="459">
        <f t="shared" si="3"/>
        <v>0</v>
      </c>
    </row>
    <row r="35" spans="1:9" x14ac:dyDescent="0.15">
      <c r="B35" s="171" t="s">
        <v>647</v>
      </c>
      <c r="C35" s="114" t="s">
        <v>877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92">
        <f>SUM(G35+H35)</f>
        <v>0</v>
      </c>
    </row>
    <row r="36" spans="1:9" ht="11.25" thickBot="1" x14ac:dyDescent="0.2">
      <c r="C36" s="114"/>
      <c r="D36" s="14"/>
      <c r="E36" s="14"/>
      <c r="F36" s="14"/>
      <c r="G36" s="14"/>
      <c r="I36" s="164"/>
    </row>
    <row r="37" spans="1:9" ht="12" thickTop="1" thickBot="1" x14ac:dyDescent="0.2">
      <c r="B37" s="171" t="s">
        <v>648</v>
      </c>
      <c r="C37" s="34" t="s">
        <v>810</v>
      </c>
      <c r="D37" s="170">
        <f t="shared" ref="D37:I37" si="4">SUM(D32:D35)</f>
        <v>0</v>
      </c>
      <c r="E37" s="170">
        <f t="shared" si="4"/>
        <v>0</v>
      </c>
      <c r="F37" s="170">
        <f t="shared" si="4"/>
        <v>0</v>
      </c>
      <c r="G37" s="170">
        <f t="shared" si="4"/>
        <v>0</v>
      </c>
      <c r="H37" s="170">
        <f t="shared" si="4"/>
        <v>0</v>
      </c>
      <c r="I37" s="170">
        <f t="shared" si="4"/>
        <v>0</v>
      </c>
    </row>
    <row r="38" spans="1:9" ht="11.25" thickTop="1" x14ac:dyDescent="0.15">
      <c r="E38" s="156"/>
      <c r="F38" s="156"/>
      <c r="G38" s="156"/>
      <c r="I38" s="164"/>
    </row>
    <row r="39" spans="1:9" x14ac:dyDescent="0.15">
      <c r="A39" s="152" t="s">
        <v>1048</v>
      </c>
      <c r="C39" s="206" t="s">
        <v>211</v>
      </c>
      <c r="D39" s="156"/>
      <c r="E39" s="156"/>
      <c r="F39" s="156"/>
      <c r="G39" s="156"/>
      <c r="I39" s="164"/>
    </row>
    <row r="40" spans="1:9" x14ac:dyDescent="0.15">
      <c r="A40" s="486" t="s">
        <v>827</v>
      </c>
      <c r="B40" s="633" t="s">
        <v>649</v>
      </c>
      <c r="C40" s="135" t="s">
        <v>821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92">
        <f>SUM(G40+H40)</f>
        <v>0</v>
      </c>
    </row>
    <row r="41" spans="1:9" ht="11.25" customHeight="1" x14ac:dyDescent="0.15">
      <c r="A41" s="627" t="s">
        <v>1395</v>
      </c>
      <c r="B41" s="633" t="s">
        <v>650</v>
      </c>
      <c r="C41" s="135" t="s">
        <v>823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92">
        <f>SUM(G41+H41)</f>
        <v>0</v>
      </c>
    </row>
    <row r="42" spans="1:9" x14ac:dyDescent="0.15">
      <c r="A42" s="627" t="s">
        <v>1396</v>
      </c>
      <c r="B42" s="633" t="s">
        <v>651</v>
      </c>
      <c r="C42" s="625" t="s">
        <v>1397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92">
        <f>SUM(G42+H42)</f>
        <v>0</v>
      </c>
    </row>
    <row r="43" spans="1:9" ht="11.25" thickBot="1" x14ac:dyDescent="0.2">
      <c r="A43" s="486" t="s">
        <v>831</v>
      </c>
      <c r="B43" s="633" t="s">
        <v>652</v>
      </c>
      <c r="C43" s="135" t="s">
        <v>825</v>
      </c>
      <c r="D43" s="147">
        <v>0</v>
      </c>
      <c r="E43" s="147">
        <v>0</v>
      </c>
      <c r="F43" s="147">
        <v>0</v>
      </c>
      <c r="G43" s="147">
        <v>0</v>
      </c>
      <c r="H43" s="40">
        <v>0</v>
      </c>
      <c r="I43" s="492">
        <f>SUM(G43+H43)</f>
        <v>0</v>
      </c>
    </row>
    <row r="44" spans="1:9" ht="12" thickTop="1" thickBot="1" x14ac:dyDescent="0.2">
      <c r="A44" s="146"/>
      <c r="B44" s="185" t="s">
        <v>657</v>
      </c>
      <c r="C44" s="1" t="s">
        <v>1411</v>
      </c>
      <c r="D44" s="148">
        <f t="shared" ref="D44:I44" si="5">SUM(D40:D43)</f>
        <v>0</v>
      </c>
      <c r="E44" s="148">
        <f t="shared" si="5"/>
        <v>0</v>
      </c>
      <c r="F44" s="148">
        <f t="shared" si="5"/>
        <v>0</v>
      </c>
      <c r="G44" s="148">
        <f t="shared" si="5"/>
        <v>0</v>
      </c>
      <c r="H44" s="148">
        <f t="shared" si="5"/>
        <v>0</v>
      </c>
      <c r="I44" s="166">
        <f t="shared" si="5"/>
        <v>0</v>
      </c>
    </row>
    <row r="45" spans="1:9" ht="12" thickTop="1" thickBot="1" x14ac:dyDescent="0.2">
      <c r="A45" s="146"/>
      <c r="C45" s="114"/>
      <c r="D45" s="156"/>
      <c r="E45" s="156"/>
      <c r="F45" s="156"/>
      <c r="G45" s="156"/>
      <c r="I45" s="164"/>
    </row>
    <row r="46" spans="1:9" ht="11.25" thickBot="1" x14ac:dyDescent="0.2">
      <c r="A46" s="731" t="s">
        <v>1420</v>
      </c>
      <c r="B46" s="731"/>
      <c r="C46" s="733"/>
      <c r="D46" s="208">
        <f t="shared" ref="D46:I46" si="6">D37+D44</f>
        <v>0</v>
      </c>
      <c r="E46" s="208">
        <f t="shared" si="6"/>
        <v>0</v>
      </c>
      <c r="F46" s="208">
        <f t="shared" si="6"/>
        <v>0</v>
      </c>
      <c r="G46" s="208">
        <f t="shared" si="6"/>
        <v>0</v>
      </c>
      <c r="H46" s="208">
        <f t="shared" si="6"/>
        <v>0</v>
      </c>
      <c r="I46" s="208">
        <f t="shared" si="6"/>
        <v>0</v>
      </c>
    </row>
    <row r="47" spans="1:9" x14ac:dyDescent="0.15">
      <c r="A47" s="146"/>
      <c r="C47" s="114" t="s">
        <v>203</v>
      </c>
      <c r="D47" s="156"/>
      <c r="E47" s="156"/>
      <c r="F47" s="156"/>
      <c r="G47" s="156"/>
      <c r="I47" s="164"/>
    </row>
    <row r="48" spans="1:9" ht="11.25" thickBot="1" x14ac:dyDescent="0.2">
      <c r="A48" s="146"/>
      <c r="C48" s="114"/>
      <c r="D48" s="156"/>
      <c r="E48" s="156"/>
      <c r="F48" s="156"/>
      <c r="G48" s="156"/>
      <c r="I48" s="164"/>
    </row>
    <row r="49" spans="1:9" ht="12" thickTop="1" thickBot="1" x14ac:dyDescent="0.2">
      <c r="C49" s="169" t="s">
        <v>204</v>
      </c>
      <c r="D49" s="170">
        <f t="shared" ref="D49:I49" si="7">D24</f>
        <v>0</v>
      </c>
      <c r="E49" s="170">
        <f t="shared" si="7"/>
        <v>0</v>
      </c>
      <c r="F49" s="170">
        <f t="shared" si="7"/>
        <v>0</v>
      </c>
      <c r="G49" s="170">
        <f t="shared" si="7"/>
        <v>0</v>
      </c>
      <c r="H49" s="170">
        <f t="shared" si="7"/>
        <v>0</v>
      </c>
      <c r="I49" s="170">
        <f t="shared" si="7"/>
        <v>0</v>
      </c>
    </row>
    <row r="50" spans="1:9" ht="22.5" customHeight="1" thickTop="1" x14ac:dyDescent="0.15">
      <c r="I50" s="164"/>
    </row>
    <row r="51" spans="1:9" x14ac:dyDescent="0.15">
      <c r="C51" s="169" t="s">
        <v>205</v>
      </c>
      <c r="D51" s="155">
        <f t="shared" ref="D51:I51" si="8">D46-D49</f>
        <v>0</v>
      </c>
      <c r="E51" s="155">
        <f t="shared" si="8"/>
        <v>0</v>
      </c>
      <c r="F51" s="155">
        <f t="shared" si="8"/>
        <v>0</v>
      </c>
      <c r="G51" s="155">
        <f t="shared" si="8"/>
        <v>0</v>
      </c>
      <c r="H51" s="155">
        <f t="shared" si="8"/>
        <v>0</v>
      </c>
      <c r="I51" s="164">
        <f t="shared" si="8"/>
        <v>0</v>
      </c>
    </row>
    <row r="52" spans="1:9" x14ac:dyDescent="0.15">
      <c r="I52" s="164"/>
    </row>
    <row r="55" spans="1:9" ht="30" customHeight="1" x14ac:dyDescent="0.15">
      <c r="A55" s="734" t="s">
        <v>1240</v>
      </c>
      <c r="B55" s="734"/>
      <c r="C55" s="734"/>
      <c r="D55" s="734"/>
      <c r="E55" s="734"/>
      <c r="F55" s="734"/>
      <c r="G55" s="734"/>
    </row>
    <row r="57" spans="1:9" x14ac:dyDescent="0.15">
      <c r="A57" s="114" t="s">
        <v>1324</v>
      </c>
    </row>
    <row r="58" spans="1:9" x14ac:dyDescent="0.15">
      <c r="C58" s="114"/>
    </row>
  </sheetData>
  <sheetProtection password="CB03" sheet="1" objects="1" scenarios="1" formatCells="0" formatColumns="0" formatRows="0"/>
  <mergeCells count="2">
    <mergeCell ref="A46:C46"/>
    <mergeCell ref="A55:G55"/>
  </mergeCells>
  <phoneticPr fontId="15" type="noConversion"/>
  <pageMargins left="0.75" right="0.75" top="1" bottom="1" header="0.5" footer="0.5"/>
  <pageSetup scale="62" firstPageNumber="37" fitToHeight="0" orientation="portrait" horizontalDpi="300" verticalDpi="300" r:id="rId1"/>
  <headerFooter alignWithMargins="0">
    <oddFooter>&amp;LCDE, Public Scool Finance Unit&amp;C&amp;P&amp;R&amp;D</oddFooter>
  </headerFooter>
  <ignoredErrors>
    <ignoredError sqref="A13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workbookViewId="0">
      <selection activeCell="A2" sqref="A2"/>
    </sheetView>
  </sheetViews>
  <sheetFormatPr defaultRowHeight="10.5" x14ac:dyDescent="0.15"/>
  <cols>
    <col min="1" max="1" width="9" style="155" customWidth="1"/>
    <col min="2" max="2" width="3.83203125" style="155" customWidth="1"/>
    <col min="3" max="3" width="70.83203125" style="155" customWidth="1"/>
    <col min="4" max="4" width="15.83203125" style="155" customWidth="1"/>
    <col min="5" max="5" width="18" style="155" customWidth="1"/>
    <col min="6" max="6" width="17.33203125" style="155" customWidth="1"/>
    <col min="7" max="7" width="15.83203125" style="155" customWidth="1"/>
    <col min="8" max="8" width="15" style="155" customWidth="1"/>
    <col min="9" max="9" width="16" style="155" customWidth="1"/>
    <col min="10" max="16384" width="9.33203125" style="155"/>
  </cols>
  <sheetData>
    <row r="1" spans="1:9" x14ac:dyDescent="0.15">
      <c r="A1" s="155" t="s">
        <v>1044</v>
      </c>
      <c r="C1" s="160">
        <f>+'Page 1 - FY2016-17'!B5</f>
        <v>0</v>
      </c>
      <c r="D1" s="155" t="s">
        <v>889</v>
      </c>
      <c r="E1" s="161">
        <f>+'Page 1 - FY2016-17'!F7</f>
        <v>0</v>
      </c>
      <c r="G1" s="37" t="s">
        <v>891</v>
      </c>
    </row>
    <row r="2" spans="1:9" x14ac:dyDescent="0.15">
      <c r="A2" s="15" t="s">
        <v>1398</v>
      </c>
    </row>
    <row r="3" spans="1:9" ht="42" x14ac:dyDescent="0.15">
      <c r="D3" s="580" t="s">
        <v>1607</v>
      </c>
      <c r="E3" s="580" t="s">
        <v>1606</v>
      </c>
      <c r="F3" s="580" t="s">
        <v>1605</v>
      </c>
      <c r="G3" s="580" t="s">
        <v>1604</v>
      </c>
      <c r="H3" s="580" t="s">
        <v>1603</v>
      </c>
      <c r="I3" s="580" t="s">
        <v>1602</v>
      </c>
    </row>
    <row r="4" spans="1:9" ht="63" x14ac:dyDescent="0.15">
      <c r="D4" s="424"/>
      <c r="E4" s="424"/>
      <c r="F4" s="424"/>
      <c r="G4" s="424"/>
      <c r="H4" s="713" t="s">
        <v>1541</v>
      </c>
      <c r="I4" s="715" t="s">
        <v>1516</v>
      </c>
    </row>
    <row r="5" spans="1:9" ht="11.25" thickBot="1" x14ac:dyDescent="0.2">
      <c r="D5" s="163"/>
      <c r="E5" s="163"/>
      <c r="F5" s="163"/>
      <c r="G5" s="163"/>
      <c r="I5" s="164"/>
    </row>
    <row r="6" spans="1:9" ht="11.25" thickBot="1" x14ac:dyDescent="0.2">
      <c r="A6" s="34" t="s">
        <v>1132</v>
      </c>
      <c r="B6" s="34" t="s">
        <v>892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168">
        <f>G6+H6</f>
        <v>0</v>
      </c>
    </row>
    <row r="7" spans="1:9" x14ac:dyDescent="0.15">
      <c r="A7" s="35" t="s">
        <v>895</v>
      </c>
      <c r="C7" s="206" t="s">
        <v>1133</v>
      </c>
      <c r="E7" s="8"/>
      <c r="F7" s="156"/>
      <c r="G7" s="156"/>
      <c r="I7" s="164"/>
    </row>
    <row r="8" spans="1:9" x14ac:dyDescent="0.15">
      <c r="A8" s="556" t="s">
        <v>898</v>
      </c>
      <c r="B8" s="558" t="s">
        <v>560</v>
      </c>
      <c r="C8" s="556" t="s">
        <v>1191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92">
        <f>SUM(G8+H8)</f>
        <v>0</v>
      </c>
    </row>
    <row r="9" spans="1:9" x14ac:dyDescent="0.15">
      <c r="A9" s="556" t="s">
        <v>899</v>
      </c>
      <c r="B9" s="558" t="s">
        <v>561</v>
      </c>
      <c r="C9" s="556" t="s">
        <v>1192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2">
        <f t="shared" ref="I9:I20" si="0">SUM(G9+H9)</f>
        <v>0</v>
      </c>
    </row>
    <row r="10" spans="1:9" x14ac:dyDescent="0.15">
      <c r="A10" s="555" t="s">
        <v>900</v>
      </c>
      <c r="B10" s="558" t="s">
        <v>562</v>
      </c>
      <c r="C10" s="556" t="s">
        <v>1193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2">
        <f t="shared" si="0"/>
        <v>0</v>
      </c>
    </row>
    <row r="11" spans="1:9" x14ac:dyDescent="0.15">
      <c r="A11" s="556" t="s">
        <v>901</v>
      </c>
      <c r="B11" s="558" t="s">
        <v>625</v>
      </c>
      <c r="C11" s="556" t="s">
        <v>632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2">
        <f t="shared" si="0"/>
        <v>0</v>
      </c>
    </row>
    <row r="12" spans="1:9" x14ac:dyDescent="0.15">
      <c r="A12" s="555" t="s">
        <v>1190</v>
      </c>
      <c r="B12" s="558" t="s">
        <v>626</v>
      </c>
      <c r="C12" s="556" t="s">
        <v>49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92">
        <f t="shared" si="0"/>
        <v>0</v>
      </c>
    </row>
    <row r="13" spans="1:9" x14ac:dyDescent="0.15">
      <c r="A13" s="114" t="s">
        <v>905</v>
      </c>
      <c r="B13" s="171" t="s">
        <v>627</v>
      </c>
      <c r="C13" s="114" t="s">
        <v>718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92">
        <f t="shared" si="0"/>
        <v>0</v>
      </c>
    </row>
    <row r="14" spans="1:9" x14ac:dyDescent="0.15">
      <c r="A14" s="149" t="s">
        <v>66</v>
      </c>
      <c r="B14" s="171" t="s">
        <v>628</v>
      </c>
      <c r="C14" s="114" t="s">
        <v>67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92">
        <f t="shared" si="0"/>
        <v>0</v>
      </c>
    </row>
    <row r="15" spans="1:9" x14ac:dyDescent="0.15">
      <c r="A15" s="149" t="s">
        <v>1033</v>
      </c>
      <c r="B15" s="171" t="s">
        <v>629</v>
      </c>
      <c r="C15" s="114" t="s">
        <v>722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92">
        <f t="shared" si="0"/>
        <v>0</v>
      </c>
    </row>
    <row r="16" spans="1:9" x14ac:dyDescent="0.15">
      <c r="A16" s="149" t="s">
        <v>719</v>
      </c>
      <c r="B16" s="171" t="s">
        <v>637</v>
      </c>
      <c r="C16" s="114" t="s">
        <v>723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92">
        <f t="shared" si="0"/>
        <v>0</v>
      </c>
    </row>
    <row r="17" spans="1:9" x14ac:dyDescent="0.15">
      <c r="A17" s="149" t="s">
        <v>720</v>
      </c>
      <c r="B17" s="171" t="s">
        <v>641</v>
      </c>
      <c r="C17" s="114" t="s">
        <v>581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92">
        <f t="shared" si="0"/>
        <v>0</v>
      </c>
    </row>
    <row r="18" spans="1:9" x14ac:dyDescent="0.15">
      <c r="A18" s="149" t="s">
        <v>721</v>
      </c>
      <c r="B18" s="171" t="s">
        <v>642</v>
      </c>
      <c r="C18" s="114" t="s">
        <v>582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92">
        <f t="shared" si="0"/>
        <v>0</v>
      </c>
    </row>
    <row r="19" spans="1:9" x14ac:dyDescent="0.15">
      <c r="A19" s="114" t="s">
        <v>1043</v>
      </c>
      <c r="B19" s="171" t="s">
        <v>638</v>
      </c>
      <c r="C19" s="2" t="s">
        <v>303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92">
        <f t="shared" si="0"/>
        <v>0</v>
      </c>
    </row>
    <row r="20" spans="1:9" x14ac:dyDescent="0.15">
      <c r="B20" s="171" t="s">
        <v>639</v>
      </c>
      <c r="C20" s="114" t="s">
        <v>1149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92">
        <f t="shared" si="0"/>
        <v>0</v>
      </c>
    </row>
    <row r="21" spans="1:9" ht="11.25" thickBot="1" x14ac:dyDescent="0.2">
      <c r="A21" s="114"/>
      <c r="B21" s="164"/>
      <c r="C21" s="2"/>
      <c r="D21" s="14"/>
      <c r="E21" s="14"/>
      <c r="F21" s="14"/>
      <c r="G21" s="14"/>
      <c r="I21" s="164"/>
    </row>
    <row r="22" spans="1:9" ht="12" thickTop="1" thickBot="1" x14ac:dyDescent="0.2">
      <c r="B22" s="171" t="s">
        <v>644</v>
      </c>
      <c r="C22" s="34" t="s">
        <v>583</v>
      </c>
      <c r="D22" s="166">
        <f t="shared" ref="D22:I22" si="1">SUM(D8:D20)</f>
        <v>0</v>
      </c>
      <c r="E22" s="166">
        <f t="shared" si="1"/>
        <v>0</v>
      </c>
      <c r="F22" s="166">
        <f t="shared" si="1"/>
        <v>0</v>
      </c>
      <c r="G22" s="166">
        <f t="shared" si="1"/>
        <v>0</v>
      </c>
      <c r="H22" s="166">
        <f t="shared" si="1"/>
        <v>0</v>
      </c>
      <c r="I22" s="166">
        <f t="shared" si="1"/>
        <v>0</v>
      </c>
    </row>
    <row r="23" spans="1:9" ht="12" thickTop="1" thickBot="1" x14ac:dyDescent="0.2">
      <c r="C23" s="114"/>
      <c r="D23" s="167"/>
      <c r="E23" s="167"/>
      <c r="F23" s="167"/>
      <c r="G23" s="167"/>
      <c r="I23" s="164"/>
    </row>
    <row r="24" spans="1:9" ht="11.25" thickBot="1" x14ac:dyDescent="0.2">
      <c r="A24" s="34" t="s">
        <v>584</v>
      </c>
      <c r="D24" s="168">
        <f t="shared" ref="D24:I24" si="2">D6+D22</f>
        <v>0</v>
      </c>
      <c r="E24" s="168">
        <f t="shared" si="2"/>
        <v>0</v>
      </c>
      <c r="F24" s="168">
        <f t="shared" si="2"/>
        <v>0</v>
      </c>
      <c r="G24" s="168">
        <f t="shared" si="2"/>
        <v>0</v>
      </c>
      <c r="H24" s="168">
        <f t="shared" si="2"/>
        <v>0</v>
      </c>
      <c r="I24" s="168">
        <f t="shared" si="2"/>
        <v>0</v>
      </c>
    </row>
    <row r="25" spans="1:9" x14ac:dyDescent="0.15">
      <c r="E25" s="156"/>
      <c r="F25" s="156"/>
      <c r="G25" s="156"/>
      <c r="I25" s="164"/>
    </row>
    <row r="26" spans="1:9" x14ac:dyDescent="0.15">
      <c r="A26" s="563" t="s">
        <v>290</v>
      </c>
      <c r="B26" s="413"/>
      <c r="C26" s="427" t="s">
        <v>286</v>
      </c>
      <c r="D26" s="412"/>
      <c r="E26" s="412"/>
      <c r="F26" s="412"/>
      <c r="G26" s="412"/>
      <c r="H26" s="412"/>
      <c r="I26" s="176"/>
    </row>
    <row r="27" spans="1:9" x14ac:dyDescent="0.15">
      <c r="A27" s="417" t="s">
        <v>1043</v>
      </c>
      <c r="B27" s="433" t="s">
        <v>733</v>
      </c>
      <c r="C27" s="2" t="s">
        <v>293</v>
      </c>
      <c r="D27" s="40">
        <v>0</v>
      </c>
      <c r="E27" s="40">
        <v>0</v>
      </c>
      <c r="F27" s="40">
        <v>0</v>
      </c>
      <c r="G27" s="40">
        <v>0</v>
      </c>
      <c r="H27" s="463">
        <v>0</v>
      </c>
      <c r="I27" s="464">
        <f>SUM(G27+H27)</f>
        <v>0</v>
      </c>
    </row>
    <row r="28" spans="1:9" x14ac:dyDescent="0.15">
      <c r="A28" s="417"/>
      <c r="B28" s="433"/>
      <c r="C28" s="2"/>
      <c r="D28" s="14"/>
      <c r="E28" s="14"/>
      <c r="F28" s="14"/>
      <c r="G28" s="14"/>
      <c r="H28" s="301"/>
      <c r="I28" s="298"/>
    </row>
    <row r="29" spans="1:9" x14ac:dyDescent="0.15">
      <c r="A29" s="423"/>
      <c r="B29" s="413"/>
      <c r="C29" s="412"/>
      <c r="D29" s="412"/>
      <c r="E29" s="412"/>
      <c r="F29" s="412"/>
      <c r="G29" s="412"/>
      <c r="H29" s="412"/>
      <c r="I29" s="412"/>
    </row>
    <row r="30" spans="1:9" x14ac:dyDescent="0.15">
      <c r="A30" s="35" t="s">
        <v>1135</v>
      </c>
      <c r="C30" s="206" t="s">
        <v>1136</v>
      </c>
      <c r="E30" s="156"/>
      <c r="F30" s="156"/>
      <c r="G30" s="156"/>
      <c r="I30" s="164"/>
    </row>
    <row r="31" spans="1:9" x14ac:dyDescent="0.15">
      <c r="A31" s="35"/>
      <c r="B31" s="39"/>
      <c r="C31" s="114" t="s">
        <v>1304</v>
      </c>
      <c r="E31" s="156"/>
      <c r="F31" s="156"/>
      <c r="G31" s="156"/>
      <c r="I31" s="164"/>
    </row>
    <row r="32" spans="1:9" x14ac:dyDescent="0.15">
      <c r="A32" s="114" t="s">
        <v>1323</v>
      </c>
      <c r="B32" s="157" t="s">
        <v>645</v>
      </c>
      <c r="C32" s="114" t="s">
        <v>1302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92">
        <f>SUM(G32+H32)</f>
        <v>0</v>
      </c>
    </row>
    <row r="33" spans="1:9" x14ac:dyDescent="0.15">
      <c r="A33" s="114" t="s">
        <v>1322</v>
      </c>
      <c r="B33" s="171" t="s">
        <v>646</v>
      </c>
      <c r="C33" s="114" t="s">
        <v>585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92">
        <f>SUM(G33+H33)</f>
        <v>0</v>
      </c>
    </row>
    <row r="34" spans="1:9" x14ac:dyDescent="0.15">
      <c r="A34" s="149"/>
      <c r="B34" s="149"/>
      <c r="C34" s="568" t="s">
        <v>976</v>
      </c>
      <c r="D34" s="459">
        <f t="shared" ref="D34:I34" si="3">+D27</f>
        <v>0</v>
      </c>
      <c r="E34" s="459">
        <f t="shared" si="3"/>
        <v>0</v>
      </c>
      <c r="F34" s="459">
        <f t="shared" si="3"/>
        <v>0</v>
      </c>
      <c r="G34" s="459">
        <f t="shared" si="3"/>
        <v>0</v>
      </c>
      <c r="H34" s="459">
        <f t="shared" si="3"/>
        <v>0</v>
      </c>
      <c r="I34" s="459">
        <f t="shared" si="3"/>
        <v>0</v>
      </c>
    </row>
    <row r="35" spans="1:9" x14ac:dyDescent="0.15">
      <c r="B35" s="171" t="s">
        <v>647</v>
      </c>
      <c r="C35" s="114" t="s">
        <v>877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92">
        <f>SUM(G35+H35)</f>
        <v>0</v>
      </c>
    </row>
    <row r="36" spans="1:9" ht="11.25" thickBot="1" x14ac:dyDescent="0.2">
      <c r="C36" s="114"/>
      <c r="D36" s="14"/>
      <c r="E36" s="14"/>
      <c r="F36" s="14"/>
      <c r="G36" s="14"/>
      <c r="I36" s="164"/>
    </row>
    <row r="37" spans="1:9" ht="12" thickTop="1" thickBot="1" x14ac:dyDescent="0.2">
      <c r="B37" s="171" t="s">
        <v>648</v>
      </c>
      <c r="C37" s="34" t="s">
        <v>810</v>
      </c>
      <c r="D37" s="170">
        <f t="shared" ref="D37:I37" si="4">SUM(D32:D35)</f>
        <v>0</v>
      </c>
      <c r="E37" s="170">
        <f t="shared" si="4"/>
        <v>0</v>
      </c>
      <c r="F37" s="170">
        <f t="shared" si="4"/>
        <v>0</v>
      </c>
      <c r="G37" s="170">
        <f t="shared" si="4"/>
        <v>0</v>
      </c>
      <c r="H37" s="170">
        <f t="shared" si="4"/>
        <v>0</v>
      </c>
      <c r="I37" s="170">
        <f t="shared" si="4"/>
        <v>0</v>
      </c>
    </row>
    <row r="38" spans="1:9" ht="11.25" thickTop="1" x14ac:dyDescent="0.15">
      <c r="E38" s="156"/>
      <c r="F38" s="156"/>
      <c r="G38" s="156"/>
      <c r="I38" s="164"/>
    </row>
    <row r="39" spans="1:9" x14ac:dyDescent="0.15">
      <c r="A39" s="152" t="s">
        <v>1048</v>
      </c>
      <c r="C39" s="206" t="s">
        <v>211</v>
      </c>
      <c r="D39" s="156"/>
      <c r="E39" s="156"/>
      <c r="F39" s="156"/>
      <c r="G39" s="156"/>
      <c r="I39" s="164"/>
    </row>
    <row r="40" spans="1:9" x14ac:dyDescent="0.15">
      <c r="A40" s="486" t="s">
        <v>827</v>
      </c>
      <c r="B40" s="633" t="s">
        <v>649</v>
      </c>
      <c r="C40" s="135" t="s">
        <v>821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92">
        <f>SUM(G40+H40)</f>
        <v>0</v>
      </c>
    </row>
    <row r="41" spans="1:9" ht="11.25" customHeight="1" x14ac:dyDescent="0.15">
      <c r="A41" s="627" t="s">
        <v>1395</v>
      </c>
      <c r="B41" s="633" t="s">
        <v>650</v>
      </c>
      <c r="C41" s="135" t="s">
        <v>823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92">
        <f>SUM(G41+H41)</f>
        <v>0</v>
      </c>
    </row>
    <row r="42" spans="1:9" x14ac:dyDescent="0.15">
      <c r="A42" s="627" t="s">
        <v>1396</v>
      </c>
      <c r="B42" s="633" t="s">
        <v>651</v>
      </c>
      <c r="C42" s="625" t="s">
        <v>1397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92">
        <f>SUM(G42+H42)</f>
        <v>0</v>
      </c>
    </row>
    <row r="43" spans="1:9" ht="11.25" thickBot="1" x14ac:dyDescent="0.2">
      <c r="A43" s="486" t="s">
        <v>831</v>
      </c>
      <c r="B43" s="633" t="s">
        <v>652</v>
      </c>
      <c r="C43" s="135" t="s">
        <v>825</v>
      </c>
      <c r="D43" s="147">
        <v>0</v>
      </c>
      <c r="E43" s="147">
        <v>0</v>
      </c>
      <c r="F43" s="147">
        <v>0</v>
      </c>
      <c r="G43" s="147">
        <v>0</v>
      </c>
      <c r="H43" s="40">
        <v>0</v>
      </c>
      <c r="I43" s="492">
        <f>SUM(G43+H43)</f>
        <v>0</v>
      </c>
    </row>
    <row r="44" spans="1:9" ht="12" thickTop="1" thickBot="1" x14ac:dyDescent="0.2">
      <c r="A44" s="146"/>
      <c r="B44" s="185" t="s">
        <v>657</v>
      </c>
      <c r="C44" s="1" t="s">
        <v>1411</v>
      </c>
      <c r="D44" s="148">
        <f t="shared" ref="D44:I44" si="5">SUM(D40:D43)</f>
        <v>0</v>
      </c>
      <c r="E44" s="148">
        <f t="shared" si="5"/>
        <v>0</v>
      </c>
      <c r="F44" s="148">
        <f t="shared" si="5"/>
        <v>0</v>
      </c>
      <c r="G44" s="148">
        <f t="shared" si="5"/>
        <v>0</v>
      </c>
      <c r="H44" s="148">
        <f t="shared" si="5"/>
        <v>0</v>
      </c>
      <c r="I44" s="166">
        <f t="shared" si="5"/>
        <v>0</v>
      </c>
    </row>
    <row r="45" spans="1:9" ht="12" thickTop="1" thickBot="1" x14ac:dyDescent="0.2">
      <c r="A45" s="146"/>
      <c r="C45" s="114"/>
      <c r="D45" s="156"/>
      <c r="E45" s="156"/>
      <c r="F45" s="156"/>
      <c r="G45" s="156"/>
      <c r="I45" s="164"/>
    </row>
    <row r="46" spans="1:9" ht="11.25" thickBot="1" x14ac:dyDescent="0.2">
      <c r="A46" s="731" t="s">
        <v>1420</v>
      </c>
      <c r="B46" s="731"/>
      <c r="C46" s="733"/>
      <c r="D46" s="208">
        <f t="shared" ref="D46:H46" si="6">D37+D44</f>
        <v>0</v>
      </c>
      <c r="E46" s="208">
        <f t="shared" si="6"/>
        <v>0</v>
      </c>
      <c r="F46" s="208">
        <f t="shared" si="6"/>
        <v>0</v>
      </c>
      <c r="G46" s="208">
        <f t="shared" si="6"/>
        <v>0</v>
      </c>
      <c r="H46" s="208">
        <f t="shared" si="6"/>
        <v>0</v>
      </c>
      <c r="I46" s="208">
        <f>I37+I44</f>
        <v>0</v>
      </c>
    </row>
    <row r="47" spans="1:9" x14ac:dyDescent="0.15">
      <c r="A47" s="146"/>
      <c r="C47" s="114" t="s">
        <v>203</v>
      </c>
      <c r="D47" s="156"/>
      <c r="E47" s="156"/>
      <c r="F47" s="156"/>
      <c r="G47" s="156"/>
      <c r="I47" s="164"/>
    </row>
    <row r="48" spans="1:9" ht="11.25" thickBot="1" x14ac:dyDescent="0.2">
      <c r="A48" s="146"/>
      <c r="C48" s="114"/>
      <c r="D48" s="156"/>
      <c r="E48" s="156"/>
      <c r="F48" s="156"/>
      <c r="G48" s="156"/>
      <c r="I48" s="164"/>
    </row>
    <row r="49" spans="1:9" ht="12" thickTop="1" thickBot="1" x14ac:dyDescent="0.2">
      <c r="C49" s="169" t="s">
        <v>204</v>
      </c>
      <c r="D49" s="170">
        <f t="shared" ref="D49:I49" si="7">D24</f>
        <v>0</v>
      </c>
      <c r="E49" s="170">
        <f t="shared" si="7"/>
        <v>0</v>
      </c>
      <c r="F49" s="170">
        <f t="shared" si="7"/>
        <v>0</v>
      </c>
      <c r="G49" s="170">
        <f t="shared" si="7"/>
        <v>0</v>
      </c>
      <c r="H49" s="170">
        <f t="shared" si="7"/>
        <v>0</v>
      </c>
      <c r="I49" s="170">
        <f t="shared" si="7"/>
        <v>0</v>
      </c>
    </row>
    <row r="50" spans="1:9" ht="22.5" customHeight="1" thickTop="1" x14ac:dyDescent="0.15">
      <c r="I50" s="164"/>
    </row>
    <row r="51" spans="1:9" x14ac:dyDescent="0.15">
      <c r="C51" s="169" t="s">
        <v>205</v>
      </c>
      <c r="D51" s="155">
        <f t="shared" ref="D51:I51" si="8">D46-D49</f>
        <v>0</v>
      </c>
      <c r="E51" s="155">
        <f t="shared" si="8"/>
        <v>0</v>
      </c>
      <c r="F51" s="155">
        <f t="shared" si="8"/>
        <v>0</v>
      </c>
      <c r="G51" s="155">
        <f t="shared" si="8"/>
        <v>0</v>
      </c>
      <c r="H51" s="155">
        <f t="shared" si="8"/>
        <v>0</v>
      </c>
      <c r="I51" s="164">
        <f t="shared" si="8"/>
        <v>0</v>
      </c>
    </row>
    <row r="52" spans="1:9" x14ac:dyDescent="0.15">
      <c r="I52" s="164"/>
    </row>
    <row r="55" spans="1:9" x14ac:dyDescent="0.15">
      <c r="A55" s="734" t="s">
        <v>1399</v>
      </c>
      <c r="B55" s="734"/>
      <c r="C55" s="734"/>
      <c r="D55" s="734"/>
      <c r="E55" s="734"/>
      <c r="F55" s="734"/>
      <c r="G55" s="734"/>
    </row>
    <row r="57" spans="1:9" x14ac:dyDescent="0.15">
      <c r="A57" s="114"/>
    </row>
    <row r="58" spans="1:9" x14ac:dyDescent="0.15">
      <c r="C58" s="114"/>
    </row>
  </sheetData>
  <sheetProtection password="CB03" sheet="1" objects="1" scenarios="1" formatCells="0" formatColumns="0" formatRows="0"/>
  <mergeCells count="2">
    <mergeCell ref="A46:C46"/>
    <mergeCell ref="A55:G55"/>
  </mergeCells>
  <pageMargins left="0.75" right="0.75" top="1" bottom="1" header="0.5" footer="0.5"/>
  <pageSetup scale="62" firstPageNumber="37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I62"/>
  <sheetViews>
    <sheetView zoomScaleNormal="100" workbookViewId="0">
      <selection activeCell="D9" sqref="D9"/>
    </sheetView>
  </sheetViews>
  <sheetFormatPr defaultRowHeight="10.5" x14ac:dyDescent="0.15"/>
  <cols>
    <col min="1" max="1" width="18.6640625" style="155" customWidth="1"/>
    <col min="2" max="2" width="3.83203125" style="155" customWidth="1"/>
    <col min="3" max="3" width="70.83203125" style="155" customWidth="1"/>
    <col min="4" max="4" width="15.83203125" style="155" customWidth="1"/>
    <col min="5" max="5" width="17.33203125" style="155" customWidth="1"/>
    <col min="6" max="6" width="18.33203125" style="155" customWidth="1"/>
    <col min="7" max="7" width="15.83203125" style="155" customWidth="1"/>
    <col min="8" max="8" width="18.6640625" style="155" customWidth="1"/>
    <col min="9" max="9" width="17.33203125" style="155" customWidth="1"/>
    <col min="10" max="16384" width="9.33203125" style="155"/>
  </cols>
  <sheetData>
    <row r="1" spans="1:9" x14ac:dyDescent="0.15">
      <c r="A1" s="155" t="s">
        <v>1044</v>
      </c>
      <c r="C1" s="160">
        <f>+'Page 1 - FY2016-17'!B5</f>
        <v>0</v>
      </c>
      <c r="D1" s="155" t="s">
        <v>889</v>
      </c>
      <c r="E1" s="161">
        <f>+'Page 1 - FY2016-17'!F7</f>
        <v>0</v>
      </c>
      <c r="G1" s="37" t="s">
        <v>891</v>
      </c>
    </row>
    <row r="2" spans="1:9" x14ac:dyDescent="0.15">
      <c r="A2" s="112" t="s">
        <v>1325</v>
      </c>
    </row>
    <row r="3" spans="1:9" ht="31.5" x14ac:dyDescent="0.15">
      <c r="D3" s="580" t="s">
        <v>1607</v>
      </c>
      <c r="E3" s="580" t="s">
        <v>1606</v>
      </c>
      <c r="F3" s="580" t="s">
        <v>1605</v>
      </c>
      <c r="G3" s="580" t="s">
        <v>1604</v>
      </c>
      <c r="H3" s="580" t="s">
        <v>1603</v>
      </c>
      <c r="I3" s="580" t="s">
        <v>1602</v>
      </c>
    </row>
    <row r="4" spans="1:9" ht="52.5" x14ac:dyDescent="0.15">
      <c r="D4" s="424"/>
      <c r="E4" s="424"/>
      <c r="F4" s="424"/>
      <c r="G4" s="424"/>
      <c r="H4" s="713" t="s">
        <v>1541</v>
      </c>
      <c r="I4" s="715" t="s">
        <v>1516</v>
      </c>
    </row>
    <row r="5" spans="1:9" ht="11.25" thickBot="1" x14ac:dyDescent="0.2">
      <c r="D5" s="163"/>
      <c r="E5" s="163"/>
      <c r="F5" s="163"/>
      <c r="G5" s="163"/>
      <c r="I5" s="164"/>
    </row>
    <row r="6" spans="1:9" ht="11.25" thickBot="1" x14ac:dyDescent="0.2">
      <c r="A6" s="34" t="s">
        <v>1326</v>
      </c>
      <c r="B6" s="34" t="s">
        <v>892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168">
        <f>SUM(G6+H6)</f>
        <v>0</v>
      </c>
    </row>
    <row r="7" spans="1:9" x14ac:dyDescent="0.15">
      <c r="A7" s="35" t="s">
        <v>895</v>
      </c>
      <c r="C7" s="206" t="s">
        <v>1133</v>
      </c>
      <c r="E7" s="156"/>
      <c r="F7" s="156"/>
      <c r="G7" s="156"/>
      <c r="I7" s="164"/>
    </row>
    <row r="8" spans="1:9" x14ac:dyDescent="0.15">
      <c r="A8" s="114" t="s">
        <v>1327</v>
      </c>
      <c r="B8" s="171" t="s">
        <v>560</v>
      </c>
      <c r="C8" s="114" t="s">
        <v>653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92">
        <f>SUM(G8+H8)</f>
        <v>0</v>
      </c>
    </row>
    <row r="9" spans="1:9" x14ac:dyDescent="0.15">
      <c r="A9" s="114" t="s">
        <v>905</v>
      </c>
      <c r="B9" s="171" t="s">
        <v>561</v>
      </c>
      <c r="C9" s="114" t="s">
        <v>1332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2">
        <f t="shared" ref="I9:I16" si="0">SUM(G9+H9)</f>
        <v>0</v>
      </c>
    </row>
    <row r="10" spans="1:9" x14ac:dyDescent="0.15">
      <c r="A10" s="114" t="s">
        <v>1328</v>
      </c>
      <c r="B10" s="171" t="s">
        <v>498</v>
      </c>
      <c r="C10" s="114" t="s">
        <v>654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2">
        <f t="shared" si="0"/>
        <v>0</v>
      </c>
    </row>
    <row r="11" spans="1:9" x14ac:dyDescent="0.15">
      <c r="A11" s="114" t="s">
        <v>1329</v>
      </c>
      <c r="B11" s="171" t="s">
        <v>562</v>
      </c>
      <c r="C11" s="114" t="s">
        <v>655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2">
        <f t="shared" si="0"/>
        <v>0</v>
      </c>
    </row>
    <row r="12" spans="1:9" x14ac:dyDescent="0.15">
      <c r="A12" s="149" t="s">
        <v>719</v>
      </c>
      <c r="B12" s="171" t="s">
        <v>626</v>
      </c>
      <c r="C12" s="114" t="s">
        <v>723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92">
        <f t="shared" si="0"/>
        <v>0</v>
      </c>
    </row>
    <row r="13" spans="1:9" x14ac:dyDescent="0.15">
      <c r="A13" s="149" t="s">
        <v>720</v>
      </c>
      <c r="B13" s="171" t="s">
        <v>627</v>
      </c>
      <c r="C13" s="114" t="s">
        <v>581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92">
        <f t="shared" si="0"/>
        <v>0</v>
      </c>
    </row>
    <row r="14" spans="1:9" x14ac:dyDescent="0.15">
      <c r="A14" s="149" t="s">
        <v>721</v>
      </c>
      <c r="B14" s="171" t="s">
        <v>628</v>
      </c>
      <c r="C14" s="114" t="s">
        <v>582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92">
        <f t="shared" si="0"/>
        <v>0</v>
      </c>
    </row>
    <row r="15" spans="1:9" x14ac:dyDescent="0.15">
      <c r="A15" s="114" t="s">
        <v>1043</v>
      </c>
      <c r="B15" s="171" t="s">
        <v>629</v>
      </c>
      <c r="C15" s="2" t="s">
        <v>972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92">
        <f t="shared" si="0"/>
        <v>0</v>
      </c>
    </row>
    <row r="16" spans="1:9" x14ac:dyDescent="0.15">
      <c r="A16" s="114"/>
      <c r="B16" s="171" t="s">
        <v>637</v>
      </c>
      <c r="C16" s="135" t="s">
        <v>1149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92">
        <f t="shared" si="0"/>
        <v>0</v>
      </c>
    </row>
    <row r="17" spans="1:9" ht="11.25" thickBot="1" x14ac:dyDescent="0.2">
      <c r="A17" s="114"/>
      <c r="B17" s="171"/>
      <c r="C17" s="135"/>
      <c r="I17" s="164"/>
    </row>
    <row r="18" spans="1:9" ht="12" thickTop="1" thickBot="1" x14ac:dyDescent="0.2">
      <c r="B18" s="171" t="s">
        <v>641</v>
      </c>
      <c r="C18" s="34" t="s">
        <v>812</v>
      </c>
      <c r="D18" s="166">
        <f t="shared" ref="D18:I18" si="1">SUM(D8:D16)</f>
        <v>0</v>
      </c>
      <c r="E18" s="166">
        <f t="shared" si="1"/>
        <v>0</v>
      </c>
      <c r="F18" s="166">
        <f t="shared" si="1"/>
        <v>0</v>
      </c>
      <c r="G18" s="166">
        <f t="shared" si="1"/>
        <v>0</v>
      </c>
      <c r="H18" s="166">
        <f t="shared" si="1"/>
        <v>0</v>
      </c>
      <c r="I18" s="166">
        <f t="shared" si="1"/>
        <v>0</v>
      </c>
    </row>
    <row r="19" spans="1:9" ht="12" thickTop="1" thickBot="1" x14ac:dyDescent="0.2">
      <c r="C19" s="114"/>
      <c r="D19" s="167"/>
      <c r="E19" s="167"/>
      <c r="F19" s="167"/>
      <c r="G19" s="167"/>
      <c r="I19" s="164"/>
    </row>
    <row r="20" spans="1:9" ht="11.25" thickBot="1" x14ac:dyDescent="0.2">
      <c r="A20" s="34" t="s">
        <v>811</v>
      </c>
      <c r="D20" s="168">
        <f t="shared" ref="D20:I20" si="2">D6+D18</f>
        <v>0</v>
      </c>
      <c r="E20" s="168">
        <f t="shared" si="2"/>
        <v>0</v>
      </c>
      <c r="F20" s="168">
        <f t="shared" si="2"/>
        <v>0</v>
      </c>
      <c r="G20" s="168">
        <f t="shared" si="2"/>
        <v>0</v>
      </c>
      <c r="H20" s="168">
        <f t="shared" si="2"/>
        <v>0</v>
      </c>
      <c r="I20" s="168">
        <f t="shared" si="2"/>
        <v>0</v>
      </c>
    </row>
    <row r="21" spans="1:9" x14ac:dyDescent="0.15">
      <c r="E21" s="156"/>
      <c r="F21" s="156"/>
      <c r="G21" s="156"/>
      <c r="I21" s="164"/>
    </row>
    <row r="22" spans="1:9" x14ac:dyDescent="0.15">
      <c r="A22" s="563" t="s">
        <v>290</v>
      </c>
      <c r="B22" s="413"/>
      <c r="C22" s="427" t="s">
        <v>286</v>
      </c>
      <c r="D22" s="412"/>
      <c r="E22" s="412"/>
      <c r="F22" s="412"/>
      <c r="G22" s="412"/>
      <c r="H22" s="412"/>
      <c r="I22" s="176"/>
    </row>
    <row r="23" spans="1:9" x14ac:dyDescent="0.15">
      <c r="A23" s="417" t="s">
        <v>1043</v>
      </c>
      <c r="B23" s="433" t="s">
        <v>977</v>
      </c>
      <c r="C23" s="2" t="s">
        <v>293</v>
      </c>
      <c r="D23" s="40">
        <v>0</v>
      </c>
      <c r="E23" s="40">
        <v>0</v>
      </c>
      <c r="F23" s="40">
        <v>0</v>
      </c>
      <c r="G23" s="40">
        <v>0</v>
      </c>
      <c r="H23" s="463">
        <v>0</v>
      </c>
      <c r="I23" s="464">
        <f>SUM(G23+H23)</f>
        <v>0</v>
      </c>
    </row>
    <row r="24" spans="1:9" x14ac:dyDescent="0.15">
      <c r="A24" s="417"/>
      <c r="B24" s="433"/>
      <c r="C24" s="2"/>
      <c r="D24" s="14"/>
      <c r="E24" s="14"/>
      <c r="F24" s="14"/>
      <c r="G24" s="14"/>
      <c r="H24" s="301"/>
      <c r="I24" s="298"/>
    </row>
    <row r="25" spans="1:9" x14ac:dyDescent="0.15">
      <c r="E25" s="156"/>
      <c r="F25" s="156"/>
      <c r="G25" s="156"/>
      <c r="I25" s="164"/>
    </row>
    <row r="26" spans="1:9" x14ac:dyDescent="0.15">
      <c r="A26" s="35" t="s">
        <v>1135</v>
      </c>
      <c r="C26" s="206" t="s">
        <v>1136</v>
      </c>
      <c r="E26" s="156"/>
      <c r="F26" s="156"/>
      <c r="G26" s="156"/>
      <c r="I26" s="164"/>
    </row>
    <row r="27" spans="1:9" x14ac:dyDescent="0.15">
      <c r="A27" s="114" t="s">
        <v>1330</v>
      </c>
      <c r="B27" s="157" t="s">
        <v>642</v>
      </c>
      <c r="C27" s="114" t="s">
        <v>343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92">
        <f t="shared" ref="I27:I40" si="3">SUM(G27+H27)</f>
        <v>0</v>
      </c>
    </row>
    <row r="28" spans="1:9" x14ac:dyDescent="0.15">
      <c r="A28" s="114" t="s">
        <v>1182</v>
      </c>
      <c r="B28" s="171" t="s">
        <v>638</v>
      </c>
      <c r="C28" s="114" t="s">
        <v>813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92">
        <f t="shared" si="3"/>
        <v>0</v>
      </c>
    </row>
    <row r="29" spans="1:9" x14ac:dyDescent="0.15">
      <c r="A29" s="114" t="s">
        <v>1317</v>
      </c>
      <c r="B29" s="171" t="s">
        <v>639</v>
      </c>
      <c r="C29" s="114" t="s">
        <v>1096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92">
        <f t="shared" si="3"/>
        <v>0</v>
      </c>
    </row>
    <row r="30" spans="1:9" x14ac:dyDescent="0.15">
      <c r="A30" s="149" t="s">
        <v>886</v>
      </c>
      <c r="B30" s="171" t="s">
        <v>644</v>
      </c>
      <c r="C30" s="114" t="s">
        <v>1100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92">
        <f t="shared" si="3"/>
        <v>0</v>
      </c>
    </row>
    <row r="31" spans="1:9" x14ac:dyDescent="0.15">
      <c r="A31" s="114" t="s">
        <v>1183</v>
      </c>
      <c r="B31" s="171" t="s">
        <v>645</v>
      </c>
      <c r="C31" s="114" t="s">
        <v>1101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92">
        <f t="shared" si="3"/>
        <v>0</v>
      </c>
    </row>
    <row r="32" spans="1:9" x14ac:dyDescent="0.15">
      <c r="A32" s="149" t="s">
        <v>1138</v>
      </c>
      <c r="B32" s="171" t="s">
        <v>646</v>
      </c>
      <c r="C32" s="114" t="s">
        <v>1102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92">
        <f t="shared" si="3"/>
        <v>0</v>
      </c>
    </row>
    <row r="33" spans="1:9" x14ac:dyDescent="0.15">
      <c r="A33" s="149" t="s">
        <v>1098</v>
      </c>
      <c r="B33" s="171" t="s">
        <v>647</v>
      </c>
      <c r="C33" s="114" t="s">
        <v>1353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92">
        <f t="shared" si="3"/>
        <v>0</v>
      </c>
    </row>
    <row r="34" spans="1:9" x14ac:dyDescent="0.15">
      <c r="A34" s="149" t="s">
        <v>1099</v>
      </c>
      <c r="B34" s="171" t="s">
        <v>648</v>
      </c>
      <c r="C34" s="114" t="s">
        <v>1354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92">
        <f t="shared" si="3"/>
        <v>0</v>
      </c>
    </row>
    <row r="35" spans="1:9" x14ac:dyDescent="0.15">
      <c r="A35" s="149" t="s">
        <v>1355</v>
      </c>
      <c r="B35" s="171" t="s">
        <v>649</v>
      </c>
      <c r="C35" s="114" t="s">
        <v>1356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92">
        <f t="shared" si="3"/>
        <v>0</v>
      </c>
    </row>
    <row r="36" spans="1:9" x14ac:dyDescent="0.15">
      <c r="A36" s="114" t="s">
        <v>1185</v>
      </c>
      <c r="B36" s="171" t="s">
        <v>650</v>
      </c>
      <c r="C36" s="114" t="s">
        <v>1105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92">
        <f t="shared" si="3"/>
        <v>0</v>
      </c>
    </row>
    <row r="37" spans="1:9" x14ac:dyDescent="0.15">
      <c r="A37" s="114" t="s">
        <v>38</v>
      </c>
      <c r="B37" s="157" t="s">
        <v>652</v>
      </c>
      <c r="C37" s="114" t="s">
        <v>814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92">
        <f t="shared" si="3"/>
        <v>0</v>
      </c>
    </row>
    <row r="38" spans="1:9" x14ac:dyDescent="0.15">
      <c r="A38" s="114" t="s">
        <v>656</v>
      </c>
      <c r="B38" s="157" t="s">
        <v>657</v>
      </c>
      <c r="C38" s="114" t="s">
        <v>815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92">
        <f t="shared" si="3"/>
        <v>0</v>
      </c>
    </row>
    <row r="39" spans="1:9" x14ac:dyDescent="0.15">
      <c r="A39" s="149"/>
      <c r="B39" s="149"/>
      <c r="C39" s="568" t="s">
        <v>978</v>
      </c>
      <c r="D39" s="459">
        <f t="shared" ref="D39:I39" si="4">+D23</f>
        <v>0</v>
      </c>
      <c r="E39" s="459">
        <f t="shared" si="4"/>
        <v>0</v>
      </c>
      <c r="F39" s="459">
        <f t="shared" si="4"/>
        <v>0</v>
      </c>
      <c r="G39" s="459">
        <f t="shared" si="4"/>
        <v>0</v>
      </c>
      <c r="H39" s="459">
        <f t="shared" si="4"/>
        <v>0</v>
      </c>
      <c r="I39" s="459">
        <f t="shared" si="4"/>
        <v>0</v>
      </c>
    </row>
    <row r="40" spans="1:9" x14ac:dyDescent="0.15">
      <c r="B40" s="157" t="s">
        <v>658</v>
      </c>
      <c r="C40" s="114" t="s">
        <v>816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92">
        <f t="shared" si="3"/>
        <v>0</v>
      </c>
    </row>
    <row r="41" spans="1:9" ht="11.25" thickBot="1" x14ac:dyDescent="0.2">
      <c r="C41" s="114"/>
      <c r="D41" s="14"/>
      <c r="F41" s="156"/>
      <c r="G41" s="156"/>
      <c r="I41" s="164"/>
    </row>
    <row r="42" spans="1:9" ht="12" thickTop="1" thickBot="1" x14ac:dyDescent="0.2">
      <c r="B42" s="157" t="s">
        <v>659</v>
      </c>
      <c r="C42" s="34" t="s">
        <v>39</v>
      </c>
      <c r="D42" s="170">
        <f t="shared" ref="D42:I42" si="5">SUM(D27:D40)</f>
        <v>0</v>
      </c>
      <c r="E42" s="170">
        <f t="shared" si="5"/>
        <v>0</v>
      </c>
      <c r="F42" s="170">
        <f t="shared" si="5"/>
        <v>0</v>
      </c>
      <c r="G42" s="170">
        <f t="shared" si="5"/>
        <v>0</v>
      </c>
      <c r="H42" s="170">
        <f t="shared" si="5"/>
        <v>0</v>
      </c>
      <c r="I42" s="170">
        <f t="shared" si="5"/>
        <v>0</v>
      </c>
    </row>
    <row r="43" spans="1:9" ht="11.25" thickTop="1" x14ac:dyDescent="0.15">
      <c r="E43" s="156"/>
      <c r="F43" s="156"/>
      <c r="G43" s="156"/>
      <c r="I43" s="164"/>
    </row>
    <row r="44" spans="1:9" x14ac:dyDescent="0.15">
      <c r="A44" s="152" t="s">
        <v>1048</v>
      </c>
      <c r="C44" s="206" t="s">
        <v>211</v>
      </c>
      <c r="D44" s="156"/>
      <c r="E44" s="156"/>
      <c r="F44" s="156"/>
      <c r="G44" s="156"/>
      <c r="I44" s="164"/>
    </row>
    <row r="45" spans="1:9" x14ac:dyDescent="0.15">
      <c r="A45" s="486" t="s">
        <v>827</v>
      </c>
      <c r="B45" s="633" t="s">
        <v>660</v>
      </c>
      <c r="C45" s="135" t="s">
        <v>821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92">
        <f>SUM(G45+H45)</f>
        <v>0</v>
      </c>
    </row>
    <row r="46" spans="1:9" x14ac:dyDescent="0.15">
      <c r="A46" s="627" t="s">
        <v>1394</v>
      </c>
      <c r="B46" s="633" t="s">
        <v>662</v>
      </c>
      <c r="C46" s="135" t="s">
        <v>822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92">
        <f>SUM(G46+H46)</f>
        <v>0</v>
      </c>
    </row>
    <row r="47" spans="1:9" x14ac:dyDescent="0.15">
      <c r="A47" s="627" t="s">
        <v>1395</v>
      </c>
      <c r="B47" s="633" t="s">
        <v>663</v>
      </c>
      <c r="C47" s="135" t="s">
        <v>823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92">
        <f>SUM(G47+H47)</f>
        <v>0</v>
      </c>
    </row>
    <row r="48" spans="1:9" ht="10.5" customHeight="1" x14ac:dyDescent="0.15">
      <c r="A48" s="627" t="s">
        <v>1396</v>
      </c>
      <c r="B48" s="633" t="s">
        <v>664</v>
      </c>
      <c r="C48" s="625" t="s">
        <v>1397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92">
        <f>SUM(G48+H48)</f>
        <v>0</v>
      </c>
    </row>
    <row r="49" spans="1:9" ht="11.25" thickBot="1" x14ac:dyDescent="0.2">
      <c r="A49" s="486" t="s">
        <v>831</v>
      </c>
      <c r="B49" s="633" t="s">
        <v>665</v>
      </c>
      <c r="C49" s="135" t="s">
        <v>825</v>
      </c>
      <c r="D49" s="147">
        <v>0</v>
      </c>
      <c r="E49" s="147">
        <v>0</v>
      </c>
      <c r="F49" s="147">
        <v>0</v>
      </c>
      <c r="G49" s="147">
        <v>0</v>
      </c>
      <c r="H49" s="40">
        <v>0</v>
      </c>
      <c r="I49" s="492">
        <f>SUM(G49+H49)</f>
        <v>0</v>
      </c>
    </row>
    <row r="50" spans="1:9" ht="12" thickTop="1" thickBot="1" x14ac:dyDescent="0.2">
      <c r="A50" s="146"/>
      <c r="B50" s="157" t="s">
        <v>1362</v>
      </c>
      <c r="C50" s="114" t="s">
        <v>40</v>
      </c>
      <c r="D50" s="148">
        <f t="shared" ref="D50:I50" si="6">SUM(D45:D49)</f>
        <v>0</v>
      </c>
      <c r="E50" s="148">
        <f t="shared" si="6"/>
        <v>0</v>
      </c>
      <c r="F50" s="148">
        <f t="shared" si="6"/>
        <v>0</v>
      </c>
      <c r="G50" s="148">
        <f t="shared" si="6"/>
        <v>0</v>
      </c>
      <c r="H50" s="148">
        <f t="shared" si="6"/>
        <v>0</v>
      </c>
      <c r="I50" s="166">
        <f t="shared" si="6"/>
        <v>0</v>
      </c>
    </row>
    <row r="51" spans="1:9" ht="12" thickTop="1" thickBot="1" x14ac:dyDescent="0.2">
      <c r="A51" s="146"/>
      <c r="C51" s="114"/>
      <c r="D51" s="156"/>
      <c r="E51" s="156"/>
      <c r="F51" s="156"/>
      <c r="G51" s="156"/>
      <c r="I51" s="164"/>
    </row>
    <row r="52" spans="1:9" ht="11.25" thickBot="1" x14ac:dyDescent="0.2">
      <c r="A52" s="728" t="s">
        <v>41</v>
      </c>
      <c r="B52" s="728"/>
      <c r="C52" s="735"/>
      <c r="D52" s="208">
        <f t="shared" ref="D52:I52" si="7">D42+D50</f>
        <v>0</v>
      </c>
      <c r="E52" s="208">
        <f t="shared" si="7"/>
        <v>0</v>
      </c>
      <c r="F52" s="208">
        <f t="shared" si="7"/>
        <v>0</v>
      </c>
      <c r="G52" s="208">
        <f t="shared" si="7"/>
        <v>0</v>
      </c>
      <c r="H52" s="208">
        <f t="shared" si="7"/>
        <v>0</v>
      </c>
      <c r="I52" s="208">
        <f t="shared" si="7"/>
        <v>0</v>
      </c>
    </row>
    <row r="53" spans="1:9" x14ac:dyDescent="0.15">
      <c r="A53" s="146"/>
      <c r="C53" s="114" t="s">
        <v>203</v>
      </c>
      <c r="D53" s="156"/>
      <c r="E53" s="156"/>
      <c r="F53" s="156"/>
      <c r="G53" s="156"/>
      <c r="I53" s="164"/>
    </row>
    <row r="54" spans="1:9" ht="11.25" thickBot="1" x14ac:dyDescent="0.2">
      <c r="A54" s="146"/>
      <c r="C54" s="114"/>
      <c r="D54" s="156"/>
      <c r="E54" s="156"/>
      <c r="F54" s="156"/>
      <c r="G54" s="156"/>
      <c r="I54" s="164"/>
    </row>
    <row r="55" spans="1:9" ht="12" thickTop="1" thickBot="1" x14ac:dyDescent="0.2">
      <c r="C55" s="169" t="s">
        <v>204</v>
      </c>
      <c r="D55" s="170">
        <f t="shared" ref="D55:I55" si="8">D20</f>
        <v>0</v>
      </c>
      <c r="E55" s="170">
        <f t="shared" si="8"/>
        <v>0</v>
      </c>
      <c r="F55" s="170">
        <f t="shared" si="8"/>
        <v>0</v>
      </c>
      <c r="G55" s="170">
        <f t="shared" si="8"/>
        <v>0</v>
      </c>
      <c r="H55" s="170">
        <f t="shared" si="8"/>
        <v>0</v>
      </c>
      <c r="I55" s="170">
        <f t="shared" si="8"/>
        <v>0</v>
      </c>
    </row>
    <row r="56" spans="1:9" ht="11.25" thickTop="1" x14ac:dyDescent="0.15">
      <c r="I56" s="164"/>
    </row>
    <row r="57" spans="1:9" x14ac:dyDescent="0.15">
      <c r="C57" s="169" t="s">
        <v>205</v>
      </c>
      <c r="D57" s="155">
        <f t="shared" ref="D57:I57" si="9">D52-D55</f>
        <v>0</v>
      </c>
      <c r="E57" s="155">
        <f t="shared" si="9"/>
        <v>0</v>
      </c>
      <c r="F57" s="155">
        <f t="shared" si="9"/>
        <v>0</v>
      </c>
      <c r="G57" s="155">
        <f t="shared" si="9"/>
        <v>0</v>
      </c>
      <c r="H57" s="155">
        <f t="shared" si="9"/>
        <v>0</v>
      </c>
      <c r="I57" s="164">
        <f t="shared" si="9"/>
        <v>0</v>
      </c>
    </row>
    <row r="58" spans="1:9" x14ac:dyDescent="0.15">
      <c r="I58" s="164"/>
    </row>
    <row r="59" spans="1:9" x14ac:dyDescent="0.15">
      <c r="I59" s="164"/>
    </row>
    <row r="62" spans="1:9" x14ac:dyDescent="0.15">
      <c r="A62" s="114" t="s">
        <v>1324</v>
      </c>
    </row>
  </sheetData>
  <sheetProtection password="CB03" sheet="1" objects="1" scenarios="1" formatCells="0" formatColumns="0" formatRows="0"/>
  <mergeCells count="1">
    <mergeCell ref="A52:C52"/>
  </mergeCells>
  <phoneticPr fontId="15" type="noConversion"/>
  <pageMargins left="0.75" right="0.75" top="1" bottom="1" header="0.5" footer="0.5"/>
  <pageSetup scale="57" firstPageNumber="38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I48"/>
  <sheetViews>
    <sheetView zoomScaleNormal="100" workbookViewId="0">
      <selection activeCell="A2" sqref="A2"/>
    </sheetView>
  </sheetViews>
  <sheetFormatPr defaultRowHeight="10.5" x14ac:dyDescent="0.15"/>
  <cols>
    <col min="1" max="1" width="11" style="155" customWidth="1"/>
    <col min="2" max="2" width="4.33203125" style="155" customWidth="1"/>
    <col min="3" max="3" width="70.83203125" style="155" customWidth="1"/>
    <col min="4" max="4" width="15.83203125" customWidth="1"/>
    <col min="5" max="5" width="17.33203125" style="155" customWidth="1"/>
    <col min="6" max="6" width="17.6640625" style="155" customWidth="1"/>
    <col min="7" max="7" width="15.83203125" style="155" customWidth="1"/>
    <col min="8" max="8" width="16" style="155" customWidth="1"/>
    <col min="9" max="9" width="17.33203125" style="155" customWidth="1"/>
    <col min="10" max="16384" width="9.33203125" style="155"/>
  </cols>
  <sheetData>
    <row r="1" spans="1:9" x14ac:dyDescent="0.15">
      <c r="A1" s="155" t="s">
        <v>1044</v>
      </c>
      <c r="C1" s="160">
        <f>+'Page 1 - FY2016-17'!B5</f>
        <v>0</v>
      </c>
      <c r="D1" s="155" t="s">
        <v>889</v>
      </c>
      <c r="E1" s="161">
        <f>+'Page 1 - FY2016-17'!F7</f>
        <v>0</v>
      </c>
      <c r="G1" s="37" t="s">
        <v>891</v>
      </c>
    </row>
    <row r="2" spans="1:9" x14ac:dyDescent="0.15">
      <c r="A2" s="112" t="s">
        <v>32</v>
      </c>
      <c r="C2" s="19"/>
    </row>
    <row r="3" spans="1:9" ht="42" x14ac:dyDescent="0.15">
      <c r="D3" s="580" t="s">
        <v>1607</v>
      </c>
      <c r="E3" s="580" t="s">
        <v>1606</v>
      </c>
      <c r="F3" s="580" t="s">
        <v>1605</v>
      </c>
      <c r="G3" s="580" t="s">
        <v>1604</v>
      </c>
      <c r="H3" s="580" t="s">
        <v>1603</v>
      </c>
      <c r="I3" s="580" t="s">
        <v>1602</v>
      </c>
    </row>
    <row r="4" spans="1:9" ht="52.5" x14ac:dyDescent="0.15">
      <c r="D4" s="424"/>
      <c r="E4" s="424"/>
      <c r="F4" s="424"/>
      <c r="G4" s="424"/>
      <c r="H4" s="713" t="s">
        <v>1541</v>
      </c>
      <c r="I4" s="715" t="s">
        <v>1516</v>
      </c>
    </row>
    <row r="5" spans="1:9" ht="11.25" thickBot="1" x14ac:dyDescent="0.2">
      <c r="D5" s="163"/>
      <c r="E5" s="163"/>
      <c r="F5" s="163"/>
      <c r="G5" s="163"/>
      <c r="I5" s="164"/>
    </row>
    <row r="6" spans="1:9" ht="11.25" thickBot="1" x14ac:dyDescent="0.2">
      <c r="A6" s="34" t="s">
        <v>1132</v>
      </c>
      <c r="B6" s="34" t="s">
        <v>892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168">
        <f>SUM(G6+H6)</f>
        <v>0</v>
      </c>
    </row>
    <row r="7" spans="1:9" x14ac:dyDescent="0.15">
      <c r="A7" s="35" t="s">
        <v>895</v>
      </c>
      <c r="C7" s="206" t="s">
        <v>1133</v>
      </c>
      <c r="E7"/>
      <c r="F7"/>
      <c r="G7"/>
      <c r="I7" s="164"/>
    </row>
    <row r="8" spans="1:9" x14ac:dyDescent="0.15">
      <c r="A8" s="114" t="s">
        <v>898</v>
      </c>
      <c r="B8" s="171" t="s">
        <v>560</v>
      </c>
      <c r="C8" s="114" t="s">
        <v>1191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92">
        <f t="shared" ref="I8:I13" si="0">SUM(G8+H8)</f>
        <v>0</v>
      </c>
    </row>
    <row r="9" spans="1:9" x14ac:dyDescent="0.15">
      <c r="A9" s="114" t="s">
        <v>899</v>
      </c>
      <c r="B9" s="171" t="s">
        <v>561</v>
      </c>
      <c r="C9" s="114" t="s">
        <v>1192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2">
        <f t="shared" si="0"/>
        <v>0</v>
      </c>
    </row>
    <row r="10" spans="1:9" x14ac:dyDescent="0.15">
      <c r="A10" s="114" t="s">
        <v>901</v>
      </c>
      <c r="B10" s="171" t="s">
        <v>562</v>
      </c>
      <c r="C10" s="114" t="s">
        <v>632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2">
        <f t="shared" si="0"/>
        <v>0</v>
      </c>
    </row>
    <row r="11" spans="1:9" x14ac:dyDescent="0.15">
      <c r="A11" s="114" t="s">
        <v>905</v>
      </c>
      <c r="B11" s="171" t="s">
        <v>625</v>
      </c>
      <c r="C11" s="114" t="s">
        <v>1332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2">
        <f t="shared" si="0"/>
        <v>0</v>
      </c>
    </row>
    <row r="12" spans="1:9" x14ac:dyDescent="0.15">
      <c r="A12" s="114" t="s">
        <v>1043</v>
      </c>
      <c r="B12" s="171" t="s">
        <v>626</v>
      </c>
      <c r="C12" s="2" t="s">
        <v>537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92">
        <f t="shared" si="0"/>
        <v>0</v>
      </c>
    </row>
    <row r="13" spans="1:9" x14ac:dyDescent="0.15">
      <c r="B13" s="171" t="s">
        <v>627</v>
      </c>
      <c r="C13" s="114" t="s">
        <v>1149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92">
        <f t="shared" si="0"/>
        <v>0</v>
      </c>
    </row>
    <row r="14" spans="1:9" ht="11.25" thickBot="1" x14ac:dyDescent="0.2">
      <c r="B14" s="171"/>
      <c r="C14" s="114"/>
      <c r="D14" s="14"/>
      <c r="E14" s="14"/>
      <c r="F14" s="14"/>
      <c r="G14" s="14"/>
      <c r="I14" s="164"/>
    </row>
    <row r="15" spans="1:9" ht="12" thickTop="1" thickBot="1" x14ac:dyDescent="0.2">
      <c r="B15" s="171" t="s">
        <v>628</v>
      </c>
      <c r="C15" s="34" t="s">
        <v>1150</v>
      </c>
      <c r="D15" s="166">
        <f t="shared" ref="D15:I15" si="1">SUM(D8:D13)</f>
        <v>0</v>
      </c>
      <c r="E15" s="166">
        <f t="shared" si="1"/>
        <v>0</v>
      </c>
      <c r="F15" s="166">
        <f t="shared" si="1"/>
        <v>0</v>
      </c>
      <c r="G15" s="166">
        <f t="shared" si="1"/>
        <v>0</v>
      </c>
      <c r="H15" s="166">
        <f t="shared" si="1"/>
        <v>0</v>
      </c>
      <c r="I15" s="166">
        <f t="shared" si="1"/>
        <v>0</v>
      </c>
    </row>
    <row r="16" spans="1:9" ht="12" thickTop="1" thickBot="1" x14ac:dyDescent="0.2">
      <c r="C16" s="114"/>
      <c r="D16" s="167"/>
      <c r="E16" s="167"/>
      <c r="F16" s="167"/>
      <c r="G16" s="167"/>
      <c r="I16" s="164"/>
    </row>
    <row r="17" spans="1:9" ht="11.25" thickBot="1" x14ac:dyDescent="0.2">
      <c r="A17" s="34" t="s">
        <v>1151</v>
      </c>
      <c r="D17" s="168">
        <f t="shared" ref="D17:I17" si="2">D6+D15</f>
        <v>0</v>
      </c>
      <c r="E17" s="168">
        <f t="shared" si="2"/>
        <v>0</v>
      </c>
      <c r="F17" s="168">
        <f t="shared" si="2"/>
        <v>0</v>
      </c>
      <c r="G17" s="168">
        <f t="shared" si="2"/>
        <v>0</v>
      </c>
      <c r="H17" s="168">
        <f t="shared" si="2"/>
        <v>0</v>
      </c>
      <c r="I17" s="168">
        <f t="shared" si="2"/>
        <v>0</v>
      </c>
    </row>
    <row r="18" spans="1:9" x14ac:dyDescent="0.15">
      <c r="A18" s="34"/>
      <c r="D18" s="167"/>
      <c r="E18" s="167"/>
      <c r="F18" s="167"/>
      <c r="G18" s="167"/>
      <c r="I18" s="164"/>
    </row>
    <row r="19" spans="1:9" x14ac:dyDescent="0.15">
      <c r="E19" s="156"/>
      <c r="F19" s="156"/>
      <c r="G19" s="156"/>
      <c r="I19" s="164"/>
    </row>
    <row r="20" spans="1:9" x14ac:dyDescent="0.15">
      <c r="A20" s="35" t="s">
        <v>1135</v>
      </c>
      <c r="C20" s="206" t="s">
        <v>1136</v>
      </c>
      <c r="E20" s="156"/>
      <c r="F20" s="156"/>
      <c r="G20" s="156"/>
      <c r="I20" s="164"/>
    </row>
    <row r="21" spans="1:9" x14ac:dyDescent="0.15">
      <c r="A21" s="114" t="s">
        <v>1330</v>
      </c>
      <c r="B21" s="171" t="s">
        <v>629</v>
      </c>
      <c r="C21" s="114" t="s">
        <v>343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92">
        <f t="shared" ref="I21:I28" si="3">SUM(G21+H21)</f>
        <v>0</v>
      </c>
    </row>
    <row r="22" spans="1:9" x14ac:dyDescent="0.15">
      <c r="A22" s="114" t="s">
        <v>1182</v>
      </c>
      <c r="B22" s="171" t="s">
        <v>637</v>
      </c>
      <c r="C22" s="114" t="s">
        <v>813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92">
        <f t="shared" si="3"/>
        <v>0</v>
      </c>
    </row>
    <row r="23" spans="1:9" x14ac:dyDescent="0.15">
      <c r="A23" s="114" t="s">
        <v>1317</v>
      </c>
      <c r="B23" s="171" t="s">
        <v>641</v>
      </c>
      <c r="C23" s="114" t="s">
        <v>1096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92">
        <f t="shared" si="3"/>
        <v>0</v>
      </c>
    </row>
    <row r="24" spans="1:9" x14ac:dyDescent="0.15">
      <c r="A24" s="114" t="s">
        <v>1183</v>
      </c>
      <c r="B24" s="171" t="s">
        <v>642</v>
      </c>
      <c r="C24" s="114" t="s">
        <v>1101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92">
        <f t="shared" si="3"/>
        <v>0</v>
      </c>
    </row>
    <row r="25" spans="1:9" x14ac:dyDescent="0.15">
      <c r="A25" s="114" t="s">
        <v>1184</v>
      </c>
      <c r="B25" s="171" t="s">
        <v>638</v>
      </c>
      <c r="C25" s="114" t="s">
        <v>1102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92">
        <f t="shared" si="3"/>
        <v>0</v>
      </c>
    </row>
    <row r="26" spans="1:9" x14ac:dyDescent="0.15">
      <c r="A26" s="114" t="s">
        <v>1185</v>
      </c>
      <c r="B26" s="171" t="s">
        <v>639</v>
      </c>
      <c r="C26" s="114" t="s">
        <v>1105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92">
        <f t="shared" si="3"/>
        <v>0</v>
      </c>
    </row>
    <row r="27" spans="1:9" x14ac:dyDescent="0.15">
      <c r="A27" s="114" t="s">
        <v>1186</v>
      </c>
      <c r="B27" s="171" t="s">
        <v>644</v>
      </c>
      <c r="C27" s="114" t="s">
        <v>814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92">
        <f t="shared" si="3"/>
        <v>0</v>
      </c>
    </row>
    <row r="28" spans="1:9" x14ac:dyDescent="0.15">
      <c r="A28" s="114" t="s">
        <v>656</v>
      </c>
      <c r="B28" s="171" t="s">
        <v>645</v>
      </c>
      <c r="C28" s="114" t="s">
        <v>815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92">
        <f t="shared" si="3"/>
        <v>0</v>
      </c>
    </row>
    <row r="29" spans="1:9" ht="11.25" thickBot="1" x14ac:dyDescent="0.2">
      <c r="A29" s="114"/>
      <c r="B29" s="164"/>
      <c r="C29" s="114"/>
      <c r="D29" s="14"/>
      <c r="F29" s="156"/>
      <c r="G29" s="156"/>
      <c r="I29" s="164"/>
    </row>
    <row r="30" spans="1:9" ht="12" thickTop="1" thickBot="1" x14ac:dyDescent="0.2">
      <c r="B30" s="171" t="s">
        <v>646</v>
      </c>
      <c r="C30" s="34" t="s">
        <v>820</v>
      </c>
      <c r="D30" s="166">
        <f t="shared" ref="D30:I30" si="4">SUM(D21:D28)</f>
        <v>0</v>
      </c>
      <c r="E30" s="166">
        <f t="shared" si="4"/>
        <v>0</v>
      </c>
      <c r="F30" s="166">
        <f t="shared" si="4"/>
        <v>0</v>
      </c>
      <c r="G30" s="166">
        <f t="shared" si="4"/>
        <v>0</v>
      </c>
      <c r="H30" s="166">
        <f t="shared" si="4"/>
        <v>0</v>
      </c>
      <c r="I30" s="166">
        <f t="shared" si="4"/>
        <v>0</v>
      </c>
    </row>
    <row r="31" spans="1:9" ht="11.25" thickTop="1" x14ac:dyDescent="0.15">
      <c r="E31" s="156"/>
      <c r="F31" s="156"/>
      <c r="G31" s="156"/>
      <c r="I31" s="164"/>
    </row>
    <row r="32" spans="1:9" x14ac:dyDescent="0.15">
      <c r="A32" s="152" t="s">
        <v>1048</v>
      </c>
      <c r="C32" s="206" t="s">
        <v>211</v>
      </c>
      <c r="D32" s="156"/>
      <c r="E32" s="156"/>
      <c r="F32" s="156"/>
      <c r="G32" s="156"/>
      <c r="I32" s="164"/>
    </row>
    <row r="33" spans="1:9" x14ac:dyDescent="0.15">
      <c r="A33" s="486" t="s">
        <v>827</v>
      </c>
      <c r="B33" s="633" t="s">
        <v>647</v>
      </c>
      <c r="C33" s="135" t="s">
        <v>821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92">
        <f>SUM(G33+H33)</f>
        <v>0</v>
      </c>
    </row>
    <row r="34" spans="1:9" x14ac:dyDescent="0.15">
      <c r="A34" s="627" t="s">
        <v>1394</v>
      </c>
      <c r="B34" s="633" t="s">
        <v>648</v>
      </c>
      <c r="C34" s="135" t="s">
        <v>822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92">
        <f>SUM(G34+H34)</f>
        <v>0</v>
      </c>
    </row>
    <row r="35" spans="1:9" x14ac:dyDescent="0.15">
      <c r="A35" s="627" t="s">
        <v>1395</v>
      </c>
      <c r="B35" s="633" t="s">
        <v>649</v>
      </c>
      <c r="C35" s="135" t="s">
        <v>823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92">
        <f>SUM(G35+H35)</f>
        <v>0</v>
      </c>
    </row>
    <row r="36" spans="1:9" ht="9.75" customHeight="1" x14ac:dyDescent="0.15">
      <c r="A36" s="627" t="s">
        <v>1396</v>
      </c>
      <c r="B36" s="633" t="s">
        <v>650</v>
      </c>
      <c r="C36" s="625" t="s">
        <v>1397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92">
        <f>SUM(G36+H36)</f>
        <v>0</v>
      </c>
    </row>
    <row r="37" spans="1:9" ht="11.25" thickBot="1" x14ac:dyDescent="0.2">
      <c r="A37" s="486" t="s">
        <v>831</v>
      </c>
      <c r="B37" s="633" t="s">
        <v>651</v>
      </c>
      <c r="C37" s="135" t="s">
        <v>825</v>
      </c>
      <c r="D37" s="147">
        <v>0</v>
      </c>
      <c r="E37" s="147">
        <v>0</v>
      </c>
      <c r="F37" s="147">
        <v>0</v>
      </c>
      <c r="G37" s="147">
        <v>0</v>
      </c>
      <c r="H37" s="40">
        <v>0</v>
      </c>
      <c r="I37" s="492">
        <f>SUM(G37+H37)</f>
        <v>0</v>
      </c>
    </row>
    <row r="38" spans="1:9" ht="12" thickTop="1" thickBot="1" x14ac:dyDescent="0.2">
      <c r="A38" s="146"/>
      <c r="B38" s="157" t="s">
        <v>652</v>
      </c>
      <c r="C38" s="1" t="s">
        <v>1412</v>
      </c>
      <c r="D38" s="148">
        <f t="shared" ref="D38:I38" si="5">SUM(D33:D37)</f>
        <v>0</v>
      </c>
      <c r="E38" s="148">
        <f t="shared" si="5"/>
        <v>0</v>
      </c>
      <c r="F38" s="148">
        <f t="shared" si="5"/>
        <v>0</v>
      </c>
      <c r="G38" s="148">
        <f t="shared" si="5"/>
        <v>0</v>
      </c>
      <c r="H38" s="148">
        <f t="shared" si="5"/>
        <v>0</v>
      </c>
      <c r="I38" s="166">
        <f t="shared" si="5"/>
        <v>0</v>
      </c>
    </row>
    <row r="39" spans="1:9" ht="12" thickTop="1" thickBot="1" x14ac:dyDescent="0.2">
      <c r="A39" s="146"/>
      <c r="C39" s="114"/>
      <c r="D39" s="156"/>
      <c r="E39" s="156"/>
      <c r="F39" s="156"/>
      <c r="G39" s="156"/>
      <c r="I39" s="164"/>
    </row>
    <row r="40" spans="1:9" ht="11.25" thickBot="1" x14ac:dyDescent="0.2">
      <c r="A40" s="728" t="s">
        <v>535</v>
      </c>
      <c r="B40" s="728"/>
      <c r="C40" s="735"/>
      <c r="D40" s="208">
        <f t="shared" ref="D40:I40" si="6">D30+D38</f>
        <v>0</v>
      </c>
      <c r="E40" s="208">
        <f t="shared" si="6"/>
        <v>0</v>
      </c>
      <c r="F40" s="208">
        <f t="shared" si="6"/>
        <v>0</v>
      </c>
      <c r="G40" s="208">
        <f t="shared" si="6"/>
        <v>0</v>
      </c>
      <c r="H40" s="208">
        <f t="shared" si="6"/>
        <v>0</v>
      </c>
      <c r="I40" s="208">
        <f t="shared" si="6"/>
        <v>0</v>
      </c>
    </row>
    <row r="41" spans="1:9" x14ac:dyDescent="0.15">
      <c r="A41" s="146"/>
      <c r="C41" s="114" t="s">
        <v>203</v>
      </c>
      <c r="D41" s="156"/>
      <c r="E41" s="156"/>
      <c r="F41" s="156"/>
      <c r="G41" s="156"/>
      <c r="I41" s="164"/>
    </row>
    <row r="42" spans="1:9" ht="11.25" thickBot="1" x14ac:dyDescent="0.2">
      <c r="A42" s="146"/>
      <c r="C42" s="114"/>
      <c r="D42" s="156"/>
      <c r="E42" s="156"/>
      <c r="F42" s="156"/>
      <c r="G42" s="156"/>
      <c r="I42" s="164"/>
    </row>
    <row r="43" spans="1:9" ht="12" thickTop="1" thickBot="1" x14ac:dyDescent="0.2">
      <c r="C43" s="169" t="s">
        <v>204</v>
      </c>
      <c r="D43" s="170">
        <f t="shared" ref="D43:I43" si="7">D17</f>
        <v>0</v>
      </c>
      <c r="E43" s="170">
        <f t="shared" si="7"/>
        <v>0</v>
      </c>
      <c r="F43" s="170">
        <f t="shared" si="7"/>
        <v>0</v>
      </c>
      <c r="G43" s="170">
        <f t="shared" si="7"/>
        <v>0</v>
      </c>
      <c r="H43" s="170">
        <f t="shared" si="7"/>
        <v>0</v>
      </c>
      <c r="I43" s="170">
        <f t="shared" si="7"/>
        <v>0</v>
      </c>
    </row>
    <row r="44" spans="1:9" ht="11.25" thickTop="1" x14ac:dyDescent="0.15">
      <c r="D44" s="155"/>
      <c r="I44" s="164"/>
    </row>
    <row r="45" spans="1:9" x14ac:dyDescent="0.15">
      <c r="C45" s="169" t="s">
        <v>205</v>
      </c>
      <c r="D45" s="155">
        <f t="shared" ref="D45:I45" si="8">D40-D43</f>
        <v>0</v>
      </c>
      <c r="E45" s="155">
        <f t="shared" si="8"/>
        <v>0</v>
      </c>
      <c r="F45" s="155">
        <f t="shared" si="8"/>
        <v>0</v>
      </c>
      <c r="G45" s="155">
        <f t="shared" si="8"/>
        <v>0</v>
      </c>
      <c r="H45" s="155">
        <f t="shared" si="8"/>
        <v>0</v>
      </c>
      <c r="I45" s="164">
        <f t="shared" si="8"/>
        <v>0</v>
      </c>
    </row>
    <row r="46" spans="1:9" x14ac:dyDescent="0.15">
      <c r="I46" s="164"/>
    </row>
    <row r="48" spans="1:9" x14ac:dyDescent="0.15">
      <c r="A48" s="204" t="s">
        <v>539</v>
      </c>
    </row>
  </sheetData>
  <sheetProtection password="CB03" sheet="1" objects="1" scenarios="1" formatCells="0" formatColumns="0" formatRows="0"/>
  <mergeCells count="1">
    <mergeCell ref="A40:C40"/>
  </mergeCells>
  <phoneticPr fontId="15" type="noConversion"/>
  <pageMargins left="0.75" right="0.75" top="1" bottom="1" header="0.5" footer="0.5"/>
  <pageSetup scale="60" firstPageNumber="39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I100"/>
  <sheetViews>
    <sheetView zoomScaleNormal="100" workbookViewId="0">
      <selection activeCell="A2" sqref="A2"/>
    </sheetView>
  </sheetViews>
  <sheetFormatPr defaultRowHeight="10.5" x14ac:dyDescent="0.15"/>
  <cols>
    <col min="1" max="1" width="10" style="155" customWidth="1"/>
    <col min="2" max="2" width="3.5" style="155" customWidth="1"/>
    <col min="3" max="3" width="70.83203125" style="155" customWidth="1"/>
    <col min="4" max="4" width="15.83203125" style="155" customWidth="1"/>
    <col min="5" max="5" width="17.83203125" style="155" customWidth="1"/>
    <col min="6" max="6" width="19" style="155" customWidth="1"/>
    <col min="7" max="7" width="15.83203125" style="155" customWidth="1"/>
    <col min="8" max="8" width="16.83203125" style="155" customWidth="1"/>
    <col min="9" max="9" width="14.1640625" style="155" customWidth="1"/>
    <col min="10" max="16384" width="9.33203125" style="155"/>
  </cols>
  <sheetData>
    <row r="1" spans="1:9" x14ac:dyDescent="0.15">
      <c r="A1" s="155" t="s">
        <v>1044</v>
      </c>
      <c r="C1" s="160">
        <f>+'Page 1 - FY2016-17'!B5</f>
        <v>0</v>
      </c>
      <c r="D1" s="160" t="s">
        <v>889</v>
      </c>
      <c r="E1" s="161">
        <f>+'Page 1 - FY2016-17'!F7</f>
        <v>0</v>
      </c>
      <c r="G1" s="37" t="s">
        <v>891</v>
      </c>
    </row>
    <row r="2" spans="1:9" x14ac:dyDescent="0.15">
      <c r="A2" s="131" t="s">
        <v>33</v>
      </c>
    </row>
    <row r="3" spans="1:9" ht="42" x14ac:dyDescent="0.15">
      <c r="D3" s="580" t="s">
        <v>1607</v>
      </c>
      <c r="E3" s="580" t="s">
        <v>1606</v>
      </c>
      <c r="F3" s="580" t="s">
        <v>1605</v>
      </c>
      <c r="G3" s="580" t="s">
        <v>1604</v>
      </c>
      <c r="H3" s="580" t="s">
        <v>1603</v>
      </c>
      <c r="I3" s="580" t="s">
        <v>1602</v>
      </c>
    </row>
    <row r="4" spans="1:9" ht="73.5" x14ac:dyDescent="0.15">
      <c r="D4" s="424"/>
      <c r="E4" s="424"/>
      <c r="F4" s="424"/>
      <c r="G4" s="424"/>
      <c r="H4" s="713" t="s">
        <v>1541</v>
      </c>
      <c r="I4" s="715" t="s">
        <v>1516</v>
      </c>
    </row>
    <row r="5" spans="1:9" ht="11.25" thickBot="1" x14ac:dyDescent="0.2">
      <c r="D5" s="163"/>
      <c r="E5" s="163"/>
      <c r="F5" s="163"/>
      <c r="G5" s="163"/>
      <c r="I5" s="164"/>
    </row>
    <row r="6" spans="1:9" ht="11.25" thickBot="1" x14ac:dyDescent="0.2">
      <c r="A6" s="34" t="s">
        <v>1132</v>
      </c>
      <c r="B6" s="34" t="s">
        <v>892</v>
      </c>
      <c r="D6" s="38"/>
      <c r="E6" s="38">
        <v>0</v>
      </c>
      <c r="F6" s="38"/>
      <c r="G6" s="38"/>
      <c r="H6" s="38"/>
      <c r="I6" s="168">
        <f>SUM(G6+H6)</f>
        <v>0</v>
      </c>
    </row>
    <row r="7" spans="1:9" x14ac:dyDescent="0.15">
      <c r="A7" s="35" t="s">
        <v>895</v>
      </c>
      <c r="C7" s="206" t="s">
        <v>1133</v>
      </c>
      <c r="E7" s="156"/>
      <c r="F7" s="156"/>
      <c r="G7" s="156"/>
      <c r="I7" s="164"/>
    </row>
    <row r="8" spans="1:9" x14ac:dyDescent="0.15">
      <c r="A8" s="114" t="s">
        <v>898</v>
      </c>
      <c r="B8" s="157" t="s">
        <v>560</v>
      </c>
      <c r="C8" s="114" t="s">
        <v>1143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92">
        <f>SUM(G8+H8)</f>
        <v>0</v>
      </c>
    </row>
    <row r="9" spans="1:9" x14ac:dyDescent="0.15">
      <c r="A9" s="114" t="s">
        <v>899</v>
      </c>
      <c r="B9" s="157" t="s">
        <v>561</v>
      </c>
      <c r="C9" s="114" t="s">
        <v>1192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2">
        <f t="shared" ref="I9:I23" si="0">SUM(G9+H9)</f>
        <v>0</v>
      </c>
    </row>
    <row r="10" spans="1:9" x14ac:dyDescent="0.15">
      <c r="A10" s="149" t="s">
        <v>1142</v>
      </c>
      <c r="B10" s="157" t="s">
        <v>562</v>
      </c>
      <c r="C10" s="114" t="s">
        <v>1144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2">
        <f t="shared" si="0"/>
        <v>0</v>
      </c>
    </row>
    <row r="11" spans="1:9" x14ac:dyDescent="0.15">
      <c r="A11" s="114" t="s">
        <v>905</v>
      </c>
      <c r="B11" s="157" t="s">
        <v>625</v>
      </c>
      <c r="C11" s="114" t="s">
        <v>1332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2">
        <f t="shared" si="0"/>
        <v>0</v>
      </c>
    </row>
    <row r="12" spans="1:9" x14ac:dyDescent="0.15">
      <c r="A12" s="114" t="s">
        <v>558</v>
      </c>
      <c r="B12" s="157" t="s">
        <v>626</v>
      </c>
      <c r="C12" s="114" t="s">
        <v>1145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92">
        <f t="shared" si="0"/>
        <v>0</v>
      </c>
    </row>
    <row r="13" spans="1:9" x14ac:dyDescent="0.15">
      <c r="A13" s="149" t="s">
        <v>1033</v>
      </c>
      <c r="B13" s="157" t="s">
        <v>627</v>
      </c>
      <c r="C13" s="114" t="s">
        <v>550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92">
        <f t="shared" si="0"/>
        <v>0</v>
      </c>
    </row>
    <row r="14" spans="1:9" x14ac:dyDescent="0.15">
      <c r="A14" s="114" t="s">
        <v>1035</v>
      </c>
      <c r="B14" s="157" t="s">
        <v>628</v>
      </c>
      <c r="C14" s="114" t="s">
        <v>1341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92">
        <f t="shared" si="0"/>
        <v>0</v>
      </c>
    </row>
    <row r="15" spans="1:9" x14ac:dyDescent="0.15">
      <c r="A15" s="149" t="s">
        <v>233</v>
      </c>
      <c r="B15" s="157" t="s">
        <v>629</v>
      </c>
      <c r="C15" s="114" t="s">
        <v>1342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92">
        <f t="shared" si="0"/>
        <v>0</v>
      </c>
    </row>
    <row r="16" spans="1:9" x14ac:dyDescent="0.15">
      <c r="A16" s="149" t="s">
        <v>234</v>
      </c>
      <c r="B16" s="157" t="s">
        <v>637</v>
      </c>
      <c r="C16" s="114" t="s">
        <v>1146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92">
        <f t="shared" si="0"/>
        <v>0</v>
      </c>
    </row>
    <row r="17" spans="1:9" x14ac:dyDescent="0.15">
      <c r="A17" s="149" t="s">
        <v>1147</v>
      </c>
      <c r="B17" s="157" t="s">
        <v>641</v>
      </c>
      <c r="C17" s="114" t="s">
        <v>1148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92">
        <f t="shared" si="0"/>
        <v>0</v>
      </c>
    </row>
    <row r="18" spans="1:9" x14ac:dyDescent="0.15">
      <c r="A18" s="149" t="s">
        <v>1329</v>
      </c>
      <c r="B18" s="157" t="s">
        <v>642</v>
      </c>
      <c r="C18" s="114" t="s">
        <v>552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92">
        <f t="shared" si="0"/>
        <v>0</v>
      </c>
    </row>
    <row r="19" spans="1:9" x14ac:dyDescent="0.15">
      <c r="A19" s="159" t="s">
        <v>1043</v>
      </c>
      <c r="B19" s="171" t="s">
        <v>638</v>
      </c>
      <c r="C19" s="2" t="s">
        <v>303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92">
        <f t="shared" si="0"/>
        <v>0</v>
      </c>
    </row>
    <row r="20" spans="1:9" x14ac:dyDescent="0.15">
      <c r="A20" s="165" t="s">
        <v>27</v>
      </c>
      <c r="B20" s="171" t="s">
        <v>657</v>
      </c>
      <c r="C20" s="135" t="s">
        <v>28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92">
        <f t="shared" si="0"/>
        <v>0</v>
      </c>
    </row>
    <row r="21" spans="1:9" x14ac:dyDescent="0.15">
      <c r="A21" s="165" t="s">
        <v>26</v>
      </c>
      <c r="B21" s="171" t="s">
        <v>644</v>
      </c>
      <c r="C21" s="135" t="s">
        <v>1055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92">
        <f t="shared" si="0"/>
        <v>0</v>
      </c>
    </row>
    <row r="22" spans="1:9" x14ac:dyDescent="0.15">
      <c r="A22" s="114" t="s">
        <v>1134</v>
      </c>
      <c r="B22" s="171" t="s">
        <v>645</v>
      </c>
      <c r="C22" s="556" t="s">
        <v>557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92">
        <f t="shared" si="0"/>
        <v>0</v>
      </c>
    </row>
    <row r="23" spans="1:9" x14ac:dyDescent="0.15">
      <c r="B23" s="171" t="s">
        <v>646</v>
      </c>
      <c r="C23" s="114" t="s">
        <v>1149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92">
        <f t="shared" si="0"/>
        <v>0</v>
      </c>
    </row>
    <row r="24" spans="1:9" ht="11.25" thickBot="1" x14ac:dyDescent="0.2">
      <c r="C24" s="114"/>
      <c r="D24" s="14"/>
      <c r="E24" s="14"/>
      <c r="F24" s="14"/>
      <c r="G24" s="14"/>
      <c r="I24" s="164"/>
    </row>
    <row r="25" spans="1:9" ht="12" thickTop="1" thickBot="1" x14ac:dyDescent="0.2">
      <c r="B25" s="171" t="s">
        <v>647</v>
      </c>
      <c r="C25" s="34" t="s">
        <v>536</v>
      </c>
      <c r="D25" s="166">
        <f t="shared" ref="D25:I25" si="1">SUM(D8:D23)</f>
        <v>0</v>
      </c>
      <c r="E25" s="166">
        <f t="shared" si="1"/>
        <v>0</v>
      </c>
      <c r="F25" s="166">
        <f t="shared" si="1"/>
        <v>0</v>
      </c>
      <c r="G25" s="166">
        <f t="shared" si="1"/>
        <v>0</v>
      </c>
      <c r="H25" s="166">
        <f t="shared" si="1"/>
        <v>0</v>
      </c>
      <c r="I25" s="166">
        <f t="shared" si="1"/>
        <v>0</v>
      </c>
    </row>
    <row r="26" spans="1:9" ht="12" thickTop="1" thickBot="1" x14ac:dyDescent="0.2">
      <c r="C26" s="149"/>
      <c r="D26" s="167"/>
      <c r="E26" s="167"/>
      <c r="F26" s="167"/>
      <c r="G26" s="167"/>
      <c r="I26" s="164"/>
    </row>
    <row r="27" spans="1:9" ht="10.5" customHeight="1" thickBot="1" x14ac:dyDescent="0.2">
      <c r="A27" s="34" t="s">
        <v>919</v>
      </c>
      <c r="D27" s="168">
        <f t="shared" ref="D27:I27" si="2">D6+D25</f>
        <v>0</v>
      </c>
      <c r="E27" s="168">
        <f>E6+E25</f>
        <v>0</v>
      </c>
      <c r="F27" s="168">
        <f t="shared" si="2"/>
        <v>0</v>
      </c>
      <c r="G27" s="168">
        <f t="shared" si="2"/>
        <v>0</v>
      </c>
      <c r="H27" s="168">
        <f t="shared" si="2"/>
        <v>0</v>
      </c>
      <c r="I27" s="168">
        <f t="shared" si="2"/>
        <v>0</v>
      </c>
    </row>
    <row r="28" spans="1:9" ht="10.5" customHeight="1" x14ac:dyDescent="0.15">
      <c r="A28" s="34"/>
      <c r="D28" s="167"/>
      <c r="E28" s="167"/>
      <c r="F28" s="167"/>
      <c r="G28" s="167"/>
      <c r="I28" s="164"/>
    </row>
    <row r="29" spans="1:9" x14ac:dyDescent="0.15">
      <c r="A29" s="563" t="s">
        <v>290</v>
      </c>
      <c r="B29" s="413"/>
      <c r="C29" s="427" t="s">
        <v>286</v>
      </c>
      <c r="D29" s="412"/>
      <c r="E29" s="412"/>
      <c r="F29" s="412"/>
      <c r="G29" s="412"/>
      <c r="H29" s="412"/>
      <c r="I29" s="176"/>
    </row>
    <row r="30" spans="1:9" x14ac:dyDescent="0.15">
      <c r="A30" s="417" t="s">
        <v>1043</v>
      </c>
      <c r="B30" s="433" t="s">
        <v>733</v>
      </c>
      <c r="C30" s="2" t="s">
        <v>293</v>
      </c>
      <c r="D30" s="40">
        <v>0</v>
      </c>
      <c r="E30" s="40">
        <v>0</v>
      </c>
      <c r="F30" s="40">
        <v>0</v>
      </c>
      <c r="G30" s="40">
        <v>0</v>
      </c>
      <c r="H30" s="463">
        <v>0</v>
      </c>
      <c r="I30" s="464">
        <f>SUM(G30+H30)</f>
        <v>0</v>
      </c>
    </row>
    <row r="31" spans="1:9" x14ac:dyDescent="0.15">
      <c r="A31" s="417"/>
      <c r="B31" s="433"/>
      <c r="C31" s="2"/>
      <c r="D31" s="14"/>
      <c r="E31" s="14"/>
      <c r="F31" s="14"/>
      <c r="G31" s="14"/>
      <c r="H31" s="301"/>
      <c r="I31" s="298"/>
    </row>
    <row r="32" spans="1:9" x14ac:dyDescent="0.15">
      <c r="E32" s="156"/>
      <c r="F32" s="156"/>
      <c r="G32" s="156"/>
      <c r="I32" s="164"/>
    </row>
    <row r="33" spans="1:9" x14ac:dyDescent="0.15">
      <c r="A33" s="35" t="s">
        <v>1135</v>
      </c>
      <c r="C33" s="206" t="s">
        <v>1136</v>
      </c>
      <c r="E33" s="156"/>
      <c r="F33" s="156"/>
      <c r="G33" s="156"/>
      <c r="I33" s="164"/>
    </row>
    <row r="34" spans="1:9" x14ac:dyDescent="0.15">
      <c r="A34" s="35"/>
      <c r="B34" s="39"/>
      <c r="C34" s="155" t="s">
        <v>591</v>
      </c>
      <c r="E34" s="156"/>
      <c r="F34" s="156"/>
      <c r="G34" s="156"/>
      <c r="I34" s="164"/>
    </row>
    <row r="35" spans="1:9" x14ac:dyDescent="0.15">
      <c r="A35" s="149" t="s">
        <v>880</v>
      </c>
      <c r="B35" s="157" t="s">
        <v>648</v>
      </c>
      <c r="C35" s="114" t="s">
        <v>337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92">
        <f t="shared" ref="I35:I48" si="3">SUM(G35+H35)</f>
        <v>0</v>
      </c>
    </row>
    <row r="36" spans="1:9" x14ac:dyDescent="0.15">
      <c r="A36" s="149" t="s">
        <v>881</v>
      </c>
      <c r="B36" s="171" t="s">
        <v>649</v>
      </c>
      <c r="C36" s="114" t="s">
        <v>342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92">
        <f t="shared" si="3"/>
        <v>0</v>
      </c>
    </row>
    <row r="37" spans="1:9" x14ac:dyDescent="0.15">
      <c r="A37" s="149" t="s">
        <v>882</v>
      </c>
      <c r="B37" s="171" t="s">
        <v>650</v>
      </c>
      <c r="C37" s="114" t="s">
        <v>643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92">
        <f t="shared" si="3"/>
        <v>0</v>
      </c>
    </row>
    <row r="38" spans="1:9" x14ac:dyDescent="0.15">
      <c r="A38" s="157" t="s">
        <v>883</v>
      </c>
      <c r="B38" s="171" t="s">
        <v>651</v>
      </c>
      <c r="C38" s="169" t="s">
        <v>1301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92">
        <f t="shared" si="3"/>
        <v>0</v>
      </c>
    </row>
    <row r="39" spans="1:9" x14ac:dyDescent="0.15">
      <c r="A39" s="149" t="s">
        <v>884</v>
      </c>
      <c r="B39" s="171" t="s">
        <v>652</v>
      </c>
      <c r="C39" s="114" t="s">
        <v>1064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92">
        <f t="shared" si="3"/>
        <v>0</v>
      </c>
    </row>
    <row r="40" spans="1:9" x14ac:dyDescent="0.15">
      <c r="A40" s="149" t="s">
        <v>885</v>
      </c>
      <c r="B40" s="171" t="s">
        <v>657</v>
      </c>
      <c r="C40" s="114" t="s">
        <v>1096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92">
        <f t="shared" si="3"/>
        <v>0</v>
      </c>
    </row>
    <row r="41" spans="1:9" x14ac:dyDescent="0.15">
      <c r="A41" s="149" t="s">
        <v>886</v>
      </c>
      <c r="B41" s="149" t="s">
        <v>658</v>
      </c>
      <c r="C41" s="155" t="s">
        <v>1100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92">
        <f t="shared" si="3"/>
        <v>0</v>
      </c>
    </row>
    <row r="42" spans="1:9" x14ac:dyDescent="0.15">
      <c r="A42" s="114" t="s">
        <v>1137</v>
      </c>
      <c r="B42" s="157" t="s">
        <v>659</v>
      </c>
      <c r="C42" s="114" t="s">
        <v>1101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92">
        <f t="shared" si="3"/>
        <v>0</v>
      </c>
    </row>
    <row r="43" spans="1:9" x14ac:dyDescent="0.15">
      <c r="A43" s="149" t="s">
        <v>1138</v>
      </c>
      <c r="B43" s="157" t="s">
        <v>660</v>
      </c>
      <c r="C43" s="114" t="s">
        <v>1102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92">
        <f t="shared" si="3"/>
        <v>0</v>
      </c>
    </row>
    <row r="44" spans="1:9" x14ac:dyDescent="0.15">
      <c r="A44" s="149" t="s">
        <v>1098</v>
      </c>
      <c r="B44" s="157" t="s">
        <v>662</v>
      </c>
      <c r="C44" s="114" t="s">
        <v>1353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92">
        <f t="shared" si="3"/>
        <v>0</v>
      </c>
    </row>
    <row r="45" spans="1:9" x14ac:dyDescent="0.15">
      <c r="A45" s="149" t="s">
        <v>1099</v>
      </c>
      <c r="B45" s="157" t="s">
        <v>663</v>
      </c>
      <c r="C45" s="169" t="s">
        <v>1354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92">
        <f t="shared" si="3"/>
        <v>0</v>
      </c>
    </row>
    <row r="46" spans="1:9" x14ac:dyDescent="0.15">
      <c r="A46" s="149" t="s">
        <v>1355</v>
      </c>
      <c r="B46" s="157" t="s">
        <v>664</v>
      </c>
      <c r="C46" s="169" t="s">
        <v>1356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92">
        <f t="shared" si="3"/>
        <v>0</v>
      </c>
    </row>
    <row r="47" spans="1:9" x14ac:dyDescent="0.15">
      <c r="A47" s="149" t="s">
        <v>1185</v>
      </c>
      <c r="B47" s="157" t="s">
        <v>665</v>
      </c>
      <c r="C47" s="114" t="s">
        <v>1299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92">
        <f t="shared" si="3"/>
        <v>0</v>
      </c>
    </row>
    <row r="48" spans="1:9" x14ac:dyDescent="0.15">
      <c r="B48" s="171" t="s">
        <v>667</v>
      </c>
      <c r="C48" s="114" t="s">
        <v>877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92">
        <f t="shared" si="3"/>
        <v>0</v>
      </c>
    </row>
    <row r="49" spans="1:9" ht="11.25" thickBot="1" x14ac:dyDescent="0.2">
      <c r="C49" s="114"/>
      <c r="D49" s="14"/>
      <c r="E49" s="14"/>
      <c r="F49" s="14"/>
      <c r="G49" s="14"/>
      <c r="I49" s="164"/>
    </row>
    <row r="50" spans="1:9" ht="12" thickTop="1" thickBot="1" x14ac:dyDescent="0.2">
      <c r="B50" s="171" t="s">
        <v>668</v>
      </c>
      <c r="C50" s="114" t="s">
        <v>42</v>
      </c>
      <c r="D50" s="153">
        <f t="shared" ref="D50:I50" si="4">SUM(D35:D49)</f>
        <v>0</v>
      </c>
      <c r="E50" s="153">
        <f t="shared" si="4"/>
        <v>0</v>
      </c>
      <c r="F50" s="153">
        <f t="shared" si="4"/>
        <v>0</v>
      </c>
      <c r="G50" s="153">
        <f t="shared" si="4"/>
        <v>0</v>
      </c>
      <c r="H50" s="153">
        <f t="shared" si="4"/>
        <v>0</v>
      </c>
      <c r="I50" s="170">
        <f t="shared" si="4"/>
        <v>0</v>
      </c>
    </row>
    <row r="51" spans="1:9" ht="11.25" thickTop="1" x14ac:dyDescent="0.15">
      <c r="C51" s="114"/>
      <c r="D51" s="14"/>
      <c r="E51" s="14"/>
      <c r="F51" s="14"/>
      <c r="G51" s="14"/>
      <c r="I51" s="164"/>
    </row>
    <row r="52" spans="1:9" x14ac:dyDescent="0.15">
      <c r="C52" s="169" t="s">
        <v>1300</v>
      </c>
      <c r="D52" s="14"/>
      <c r="E52" s="14"/>
      <c r="F52" s="14"/>
      <c r="G52" s="14"/>
      <c r="I52" s="164"/>
    </row>
    <row r="53" spans="1:9" x14ac:dyDescent="0.15">
      <c r="A53" s="149" t="s">
        <v>880</v>
      </c>
      <c r="B53" s="171" t="s">
        <v>669</v>
      </c>
      <c r="C53" s="114" t="s">
        <v>337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92">
        <f t="shared" ref="I53:I66" si="5">SUM(G53+H53)</f>
        <v>0</v>
      </c>
    </row>
    <row r="54" spans="1:9" x14ac:dyDescent="0.15">
      <c r="A54" s="149" t="s">
        <v>881</v>
      </c>
      <c r="B54" s="171" t="s">
        <v>670</v>
      </c>
      <c r="C54" s="114" t="s">
        <v>342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92">
        <f t="shared" si="5"/>
        <v>0</v>
      </c>
    </row>
    <row r="55" spans="1:9" x14ac:dyDescent="0.15">
      <c r="A55" s="149" t="s">
        <v>882</v>
      </c>
      <c r="B55" s="171" t="s">
        <v>671</v>
      </c>
      <c r="C55" s="114" t="s">
        <v>643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92">
        <f t="shared" si="5"/>
        <v>0</v>
      </c>
    </row>
    <row r="56" spans="1:9" x14ac:dyDescent="0.15">
      <c r="A56" s="157" t="s">
        <v>883</v>
      </c>
      <c r="B56" s="171" t="s">
        <v>1187</v>
      </c>
      <c r="C56" s="169" t="s">
        <v>1301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92">
        <f t="shared" si="5"/>
        <v>0</v>
      </c>
    </row>
    <row r="57" spans="1:9" x14ac:dyDescent="0.15">
      <c r="A57" s="149" t="s">
        <v>884</v>
      </c>
      <c r="B57" s="171" t="s">
        <v>1188</v>
      </c>
      <c r="C57" s="114" t="s">
        <v>1064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92">
        <f t="shared" si="5"/>
        <v>0</v>
      </c>
    </row>
    <row r="58" spans="1:9" x14ac:dyDescent="0.15">
      <c r="A58" s="149" t="s">
        <v>885</v>
      </c>
      <c r="B58" s="171" t="s">
        <v>673</v>
      </c>
      <c r="C58" s="114" t="s">
        <v>1096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92">
        <f t="shared" si="5"/>
        <v>0</v>
      </c>
    </row>
    <row r="59" spans="1:9" x14ac:dyDescent="0.15">
      <c r="A59" s="149" t="s">
        <v>886</v>
      </c>
      <c r="B59" s="149" t="s">
        <v>674</v>
      </c>
      <c r="C59" s="155" t="s">
        <v>1100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92">
        <f t="shared" si="5"/>
        <v>0</v>
      </c>
    </row>
    <row r="60" spans="1:9" x14ac:dyDescent="0.15">
      <c r="A60" s="114" t="s">
        <v>1137</v>
      </c>
      <c r="B60" s="171" t="s">
        <v>675</v>
      </c>
      <c r="C60" s="114" t="s">
        <v>1101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92">
        <f t="shared" si="5"/>
        <v>0</v>
      </c>
    </row>
    <row r="61" spans="1:9" x14ac:dyDescent="0.15">
      <c r="A61" s="149" t="s">
        <v>1138</v>
      </c>
      <c r="B61" s="171" t="s">
        <v>676</v>
      </c>
      <c r="C61" s="114" t="s">
        <v>1102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92">
        <f t="shared" si="5"/>
        <v>0</v>
      </c>
    </row>
    <row r="62" spans="1:9" x14ac:dyDescent="0.15">
      <c r="A62" s="149" t="s">
        <v>1098</v>
      </c>
      <c r="B62" s="171" t="s">
        <v>677</v>
      </c>
      <c r="C62" s="114" t="s">
        <v>1353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92">
        <f t="shared" si="5"/>
        <v>0</v>
      </c>
    </row>
    <row r="63" spans="1:9" x14ac:dyDescent="0.15">
      <c r="A63" s="149" t="s">
        <v>1099</v>
      </c>
      <c r="B63" s="171" t="s">
        <v>678</v>
      </c>
      <c r="C63" s="169" t="s">
        <v>1354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92">
        <f t="shared" si="5"/>
        <v>0</v>
      </c>
    </row>
    <row r="64" spans="1:9" x14ac:dyDescent="0.15">
      <c r="A64" s="149" t="s">
        <v>1355</v>
      </c>
      <c r="B64" s="171" t="s">
        <v>679</v>
      </c>
      <c r="C64" s="169" t="s">
        <v>1356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92">
        <f t="shared" si="5"/>
        <v>0</v>
      </c>
    </row>
    <row r="65" spans="1:9" x14ac:dyDescent="0.15">
      <c r="A65" s="149" t="s">
        <v>1185</v>
      </c>
      <c r="B65" s="157" t="s">
        <v>684</v>
      </c>
      <c r="C65" s="114" t="s">
        <v>1299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92">
        <f t="shared" si="5"/>
        <v>0</v>
      </c>
    </row>
    <row r="66" spans="1:9" x14ac:dyDescent="0.15">
      <c r="B66" s="157" t="s">
        <v>686</v>
      </c>
      <c r="C66" s="114" t="s">
        <v>877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92">
        <f t="shared" si="5"/>
        <v>0</v>
      </c>
    </row>
    <row r="67" spans="1:9" ht="11.25" thickBot="1" x14ac:dyDescent="0.2">
      <c r="B67" s="171"/>
      <c r="C67" s="114"/>
      <c r="D67" s="14"/>
      <c r="E67" s="14"/>
      <c r="F67" s="14"/>
      <c r="G67" s="14"/>
      <c r="I67" s="164"/>
    </row>
    <row r="68" spans="1:9" ht="12" thickTop="1" thickBot="1" x14ac:dyDescent="0.2">
      <c r="B68" s="171" t="s">
        <v>687</v>
      </c>
      <c r="C68" s="169" t="s">
        <v>43</v>
      </c>
      <c r="D68" s="153">
        <f t="shared" ref="D68:I68" si="6">SUM(D53:D67)</f>
        <v>0</v>
      </c>
      <c r="E68" s="153">
        <f t="shared" si="6"/>
        <v>0</v>
      </c>
      <c r="F68" s="153">
        <f t="shared" si="6"/>
        <v>0</v>
      </c>
      <c r="G68" s="153">
        <f t="shared" si="6"/>
        <v>0</v>
      </c>
      <c r="H68" s="153">
        <f t="shared" si="6"/>
        <v>0</v>
      </c>
      <c r="I68" s="153">
        <f t="shared" si="6"/>
        <v>0</v>
      </c>
    </row>
    <row r="69" spans="1:9" ht="11.25" thickTop="1" x14ac:dyDescent="0.15">
      <c r="C69" s="114"/>
      <c r="D69" s="14"/>
      <c r="E69" s="14"/>
      <c r="F69" s="14"/>
      <c r="G69" s="14"/>
      <c r="I69" s="164"/>
    </row>
    <row r="70" spans="1:9" x14ac:dyDescent="0.15">
      <c r="B70" s="171"/>
      <c r="C70" s="114" t="s">
        <v>1294</v>
      </c>
      <c r="D70" s="14"/>
      <c r="E70" s="14"/>
      <c r="F70" s="14"/>
      <c r="G70" s="14"/>
      <c r="I70" s="164"/>
    </row>
    <row r="71" spans="1:9" x14ac:dyDescent="0.15">
      <c r="A71" s="157" t="s">
        <v>1323</v>
      </c>
      <c r="B71" s="157" t="s">
        <v>688</v>
      </c>
      <c r="C71" s="114" t="s">
        <v>1302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92">
        <f>SUM(G71+H71)</f>
        <v>0</v>
      </c>
    </row>
    <row r="72" spans="1:9" x14ac:dyDescent="0.15">
      <c r="A72" s="157" t="s">
        <v>1322</v>
      </c>
      <c r="B72" s="157" t="s">
        <v>689</v>
      </c>
      <c r="C72" s="114" t="s">
        <v>1303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92">
        <f>SUM(G72+H72)</f>
        <v>0</v>
      </c>
    </row>
    <row r="73" spans="1:9" x14ac:dyDescent="0.15">
      <c r="A73" s="427" t="s">
        <v>971</v>
      </c>
      <c r="B73" s="441"/>
      <c r="C73" s="135"/>
      <c r="D73" s="158"/>
      <c r="E73" s="158"/>
      <c r="F73" s="158"/>
      <c r="G73" s="158"/>
      <c r="H73" s="285"/>
      <c r="I73" s="574"/>
    </row>
    <row r="74" spans="1:9" x14ac:dyDescent="0.15">
      <c r="A74" s="412"/>
      <c r="B74" s="441"/>
      <c r="C74" s="561" t="s">
        <v>970</v>
      </c>
      <c r="D74" s="459">
        <f t="shared" ref="D74:I74" si="7">+D30</f>
        <v>0</v>
      </c>
      <c r="E74" s="459">
        <f t="shared" si="7"/>
        <v>0</v>
      </c>
      <c r="F74" s="459">
        <f t="shared" si="7"/>
        <v>0</v>
      </c>
      <c r="G74" s="459">
        <f t="shared" si="7"/>
        <v>0</v>
      </c>
      <c r="H74" s="459">
        <f t="shared" si="7"/>
        <v>0</v>
      </c>
      <c r="I74" s="459">
        <f t="shared" si="7"/>
        <v>0</v>
      </c>
    </row>
    <row r="75" spans="1:9" ht="11.25" thickBot="1" x14ac:dyDescent="0.2">
      <c r="C75" s="114"/>
      <c r="D75" s="14"/>
      <c r="E75" s="14"/>
      <c r="F75" s="14"/>
      <c r="G75" s="14"/>
      <c r="I75" s="164"/>
    </row>
    <row r="76" spans="1:9" ht="12" thickTop="1" thickBot="1" x14ac:dyDescent="0.2">
      <c r="B76" s="157" t="s">
        <v>690</v>
      </c>
      <c r="C76" s="114" t="s">
        <v>45</v>
      </c>
      <c r="D76" s="154">
        <f t="shared" ref="D76:I76" si="8">SUM(D71:D75)</f>
        <v>0</v>
      </c>
      <c r="E76" s="154">
        <f t="shared" si="8"/>
        <v>0</v>
      </c>
      <c r="F76" s="154">
        <f t="shared" si="8"/>
        <v>0</v>
      </c>
      <c r="G76" s="154">
        <f t="shared" si="8"/>
        <v>0</v>
      </c>
      <c r="H76" s="154">
        <f t="shared" si="8"/>
        <v>0</v>
      </c>
      <c r="I76" s="170">
        <f t="shared" si="8"/>
        <v>0</v>
      </c>
    </row>
    <row r="77" spans="1:9" ht="12" thickTop="1" thickBot="1" x14ac:dyDescent="0.2">
      <c r="C77" s="114"/>
      <c r="D77" s="14"/>
      <c r="E77" s="14"/>
      <c r="F77" s="14"/>
      <c r="G77" s="14"/>
      <c r="I77" s="164"/>
    </row>
    <row r="78" spans="1:9" ht="12" thickTop="1" thickBot="1" x14ac:dyDescent="0.2">
      <c r="B78" s="157" t="s">
        <v>691</v>
      </c>
      <c r="C78" s="34" t="s">
        <v>46</v>
      </c>
      <c r="D78" s="166">
        <f t="shared" ref="D78:I78" si="9">D50+D68+D76</f>
        <v>0</v>
      </c>
      <c r="E78" s="166">
        <f t="shared" si="9"/>
        <v>0</v>
      </c>
      <c r="F78" s="166">
        <f t="shared" si="9"/>
        <v>0</v>
      </c>
      <c r="G78" s="166">
        <f t="shared" si="9"/>
        <v>0</v>
      </c>
      <c r="H78" s="166">
        <f t="shared" si="9"/>
        <v>0</v>
      </c>
      <c r="I78" s="166">
        <f t="shared" si="9"/>
        <v>0</v>
      </c>
    </row>
    <row r="79" spans="1:9" ht="11.25" thickTop="1" x14ac:dyDescent="0.15">
      <c r="E79" s="156"/>
      <c r="F79" s="156"/>
      <c r="G79" s="156"/>
      <c r="I79" s="164"/>
    </row>
    <row r="80" spans="1:9" x14ac:dyDescent="0.15">
      <c r="A80" s="152" t="s">
        <v>1048</v>
      </c>
      <c r="C80" s="206" t="s">
        <v>211</v>
      </c>
      <c r="D80" s="156"/>
      <c r="E80" s="156"/>
      <c r="F80" s="156"/>
      <c r="G80" s="156"/>
      <c r="I80" s="164"/>
    </row>
    <row r="81" spans="1:9" x14ac:dyDescent="0.15">
      <c r="A81" s="486" t="s">
        <v>827</v>
      </c>
      <c r="B81" s="157" t="s">
        <v>692</v>
      </c>
      <c r="C81" s="135" t="s">
        <v>821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92">
        <f>SUM(G81+H81)</f>
        <v>0</v>
      </c>
    </row>
    <row r="82" spans="1:9" x14ac:dyDescent="0.15">
      <c r="A82" s="627" t="s">
        <v>1394</v>
      </c>
      <c r="B82" s="157" t="s">
        <v>693</v>
      </c>
      <c r="C82" s="135" t="s">
        <v>822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92">
        <f>SUM(G82+H82)</f>
        <v>0</v>
      </c>
    </row>
    <row r="83" spans="1:9" x14ac:dyDescent="0.15">
      <c r="A83" s="627" t="s">
        <v>1395</v>
      </c>
      <c r="B83" s="157" t="s">
        <v>694</v>
      </c>
      <c r="C83" s="135" t="s">
        <v>823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92">
        <f>SUM(G83+H83)</f>
        <v>0</v>
      </c>
    </row>
    <row r="84" spans="1:9" x14ac:dyDescent="0.15">
      <c r="A84" s="627" t="s">
        <v>1396</v>
      </c>
      <c r="B84" s="157" t="s">
        <v>695</v>
      </c>
      <c r="C84" s="625" t="s">
        <v>1397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92">
        <f>SUM(G84+H84)</f>
        <v>0</v>
      </c>
    </row>
    <row r="85" spans="1:9" ht="11.25" customHeight="1" thickBot="1" x14ac:dyDescent="0.2">
      <c r="A85" s="486" t="s">
        <v>831</v>
      </c>
      <c r="B85" s="157" t="s">
        <v>696</v>
      </c>
      <c r="C85" s="135" t="s">
        <v>825</v>
      </c>
      <c r="D85" s="147">
        <v>0</v>
      </c>
      <c r="E85" s="147">
        <v>0</v>
      </c>
      <c r="F85" s="147">
        <v>0</v>
      </c>
      <c r="G85" s="147">
        <v>0</v>
      </c>
      <c r="H85" s="40">
        <v>0</v>
      </c>
      <c r="I85" s="492">
        <f>SUM(G85+H85)</f>
        <v>0</v>
      </c>
    </row>
    <row r="86" spans="1:9" ht="12" thickTop="1" thickBot="1" x14ac:dyDescent="0.2">
      <c r="A86" s="146"/>
      <c r="B86" s="157" t="s">
        <v>697</v>
      </c>
      <c r="C86" s="114" t="s">
        <v>202</v>
      </c>
      <c r="D86" s="148">
        <f t="shared" ref="D86:I86" si="10">SUM(D81:D85)</f>
        <v>0</v>
      </c>
      <c r="E86" s="148">
        <f t="shared" si="10"/>
        <v>0</v>
      </c>
      <c r="F86" s="148">
        <f t="shared" si="10"/>
        <v>0</v>
      </c>
      <c r="G86" s="148">
        <f t="shared" si="10"/>
        <v>0</v>
      </c>
      <c r="H86" s="148">
        <f t="shared" si="10"/>
        <v>0</v>
      </c>
      <c r="I86" s="148">
        <f t="shared" si="10"/>
        <v>0</v>
      </c>
    </row>
    <row r="87" spans="1:9" ht="12" thickTop="1" thickBot="1" x14ac:dyDescent="0.2">
      <c r="A87" s="146"/>
      <c r="C87" s="114"/>
      <c r="D87" s="156"/>
      <c r="E87" s="156"/>
      <c r="F87" s="156"/>
      <c r="G87" s="156"/>
      <c r="I87" s="164"/>
    </row>
    <row r="88" spans="1:9" ht="11.25" thickBot="1" x14ac:dyDescent="0.2">
      <c r="A88" s="731" t="s">
        <v>47</v>
      </c>
      <c r="B88" s="731"/>
      <c r="C88" s="732"/>
      <c r="D88" s="208">
        <f t="shared" ref="D88:I88" si="11">D78+D86</f>
        <v>0</v>
      </c>
      <c r="E88" s="208">
        <f t="shared" si="11"/>
        <v>0</v>
      </c>
      <c r="F88" s="208">
        <f t="shared" si="11"/>
        <v>0</v>
      </c>
      <c r="G88" s="208">
        <f t="shared" si="11"/>
        <v>0</v>
      </c>
      <c r="H88" s="208">
        <f t="shared" si="11"/>
        <v>0</v>
      </c>
      <c r="I88" s="208">
        <f t="shared" si="11"/>
        <v>0</v>
      </c>
    </row>
    <row r="89" spans="1:9" x14ac:dyDescent="0.15">
      <c r="A89" s="146"/>
      <c r="C89" s="114" t="s">
        <v>203</v>
      </c>
      <c r="D89" s="156"/>
      <c r="E89" s="156"/>
      <c r="F89" s="156"/>
      <c r="G89" s="156"/>
      <c r="I89" s="164"/>
    </row>
    <row r="90" spans="1:9" ht="11.25" thickBot="1" x14ac:dyDescent="0.2">
      <c r="A90" s="146"/>
      <c r="C90" s="114"/>
      <c r="D90" s="156"/>
      <c r="E90" s="156"/>
      <c r="F90" s="156"/>
      <c r="G90" s="156"/>
      <c r="I90" s="164"/>
    </row>
    <row r="91" spans="1:9" ht="12" thickTop="1" thickBot="1" x14ac:dyDescent="0.2">
      <c r="C91" s="169" t="s">
        <v>204</v>
      </c>
      <c r="D91" s="170">
        <f t="shared" ref="D91:I91" si="12">D27</f>
        <v>0</v>
      </c>
      <c r="E91" s="170">
        <f t="shared" si="12"/>
        <v>0</v>
      </c>
      <c r="F91" s="170">
        <f t="shared" si="12"/>
        <v>0</v>
      </c>
      <c r="G91" s="170">
        <f t="shared" si="12"/>
        <v>0</v>
      </c>
      <c r="H91" s="170">
        <f t="shared" si="12"/>
        <v>0</v>
      </c>
      <c r="I91" s="170">
        <f t="shared" si="12"/>
        <v>0</v>
      </c>
    </row>
    <row r="92" spans="1:9" ht="11.25" thickTop="1" x14ac:dyDescent="0.15">
      <c r="I92" s="164"/>
    </row>
    <row r="93" spans="1:9" x14ac:dyDescent="0.15">
      <c r="C93" s="169" t="s">
        <v>205</v>
      </c>
      <c r="D93" s="155">
        <f t="shared" ref="D93:I93" si="13">D88-D91</f>
        <v>0</v>
      </c>
      <c r="E93" s="155">
        <f t="shared" si="13"/>
        <v>0</v>
      </c>
      <c r="F93" s="155">
        <f t="shared" si="13"/>
        <v>0</v>
      </c>
      <c r="G93" s="155">
        <f t="shared" si="13"/>
        <v>0</v>
      </c>
      <c r="H93" s="155">
        <f t="shared" si="13"/>
        <v>0</v>
      </c>
      <c r="I93" s="164">
        <f t="shared" si="13"/>
        <v>0</v>
      </c>
    </row>
    <row r="94" spans="1:9" x14ac:dyDescent="0.15">
      <c r="B94" s="3"/>
      <c r="D94" s="3"/>
      <c r="E94" s="8"/>
      <c r="F94" s="8"/>
      <c r="G94" s="156"/>
      <c r="I94" s="164"/>
    </row>
    <row r="95" spans="1:9" x14ac:dyDescent="0.15">
      <c r="B95" s="3"/>
      <c r="D95" s="3"/>
      <c r="E95" s="8"/>
      <c r="F95" s="8"/>
      <c r="G95" s="156"/>
    </row>
    <row r="96" spans="1:9" x14ac:dyDescent="0.15">
      <c r="D96" s="3"/>
      <c r="E96" s="8"/>
      <c r="F96" s="8"/>
      <c r="G96" s="156"/>
    </row>
    <row r="98" spans="1:1" x14ac:dyDescent="0.15">
      <c r="A98" s="3" t="s">
        <v>1561</v>
      </c>
    </row>
    <row r="100" spans="1:1" x14ac:dyDescent="0.15">
      <c r="A100" s="556" t="s">
        <v>1582</v>
      </c>
    </row>
  </sheetData>
  <sheetProtection password="CB03" sheet="1" objects="1" scenarios="1" formatCells="0" formatColumns="0" formatRows="0"/>
  <mergeCells count="1">
    <mergeCell ref="A88:C88"/>
  </mergeCells>
  <phoneticPr fontId="15" type="noConversion"/>
  <pageMargins left="0.5" right="0.5" top="0.75" bottom="0.75" header="0.5" footer="0.5"/>
  <pageSetup scale="66" firstPageNumber="40" fitToHeight="0" orientation="portrait" horizontalDpi="300" verticalDpi="300" r:id="rId1"/>
  <headerFooter alignWithMargins="0">
    <oddFooter>&amp;LCDE, Public Scool Finance Unit&amp;C&amp;P&amp;R&amp;D</oddFooter>
  </headerFooter>
  <rowBreaks count="1" manualBreakCount="1">
    <brk id="7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J68"/>
  <sheetViews>
    <sheetView workbookViewId="0">
      <selection activeCell="A2" sqref="A2"/>
    </sheetView>
  </sheetViews>
  <sheetFormatPr defaultColWidth="12" defaultRowHeight="10.5" x14ac:dyDescent="0.15"/>
  <cols>
    <col min="1" max="1" width="21.6640625" style="132" customWidth="1"/>
    <col min="2" max="2" width="3.83203125" customWidth="1"/>
    <col min="3" max="3" width="70.83203125" customWidth="1"/>
    <col min="4" max="4" width="15.83203125" customWidth="1"/>
    <col min="5" max="5" width="17.83203125" customWidth="1"/>
    <col min="6" max="6" width="18" customWidth="1"/>
    <col min="7" max="7" width="15.83203125" customWidth="1"/>
    <col min="8" max="8" width="17" customWidth="1"/>
    <col min="9" max="9" width="16.83203125" customWidth="1"/>
  </cols>
  <sheetData>
    <row r="1" spans="1:9" x14ac:dyDescent="0.15">
      <c r="A1" s="132" t="s">
        <v>1044</v>
      </c>
      <c r="C1" s="10">
        <f>+'Page 1 - FY2016-17'!B5</f>
        <v>0</v>
      </c>
      <c r="D1" t="s">
        <v>889</v>
      </c>
      <c r="E1" s="105">
        <f>+'Page 1 - FY2016-17'!F7</f>
        <v>0</v>
      </c>
      <c r="G1" s="37" t="s">
        <v>891</v>
      </c>
    </row>
    <row r="2" spans="1:9" x14ac:dyDescent="0.15">
      <c r="A2" s="131" t="s">
        <v>1506</v>
      </c>
    </row>
    <row r="3" spans="1:9" s="155" customFormat="1" ht="31.5" x14ac:dyDescent="0.15">
      <c r="C3" s="700" t="s">
        <v>1507</v>
      </c>
      <c r="D3" s="580" t="s">
        <v>1607</v>
      </c>
      <c r="E3" s="580" t="s">
        <v>1606</v>
      </c>
      <c r="F3" s="580" t="s">
        <v>1605</v>
      </c>
      <c r="G3" s="580" t="s">
        <v>1604</v>
      </c>
      <c r="H3" s="580" t="s">
        <v>1603</v>
      </c>
      <c r="I3" s="580" t="s">
        <v>1602</v>
      </c>
    </row>
    <row r="4" spans="1:9" s="155" customFormat="1" ht="63" x14ac:dyDescent="0.15">
      <c r="D4" s="424"/>
      <c r="E4" s="424"/>
      <c r="F4" s="424"/>
      <c r="G4" s="424"/>
      <c r="H4" s="713" t="s">
        <v>1541</v>
      </c>
      <c r="I4" s="715" t="s">
        <v>1516</v>
      </c>
    </row>
    <row r="5" spans="1:9" s="155" customFormat="1" x14ac:dyDescent="0.15">
      <c r="D5" s="163"/>
      <c r="E5" s="163"/>
      <c r="F5" s="163"/>
      <c r="G5" s="163"/>
      <c r="I5" s="164"/>
    </row>
    <row r="6" spans="1:9" ht="11.25" hidden="1" thickBot="1" x14ac:dyDescent="0.2">
      <c r="A6" s="133" t="s">
        <v>1132</v>
      </c>
      <c r="B6" s="34" t="s">
        <v>108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168">
        <f>SUM(G6+H6)</f>
        <v>0</v>
      </c>
    </row>
    <row r="7" spans="1:9" hidden="1" x14ac:dyDescent="0.15">
      <c r="E7" s="5"/>
      <c r="F7" s="5"/>
      <c r="G7" s="5"/>
      <c r="I7" s="6"/>
    </row>
    <row r="8" spans="1:9" hidden="1" x14ac:dyDescent="0.15">
      <c r="A8" s="136" t="s">
        <v>895</v>
      </c>
      <c r="C8" s="206" t="s">
        <v>613</v>
      </c>
      <c r="E8" s="5"/>
      <c r="F8" s="5"/>
      <c r="G8" s="5"/>
      <c r="I8" s="6"/>
    </row>
    <row r="9" spans="1:9" hidden="1" x14ac:dyDescent="0.15">
      <c r="A9" s="134" t="s">
        <v>905</v>
      </c>
      <c r="B9" s="290" t="s">
        <v>560</v>
      </c>
      <c r="C9" s="1" t="s">
        <v>1332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2">
        <f>SUM(G9+H9)</f>
        <v>0</v>
      </c>
    </row>
    <row r="10" spans="1:9" hidden="1" x14ac:dyDescent="0.15">
      <c r="A10" s="183" t="s">
        <v>19</v>
      </c>
      <c r="B10" s="290" t="s">
        <v>561</v>
      </c>
      <c r="C10" s="1" t="s">
        <v>20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2">
        <f t="shared" ref="I10:I20" si="0">SUM(G10+H10)</f>
        <v>0</v>
      </c>
    </row>
    <row r="11" spans="1:9" hidden="1" x14ac:dyDescent="0.15">
      <c r="A11" s="183" t="s">
        <v>153</v>
      </c>
      <c r="B11" s="290" t="s">
        <v>562</v>
      </c>
      <c r="C11" s="1" t="s">
        <v>154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2">
        <f t="shared" si="0"/>
        <v>0</v>
      </c>
    </row>
    <row r="12" spans="1:9" hidden="1" x14ac:dyDescent="0.15">
      <c r="A12" s="184" t="s">
        <v>66</v>
      </c>
      <c r="B12" s="290" t="s">
        <v>625</v>
      </c>
      <c r="C12" s="1" t="s">
        <v>67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92">
        <f t="shared" si="0"/>
        <v>0</v>
      </c>
    </row>
    <row r="13" spans="1:9" hidden="1" x14ac:dyDescent="0.15">
      <c r="A13" s="183" t="s">
        <v>271</v>
      </c>
      <c r="B13" s="290" t="s">
        <v>626</v>
      </c>
      <c r="C13" s="1" t="s">
        <v>272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92">
        <f t="shared" si="0"/>
        <v>0</v>
      </c>
    </row>
    <row r="14" spans="1:9" hidden="1" x14ac:dyDescent="0.15">
      <c r="A14" s="183" t="s">
        <v>271</v>
      </c>
      <c r="B14" s="290" t="s">
        <v>627</v>
      </c>
      <c r="C14" s="1" t="s">
        <v>273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92">
        <f t="shared" si="0"/>
        <v>0</v>
      </c>
    </row>
    <row r="15" spans="1:9" hidden="1" x14ac:dyDescent="0.15">
      <c r="A15" s="183" t="s">
        <v>271</v>
      </c>
      <c r="B15" s="290" t="s">
        <v>628</v>
      </c>
      <c r="C15" s="1" t="s">
        <v>274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92">
        <f>SUM(G15+H15)</f>
        <v>0</v>
      </c>
    </row>
    <row r="16" spans="1:9" hidden="1" x14ac:dyDescent="0.15">
      <c r="A16" s="134" t="s">
        <v>1292</v>
      </c>
      <c r="B16" s="290" t="s">
        <v>629</v>
      </c>
      <c r="C16" s="1" t="s">
        <v>133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92">
        <f t="shared" si="0"/>
        <v>0</v>
      </c>
    </row>
    <row r="17" spans="1:10" hidden="1" x14ac:dyDescent="0.15">
      <c r="A17" s="134" t="s">
        <v>1292</v>
      </c>
      <c r="B17" s="290" t="s">
        <v>637</v>
      </c>
      <c r="C17" s="1" t="s">
        <v>191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92">
        <f t="shared" si="0"/>
        <v>0</v>
      </c>
    </row>
    <row r="18" spans="1:10" hidden="1" x14ac:dyDescent="0.15">
      <c r="A18" s="134" t="s">
        <v>162</v>
      </c>
      <c r="B18" s="290" t="s">
        <v>275</v>
      </c>
      <c r="C18" s="1" t="s">
        <v>1371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92">
        <f t="shared" si="0"/>
        <v>0</v>
      </c>
    </row>
    <row r="19" spans="1:10" hidden="1" x14ac:dyDescent="0.15">
      <c r="A19" s="134" t="s">
        <v>1043</v>
      </c>
      <c r="B19" s="290" t="s">
        <v>276</v>
      </c>
      <c r="C19" s="2" t="s">
        <v>972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92">
        <f t="shared" si="0"/>
        <v>0</v>
      </c>
    </row>
    <row r="20" spans="1:10" hidden="1" x14ac:dyDescent="0.15">
      <c r="A20" s="134"/>
      <c r="B20" s="290" t="s">
        <v>638</v>
      </c>
      <c r="C20" s="135" t="s">
        <v>479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92">
        <f t="shared" si="0"/>
        <v>0</v>
      </c>
    </row>
    <row r="21" spans="1:10" ht="11.25" hidden="1" thickBot="1" x14ac:dyDescent="0.2">
      <c r="A21" s="134"/>
      <c r="B21" s="210"/>
      <c r="C21" s="1"/>
      <c r="D21" s="14"/>
      <c r="E21" s="14"/>
      <c r="F21" s="14"/>
      <c r="G21" s="14"/>
      <c r="I21" s="6"/>
    </row>
    <row r="22" spans="1:10" ht="12" hidden="1" thickTop="1" thickBot="1" x14ac:dyDescent="0.2">
      <c r="B22" s="290" t="s">
        <v>639</v>
      </c>
      <c r="C22" s="34" t="s">
        <v>614</v>
      </c>
      <c r="D22" s="41">
        <f t="shared" ref="D22:I22" si="1">SUM(D9:D21)</f>
        <v>0</v>
      </c>
      <c r="E22" s="41">
        <f t="shared" si="1"/>
        <v>0</v>
      </c>
      <c r="F22" s="41">
        <f t="shared" si="1"/>
        <v>0</v>
      </c>
      <c r="G22" s="41">
        <f t="shared" si="1"/>
        <v>0</v>
      </c>
      <c r="H22" s="41">
        <f t="shared" si="1"/>
        <v>0</v>
      </c>
      <c r="I22" s="41">
        <f t="shared" si="1"/>
        <v>0</v>
      </c>
    </row>
    <row r="23" spans="1:10" ht="12" hidden="1" thickTop="1" thickBot="1" x14ac:dyDescent="0.2">
      <c r="C23" s="1"/>
      <c r="D23" s="13"/>
      <c r="E23" s="13"/>
      <c r="F23" s="13"/>
      <c r="G23" s="13"/>
      <c r="I23" s="6"/>
    </row>
    <row r="24" spans="1:10" ht="11.25" hidden="1" thickBot="1" x14ac:dyDescent="0.2">
      <c r="A24" s="34" t="s">
        <v>615</v>
      </c>
      <c r="D24" s="43">
        <f t="shared" ref="D24:I24" si="2">D6+D22</f>
        <v>0</v>
      </c>
      <c r="E24" s="43">
        <f t="shared" si="2"/>
        <v>0</v>
      </c>
      <c r="F24" s="43">
        <f t="shared" si="2"/>
        <v>0</v>
      </c>
      <c r="G24" s="43">
        <f t="shared" si="2"/>
        <v>0</v>
      </c>
      <c r="H24" s="43">
        <f t="shared" si="2"/>
        <v>0</v>
      </c>
      <c r="I24" s="43">
        <f t="shared" si="2"/>
        <v>0</v>
      </c>
    </row>
    <row r="25" spans="1:10" hidden="1" x14ac:dyDescent="0.15">
      <c r="E25" s="5"/>
      <c r="F25" s="5"/>
      <c r="G25" s="5"/>
      <c r="I25" s="6"/>
    </row>
    <row r="26" spans="1:10" hidden="1" x14ac:dyDescent="0.15">
      <c r="A26" s="563" t="s">
        <v>290</v>
      </c>
      <c r="B26" s="413"/>
      <c r="C26" s="427" t="s">
        <v>286</v>
      </c>
      <c r="D26" s="412"/>
      <c r="E26" s="412"/>
      <c r="F26" s="412"/>
      <c r="G26" s="412"/>
      <c r="H26" s="412"/>
      <c r="I26" s="176"/>
    </row>
    <row r="27" spans="1:10" hidden="1" x14ac:dyDescent="0.15">
      <c r="A27" s="417" t="s">
        <v>1043</v>
      </c>
      <c r="B27" s="433" t="s">
        <v>980</v>
      </c>
      <c r="C27" s="2" t="s">
        <v>293</v>
      </c>
      <c r="D27" s="40">
        <v>0</v>
      </c>
      <c r="E27" s="40">
        <v>0</v>
      </c>
      <c r="F27" s="40">
        <v>0</v>
      </c>
      <c r="G27" s="40">
        <v>0</v>
      </c>
      <c r="H27" s="463">
        <v>0</v>
      </c>
      <c r="I27" s="464">
        <f>SUM(G27+H27)</f>
        <v>0</v>
      </c>
    </row>
    <row r="28" spans="1:10" s="302" customFormat="1" hidden="1" x14ac:dyDescent="0.15">
      <c r="A28" s="417"/>
      <c r="B28" s="433"/>
      <c r="C28" s="2"/>
      <c r="D28" s="14"/>
      <c r="E28" s="14"/>
      <c r="F28" s="14"/>
      <c r="G28" s="14"/>
      <c r="H28" s="301"/>
      <c r="I28" s="298"/>
    </row>
    <row r="29" spans="1:10" s="302" customFormat="1" hidden="1" x14ac:dyDescent="0.15">
      <c r="A29" s="155"/>
      <c r="B29" s="155"/>
      <c r="C29" s="155"/>
      <c r="D29" s="155"/>
      <c r="E29" s="156"/>
      <c r="F29" s="156"/>
      <c r="G29" s="156"/>
      <c r="H29" s="155"/>
      <c r="I29" s="164"/>
    </row>
    <row r="30" spans="1:10" s="302" customFormat="1" hidden="1" x14ac:dyDescent="0.15">
      <c r="A30" s="366" t="s">
        <v>144</v>
      </c>
      <c r="B30"/>
      <c r="C30"/>
      <c r="D30"/>
      <c r="E30" s="5"/>
      <c r="F30" s="5"/>
      <c r="G30" s="5"/>
      <c r="H30"/>
      <c r="I30" s="6"/>
    </row>
    <row r="31" spans="1:10" s="155" customFormat="1" hidden="1" x14ac:dyDescent="0.15">
      <c r="A31" s="136" t="s">
        <v>1135</v>
      </c>
      <c r="B31"/>
      <c r="C31" s="206" t="s">
        <v>109</v>
      </c>
      <c r="D31"/>
      <c r="E31" s="5"/>
      <c r="F31" s="5"/>
      <c r="G31" s="5"/>
      <c r="H31"/>
      <c r="I31" s="6"/>
      <c r="J31" s="302"/>
    </row>
    <row r="32" spans="1:10" hidden="1" x14ac:dyDescent="0.15">
      <c r="A32" s="304" t="s">
        <v>880</v>
      </c>
      <c r="B32" s="511" t="s">
        <v>637</v>
      </c>
      <c r="C32" s="305" t="s">
        <v>1164</v>
      </c>
      <c r="D32" s="308">
        <v>0</v>
      </c>
      <c r="E32" s="308">
        <v>0</v>
      </c>
      <c r="F32" s="308">
        <v>0</v>
      </c>
      <c r="G32" s="459"/>
      <c r="H32" s="512">
        <v>0</v>
      </c>
      <c r="I32" s="503">
        <f>SUM(G32+H32)</f>
        <v>0</v>
      </c>
    </row>
    <row r="33" spans="1:9" hidden="1" x14ac:dyDescent="0.15">
      <c r="A33" s="304" t="s">
        <v>1312</v>
      </c>
      <c r="B33" s="511" t="s">
        <v>637</v>
      </c>
      <c r="C33" s="305" t="s">
        <v>337</v>
      </c>
      <c r="D33" s="308">
        <v>0</v>
      </c>
      <c r="E33" s="308">
        <v>0</v>
      </c>
      <c r="F33" s="308">
        <v>0</v>
      </c>
      <c r="G33" s="308">
        <v>0</v>
      </c>
      <c r="H33" s="512">
        <v>0</v>
      </c>
      <c r="I33" s="503">
        <f>SUM(G33+H33)</f>
        <v>0</v>
      </c>
    </row>
    <row r="34" spans="1:9" hidden="1" x14ac:dyDescent="0.15">
      <c r="A34" s="304" t="s">
        <v>881</v>
      </c>
      <c r="B34" s="511" t="s">
        <v>641</v>
      </c>
      <c r="C34" s="305" t="s">
        <v>1165</v>
      </c>
      <c r="D34" s="308">
        <v>0</v>
      </c>
      <c r="E34" s="308">
        <v>0</v>
      </c>
      <c r="F34" s="308">
        <v>0</v>
      </c>
      <c r="G34" s="459"/>
      <c r="H34" s="512">
        <v>0</v>
      </c>
      <c r="I34" s="503">
        <f>SUM(G34+H34)</f>
        <v>0</v>
      </c>
    </row>
    <row r="35" spans="1:9" hidden="1" x14ac:dyDescent="0.15">
      <c r="A35" s="149" t="s">
        <v>1313</v>
      </c>
      <c r="B35" s="157" t="s">
        <v>641</v>
      </c>
      <c r="C35" s="114" t="s">
        <v>338</v>
      </c>
      <c r="D35" s="144">
        <v>0</v>
      </c>
      <c r="E35" s="144">
        <v>0</v>
      </c>
      <c r="F35" s="144">
        <v>0</v>
      </c>
      <c r="G35" s="144">
        <v>0</v>
      </c>
      <c r="H35" s="513">
        <v>0</v>
      </c>
      <c r="I35" s="492">
        <f>SUM(G35+H35)</f>
        <v>0</v>
      </c>
    </row>
    <row r="36" spans="1:9" hidden="1" x14ac:dyDescent="0.15">
      <c r="A36" s="134" t="s">
        <v>1316</v>
      </c>
      <c r="B36" s="289" t="s">
        <v>648</v>
      </c>
      <c r="C36" s="1" t="s">
        <v>1064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92">
        <f t="shared" ref="I36:I45" si="3">SUM(G36+H36)</f>
        <v>0</v>
      </c>
    </row>
    <row r="37" spans="1:9" hidden="1" x14ac:dyDescent="0.15">
      <c r="A37" s="134" t="s">
        <v>193</v>
      </c>
      <c r="B37" s="289" t="s">
        <v>649</v>
      </c>
      <c r="C37" s="1" t="s">
        <v>756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92">
        <f t="shared" si="3"/>
        <v>0</v>
      </c>
    </row>
    <row r="38" spans="1:9" hidden="1" x14ac:dyDescent="0.15">
      <c r="A38" s="134" t="s">
        <v>29</v>
      </c>
      <c r="B38" s="289" t="s">
        <v>650</v>
      </c>
      <c r="C38" s="1" t="s">
        <v>192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92">
        <f t="shared" si="3"/>
        <v>0</v>
      </c>
    </row>
    <row r="39" spans="1:9" hidden="1" x14ac:dyDescent="0.15">
      <c r="A39" s="134" t="s">
        <v>110</v>
      </c>
      <c r="B39" s="289" t="s">
        <v>651</v>
      </c>
      <c r="C39" s="1" t="s">
        <v>194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92">
        <f t="shared" si="3"/>
        <v>0</v>
      </c>
    </row>
    <row r="40" spans="1:9" hidden="1" x14ac:dyDescent="0.15">
      <c r="A40" s="134" t="s">
        <v>111</v>
      </c>
      <c r="B40" s="289" t="s">
        <v>652</v>
      </c>
      <c r="C40" s="1" t="s">
        <v>195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92">
        <f t="shared" si="3"/>
        <v>0</v>
      </c>
    </row>
    <row r="41" spans="1:9" hidden="1" x14ac:dyDescent="0.15">
      <c r="A41" s="107" t="s">
        <v>1020</v>
      </c>
      <c r="B41" s="289" t="s">
        <v>657</v>
      </c>
      <c r="C41" s="1" t="s">
        <v>1021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92">
        <f t="shared" si="3"/>
        <v>0</v>
      </c>
    </row>
    <row r="42" spans="1:9" hidden="1" x14ac:dyDescent="0.15">
      <c r="A42" s="134" t="s">
        <v>113</v>
      </c>
      <c r="B42" s="289" t="s">
        <v>658</v>
      </c>
      <c r="C42" s="1" t="s">
        <v>1111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92">
        <f t="shared" si="3"/>
        <v>0</v>
      </c>
    </row>
    <row r="43" spans="1:9" hidden="1" x14ac:dyDescent="0.15">
      <c r="A43" s="134" t="s">
        <v>114</v>
      </c>
      <c r="B43" s="289" t="s">
        <v>659</v>
      </c>
      <c r="C43" s="1" t="s">
        <v>1121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92">
        <f t="shared" si="3"/>
        <v>0</v>
      </c>
    </row>
    <row r="44" spans="1:9" hidden="1" x14ac:dyDescent="0.15">
      <c r="A44" s="149"/>
      <c r="B44" s="149"/>
      <c r="C44" s="568" t="s">
        <v>981</v>
      </c>
      <c r="D44" s="459">
        <f t="shared" ref="D44:I44" si="4">+D27</f>
        <v>0</v>
      </c>
      <c r="E44" s="459">
        <f t="shared" si="4"/>
        <v>0</v>
      </c>
      <c r="F44" s="459">
        <f t="shared" si="4"/>
        <v>0</v>
      </c>
      <c r="G44" s="459">
        <f t="shared" si="4"/>
        <v>0</v>
      </c>
      <c r="H44" s="459">
        <f t="shared" si="4"/>
        <v>0</v>
      </c>
      <c r="I44" s="459">
        <f t="shared" si="4"/>
        <v>0</v>
      </c>
    </row>
    <row r="45" spans="1:9" hidden="1" x14ac:dyDescent="0.15">
      <c r="A45" s="134" t="s">
        <v>196</v>
      </c>
      <c r="B45" s="132" t="s">
        <v>660</v>
      </c>
      <c r="C45" s="1" t="s">
        <v>815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92">
        <f t="shared" si="3"/>
        <v>0</v>
      </c>
    </row>
    <row r="46" spans="1:9" ht="11.25" hidden="1" thickBot="1" x14ac:dyDescent="0.2">
      <c r="A46" s="134"/>
      <c r="B46" s="209"/>
      <c r="C46" s="1"/>
      <c r="D46" s="14"/>
      <c r="E46" s="14"/>
      <c r="F46" s="14"/>
      <c r="G46" s="14"/>
      <c r="I46" s="6"/>
    </row>
    <row r="47" spans="1:9" ht="12" hidden="1" thickTop="1" thickBot="1" x14ac:dyDescent="0.2">
      <c r="B47" s="290" t="s">
        <v>662</v>
      </c>
      <c r="C47" s="34" t="s">
        <v>570</v>
      </c>
      <c r="D47" s="41">
        <f t="shared" ref="D47:I47" si="5">SUM(D32:D45)</f>
        <v>0</v>
      </c>
      <c r="E47" s="41">
        <f t="shared" si="5"/>
        <v>0</v>
      </c>
      <c r="F47" s="41">
        <f t="shared" si="5"/>
        <v>0</v>
      </c>
      <c r="G47" s="41">
        <f t="shared" si="5"/>
        <v>0</v>
      </c>
      <c r="H47" s="41">
        <f t="shared" si="5"/>
        <v>0</v>
      </c>
      <c r="I47" s="41">
        <f t="shared" si="5"/>
        <v>0</v>
      </c>
    </row>
    <row r="48" spans="1:9" ht="11.25" hidden="1" thickTop="1" x14ac:dyDescent="0.15">
      <c r="B48" s="17"/>
      <c r="E48" s="8"/>
      <c r="F48" s="5"/>
      <c r="G48" s="5"/>
      <c r="I48" s="6"/>
    </row>
    <row r="49" spans="1:9" hidden="1" x14ac:dyDescent="0.15">
      <c r="A49" s="152" t="s">
        <v>1048</v>
      </c>
      <c r="C49" s="206" t="s">
        <v>211</v>
      </c>
      <c r="D49" s="156"/>
      <c r="E49" s="156"/>
      <c r="F49" s="156"/>
      <c r="G49" s="156"/>
      <c r="I49" s="6"/>
    </row>
    <row r="50" spans="1:9" hidden="1" x14ac:dyDescent="0.15">
      <c r="A50" s="486" t="s">
        <v>827</v>
      </c>
      <c r="B50" s="290" t="s">
        <v>663</v>
      </c>
      <c r="C50" s="135" t="s">
        <v>821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92">
        <f>SUM(G50+H50)</f>
        <v>0</v>
      </c>
    </row>
    <row r="51" spans="1:9" hidden="1" x14ac:dyDescent="0.15">
      <c r="A51" s="627" t="s">
        <v>1394</v>
      </c>
      <c r="B51" s="290" t="s">
        <v>664</v>
      </c>
      <c r="C51" s="135" t="s">
        <v>822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92">
        <f>SUM(G51+H51)</f>
        <v>0</v>
      </c>
    </row>
    <row r="52" spans="1:9" hidden="1" x14ac:dyDescent="0.15">
      <c r="A52" s="627" t="s">
        <v>1395</v>
      </c>
      <c r="B52" s="290" t="s">
        <v>665</v>
      </c>
      <c r="C52" s="135" t="s">
        <v>823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92">
        <f>SUM(G52+H52)</f>
        <v>0</v>
      </c>
    </row>
    <row r="53" spans="1:9" hidden="1" x14ac:dyDescent="0.15">
      <c r="A53" s="627" t="s">
        <v>1396</v>
      </c>
      <c r="B53" s="290" t="s">
        <v>666</v>
      </c>
      <c r="C53" s="625" t="s">
        <v>1397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92">
        <f>SUM(G53+H53)</f>
        <v>0</v>
      </c>
    </row>
    <row r="54" spans="1:9" ht="11.25" hidden="1" thickBot="1" x14ac:dyDescent="0.2">
      <c r="A54" s="486" t="s">
        <v>831</v>
      </c>
      <c r="B54" s="290" t="s">
        <v>667</v>
      </c>
      <c r="C54" s="135" t="s">
        <v>825</v>
      </c>
      <c r="D54" s="40">
        <v>0</v>
      </c>
      <c r="E54" s="147">
        <v>0</v>
      </c>
      <c r="F54" s="147">
        <v>0</v>
      </c>
      <c r="G54" s="147">
        <v>0</v>
      </c>
      <c r="H54" s="40">
        <v>0</v>
      </c>
      <c r="I54" s="492">
        <f>SUM(G54+H54)</f>
        <v>0</v>
      </c>
    </row>
    <row r="55" spans="1:9" ht="12" hidden="1" thickTop="1" thickBot="1" x14ac:dyDescent="0.2">
      <c r="A55" s="146"/>
      <c r="B55" s="290" t="s">
        <v>668</v>
      </c>
      <c r="C55" s="1" t="s">
        <v>1421</v>
      </c>
      <c r="D55" s="148">
        <f t="shared" ref="D55:I55" si="6">SUM(D50:D54)</f>
        <v>0</v>
      </c>
      <c r="E55" s="148">
        <f t="shared" si="6"/>
        <v>0</v>
      </c>
      <c r="F55" s="148">
        <f t="shared" si="6"/>
        <v>0</v>
      </c>
      <c r="G55" s="148">
        <f t="shared" si="6"/>
        <v>0</v>
      </c>
      <c r="H55" s="148">
        <f t="shared" si="6"/>
        <v>0</v>
      </c>
      <c r="I55" s="166">
        <f t="shared" si="6"/>
        <v>0</v>
      </c>
    </row>
    <row r="56" spans="1:9" ht="12" hidden="1" thickTop="1" thickBot="1" x14ac:dyDescent="0.2">
      <c r="A56" s="146"/>
      <c r="B56" s="179"/>
      <c r="C56" s="114"/>
      <c r="D56" s="156"/>
      <c r="E56" s="156"/>
      <c r="F56" s="156"/>
      <c r="G56" s="156"/>
      <c r="I56" s="6"/>
    </row>
    <row r="57" spans="1:9" ht="11.25" hidden="1" thickBot="1" x14ac:dyDescent="0.2">
      <c r="A57" s="34" t="s">
        <v>1422</v>
      </c>
      <c r="B57" s="17"/>
      <c r="C57" s="155"/>
      <c r="D57" s="208">
        <f t="shared" ref="D57:I57" si="7">D47+D55</f>
        <v>0</v>
      </c>
      <c r="E57" s="208">
        <f t="shared" si="7"/>
        <v>0</v>
      </c>
      <c r="F57" s="208">
        <f t="shared" si="7"/>
        <v>0</v>
      </c>
      <c r="G57" s="208">
        <f t="shared" si="7"/>
        <v>0</v>
      </c>
      <c r="H57" s="208">
        <f t="shared" si="7"/>
        <v>0</v>
      </c>
      <c r="I57" s="208">
        <f t="shared" si="7"/>
        <v>0</v>
      </c>
    </row>
    <row r="58" spans="1:9" hidden="1" x14ac:dyDescent="0.15">
      <c r="A58" s="146"/>
      <c r="B58" s="179"/>
      <c r="C58" s="114" t="s">
        <v>203</v>
      </c>
      <c r="D58" s="156"/>
      <c r="E58" s="156"/>
      <c r="F58" s="156"/>
      <c r="G58" s="156"/>
      <c r="I58" s="6"/>
    </row>
    <row r="59" spans="1:9" ht="11.25" hidden="1" thickBot="1" x14ac:dyDescent="0.2">
      <c r="A59" s="146"/>
      <c r="B59" s="179"/>
      <c r="C59" s="114"/>
      <c r="D59" s="156"/>
      <c r="E59" s="156"/>
      <c r="F59" s="156"/>
      <c r="G59" s="156"/>
      <c r="I59" s="6"/>
    </row>
    <row r="60" spans="1:9" ht="12" hidden="1" thickTop="1" thickBot="1" x14ac:dyDescent="0.2">
      <c r="A60" s="155"/>
      <c r="B60" s="155"/>
      <c r="C60" s="169" t="s">
        <v>204</v>
      </c>
      <c r="D60" s="170">
        <f t="shared" ref="D60:I60" si="8">D24</f>
        <v>0</v>
      </c>
      <c r="E60" s="170">
        <f t="shared" si="8"/>
        <v>0</v>
      </c>
      <c r="F60" s="170">
        <f t="shared" si="8"/>
        <v>0</v>
      </c>
      <c r="G60" s="170">
        <f t="shared" si="8"/>
        <v>0</v>
      </c>
      <c r="H60" s="170">
        <f t="shared" si="8"/>
        <v>0</v>
      </c>
      <c r="I60" s="170">
        <f t="shared" si="8"/>
        <v>0</v>
      </c>
    </row>
    <row r="61" spans="1:9" ht="11.25" hidden="1" thickTop="1" x14ac:dyDescent="0.15">
      <c r="A61" s="155"/>
      <c r="B61" s="155"/>
      <c r="C61" s="155"/>
      <c r="D61" s="155"/>
      <c r="E61" s="155"/>
      <c r="F61" s="155"/>
      <c r="G61" s="155"/>
      <c r="I61" s="6"/>
    </row>
    <row r="62" spans="1:9" hidden="1" x14ac:dyDescent="0.15">
      <c r="A62" s="155"/>
      <c r="B62" s="155"/>
      <c r="C62" s="169" t="s">
        <v>205</v>
      </c>
      <c r="D62" s="155">
        <f t="shared" ref="D62:I62" si="9">D57-D60</f>
        <v>0</v>
      </c>
      <c r="E62" s="155">
        <f t="shared" si="9"/>
        <v>0</v>
      </c>
      <c r="F62" s="155">
        <f t="shared" si="9"/>
        <v>0</v>
      </c>
      <c r="G62" s="155">
        <f t="shared" si="9"/>
        <v>0</v>
      </c>
      <c r="H62" s="155">
        <f t="shared" si="9"/>
        <v>0</v>
      </c>
      <c r="I62" s="164">
        <f t="shared" si="9"/>
        <v>0</v>
      </c>
    </row>
    <row r="63" spans="1:9" hidden="1" x14ac:dyDescent="0.15">
      <c r="A63" s="155"/>
      <c r="B63" s="155"/>
      <c r="C63" s="169"/>
      <c r="D63" s="155"/>
      <c r="E63" s="155"/>
      <c r="F63" s="155"/>
      <c r="G63" s="155"/>
      <c r="I63" s="6"/>
    </row>
    <row r="64" spans="1:9" hidden="1" x14ac:dyDescent="0.15">
      <c r="C64" s="206" t="s">
        <v>1049</v>
      </c>
      <c r="E64" s="5"/>
      <c r="F64" s="5"/>
      <c r="G64" s="5"/>
      <c r="I64" s="6"/>
    </row>
    <row r="65" spans="1:9" hidden="1" x14ac:dyDescent="0.15">
      <c r="A65" s="137" t="s">
        <v>116</v>
      </c>
      <c r="C65" s="1" t="s">
        <v>543</v>
      </c>
      <c r="E65" s="5"/>
      <c r="F65" s="5"/>
      <c r="G65" s="5"/>
      <c r="I65" s="6"/>
    </row>
    <row r="66" spans="1:9" hidden="1" x14ac:dyDescent="0.15">
      <c r="B66" s="7"/>
      <c r="C66" s="2" t="s">
        <v>909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92">
        <f>G66+H66</f>
        <v>0</v>
      </c>
    </row>
    <row r="67" spans="1:9" hidden="1" x14ac:dyDescent="0.15">
      <c r="B67" s="7"/>
      <c r="C67" s="2"/>
      <c r="D67" s="14"/>
      <c r="E67" s="14"/>
      <c r="F67" s="14"/>
      <c r="G67" s="14"/>
      <c r="I67" s="6"/>
    </row>
    <row r="68" spans="1:9" hidden="1" x14ac:dyDescent="0.15">
      <c r="I68" s="6"/>
    </row>
  </sheetData>
  <sheetProtection password="CB03" sheet="1" objects="1" scenarios="1" formatCells="0" formatColumns="0" formatRows="0"/>
  <phoneticPr fontId="15" type="noConversion"/>
  <pageMargins left="0.5" right="0.5" top="0.75" bottom="0.75" header="0.5" footer="0.5"/>
  <pageSetup scale="61" firstPageNumber="42" fitToHeight="0" orientation="portrait" r:id="rId1"/>
  <headerFooter alignWithMargins="0">
    <oddFooter>&amp;LCDE, Public Scool Finance Unit&amp;C&amp;P&amp;R&amp;D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I58"/>
  <sheetViews>
    <sheetView workbookViewId="0">
      <selection activeCell="A2" sqref="A2"/>
    </sheetView>
  </sheetViews>
  <sheetFormatPr defaultColWidth="12" defaultRowHeight="10.5" x14ac:dyDescent="0.15"/>
  <cols>
    <col min="1" max="1" width="10.33203125" customWidth="1"/>
    <col min="2" max="2" width="3.6640625" bestFit="1" customWidth="1"/>
    <col min="3" max="3" width="70.83203125" customWidth="1"/>
    <col min="4" max="4" width="15.83203125" customWidth="1"/>
    <col min="5" max="5" width="17.83203125" customWidth="1"/>
    <col min="6" max="6" width="18.83203125" customWidth="1"/>
    <col min="7" max="7" width="15.83203125" customWidth="1"/>
    <col min="8" max="8" width="16.83203125" customWidth="1"/>
    <col min="9" max="9" width="15.1640625" customWidth="1"/>
  </cols>
  <sheetData>
    <row r="1" spans="1:9" x14ac:dyDescent="0.15">
      <c r="A1" t="s">
        <v>1044</v>
      </c>
      <c r="C1" s="10">
        <f>+'Page 1 - FY2016-17'!B5</f>
        <v>0</v>
      </c>
      <c r="D1" t="s">
        <v>889</v>
      </c>
      <c r="E1" s="105">
        <f>+'Page 1 - FY2016-17'!F7</f>
        <v>0</v>
      </c>
      <c r="G1" s="48" t="s">
        <v>118</v>
      </c>
    </row>
    <row r="2" spans="1:9" x14ac:dyDescent="0.15">
      <c r="A2" s="15" t="s">
        <v>117</v>
      </c>
    </row>
    <row r="3" spans="1:9" s="155" customFormat="1" ht="31.5" x14ac:dyDescent="0.15">
      <c r="D3" s="580" t="s">
        <v>1607</v>
      </c>
      <c r="E3" s="580" t="s">
        <v>1606</v>
      </c>
      <c r="F3" s="580" t="s">
        <v>1605</v>
      </c>
      <c r="G3" s="580" t="s">
        <v>1604</v>
      </c>
      <c r="H3" s="580" t="s">
        <v>1603</v>
      </c>
      <c r="I3" s="580" t="s">
        <v>1602</v>
      </c>
    </row>
    <row r="4" spans="1:9" s="155" customFormat="1" ht="63" x14ac:dyDescent="0.15">
      <c r="D4" s="424"/>
      <c r="E4" s="424"/>
      <c r="F4" s="424"/>
      <c r="G4" s="424"/>
      <c r="H4" s="713" t="s">
        <v>1541</v>
      </c>
      <c r="I4" s="715" t="s">
        <v>1516</v>
      </c>
    </row>
    <row r="5" spans="1:9" s="155" customFormat="1" ht="11.25" thickBot="1" x14ac:dyDescent="0.2">
      <c r="D5" s="163"/>
      <c r="E5" s="163"/>
      <c r="F5" s="163"/>
      <c r="G5" s="163"/>
      <c r="I5" s="164"/>
    </row>
    <row r="6" spans="1:9" ht="11.25" thickBot="1" x14ac:dyDescent="0.2">
      <c r="A6" s="34" t="s">
        <v>1132</v>
      </c>
      <c r="B6" s="34" t="s">
        <v>108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168">
        <f>SUM(G6+H6)</f>
        <v>0</v>
      </c>
    </row>
    <row r="7" spans="1:9" x14ac:dyDescent="0.15">
      <c r="E7" s="5"/>
      <c r="F7" s="5"/>
      <c r="G7" s="5"/>
      <c r="I7" s="6"/>
    </row>
    <row r="8" spans="1:9" x14ac:dyDescent="0.15">
      <c r="A8" s="35" t="s">
        <v>895</v>
      </c>
      <c r="C8" s="206" t="s">
        <v>1133</v>
      </c>
      <c r="E8" s="5"/>
      <c r="F8" s="5"/>
      <c r="G8" s="5"/>
      <c r="I8" s="6"/>
    </row>
    <row r="9" spans="1:9" x14ac:dyDescent="0.15">
      <c r="A9" s="149" t="s">
        <v>1013</v>
      </c>
      <c r="B9" s="185" t="s">
        <v>560</v>
      </c>
      <c r="C9" s="114" t="s">
        <v>197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2">
        <f>SUM(G9+H9)</f>
        <v>0</v>
      </c>
    </row>
    <row r="10" spans="1:9" x14ac:dyDescent="0.15">
      <c r="A10" s="1" t="s">
        <v>905</v>
      </c>
      <c r="B10" s="207" t="s">
        <v>561</v>
      </c>
      <c r="C10" s="1" t="s">
        <v>1332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2">
        <f t="shared" ref="I10:I15" si="0">SUM(G10+H10)</f>
        <v>0</v>
      </c>
    </row>
    <row r="11" spans="1:9" x14ac:dyDescent="0.15">
      <c r="A11" s="107" t="s">
        <v>19</v>
      </c>
      <c r="B11" s="207" t="s">
        <v>562</v>
      </c>
      <c r="C11" s="1" t="s">
        <v>198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2">
        <f t="shared" si="0"/>
        <v>0</v>
      </c>
    </row>
    <row r="12" spans="1:9" x14ac:dyDescent="0.15">
      <c r="A12" s="185" t="s">
        <v>1051</v>
      </c>
      <c r="B12" s="207" t="s">
        <v>625</v>
      </c>
      <c r="C12" s="1" t="s">
        <v>199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92">
        <f t="shared" si="0"/>
        <v>0</v>
      </c>
    </row>
    <row r="13" spans="1:9" x14ac:dyDescent="0.15">
      <c r="A13" s="185" t="s">
        <v>200</v>
      </c>
      <c r="B13" s="207" t="s">
        <v>626</v>
      </c>
      <c r="C13" s="1" t="s">
        <v>1012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92">
        <f t="shared" si="0"/>
        <v>0</v>
      </c>
    </row>
    <row r="14" spans="1:9" x14ac:dyDescent="0.15">
      <c r="A14" s="1" t="s">
        <v>1043</v>
      </c>
      <c r="B14" s="207" t="s">
        <v>627</v>
      </c>
      <c r="C14" s="2" t="s">
        <v>972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92">
        <f t="shared" si="0"/>
        <v>0</v>
      </c>
    </row>
    <row r="15" spans="1:9" x14ac:dyDescent="0.15">
      <c r="B15" s="207" t="s">
        <v>628</v>
      </c>
      <c r="C15" s="1" t="s">
        <v>1149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92">
        <f t="shared" si="0"/>
        <v>0</v>
      </c>
    </row>
    <row r="16" spans="1:9" ht="11.25" thickBot="1" x14ac:dyDescent="0.2">
      <c r="B16" s="207"/>
      <c r="C16" s="1"/>
      <c r="D16" s="14"/>
      <c r="E16" s="14"/>
      <c r="F16" s="14"/>
      <c r="G16" s="14"/>
      <c r="I16" s="6"/>
    </row>
    <row r="17" spans="1:9" ht="12" thickTop="1" thickBot="1" x14ac:dyDescent="0.2">
      <c r="B17" s="207" t="s">
        <v>629</v>
      </c>
      <c r="C17" s="34" t="s">
        <v>559</v>
      </c>
      <c r="D17" s="41">
        <f t="shared" ref="D17:I17" si="1">SUM(D9:D15)</f>
        <v>0</v>
      </c>
      <c r="E17" s="41">
        <f t="shared" si="1"/>
        <v>0</v>
      </c>
      <c r="F17" s="41">
        <f t="shared" si="1"/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</row>
    <row r="18" spans="1:9" ht="12" thickTop="1" thickBot="1" x14ac:dyDescent="0.2">
      <c r="C18" s="1"/>
      <c r="D18" s="13"/>
      <c r="E18" s="13"/>
      <c r="F18" s="13"/>
      <c r="G18" s="13"/>
      <c r="I18" s="6"/>
    </row>
    <row r="19" spans="1:9" ht="11.25" thickBot="1" x14ac:dyDescent="0.2">
      <c r="A19" s="34" t="s">
        <v>573</v>
      </c>
      <c r="D19" s="43">
        <f t="shared" ref="D19:I19" si="2">D6+D17</f>
        <v>0</v>
      </c>
      <c r="E19" s="43">
        <f t="shared" si="2"/>
        <v>0</v>
      </c>
      <c r="F19" s="43">
        <f t="shared" si="2"/>
        <v>0</v>
      </c>
      <c r="G19" s="43">
        <f t="shared" si="2"/>
        <v>0</v>
      </c>
      <c r="H19" s="43">
        <f t="shared" si="2"/>
        <v>0</v>
      </c>
      <c r="I19" s="43">
        <f t="shared" si="2"/>
        <v>0</v>
      </c>
    </row>
    <row r="20" spans="1:9" x14ac:dyDescent="0.15">
      <c r="E20" s="5"/>
      <c r="F20" s="5"/>
      <c r="G20" s="5"/>
      <c r="I20" s="6"/>
    </row>
    <row r="21" spans="1:9" x14ac:dyDescent="0.15">
      <c r="A21" s="563" t="s">
        <v>290</v>
      </c>
      <c r="B21" s="413"/>
      <c r="C21" s="427" t="s">
        <v>286</v>
      </c>
      <c r="D21" s="412"/>
      <c r="E21" s="412"/>
      <c r="F21" s="412"/>
      <c r="G21" s="412"/>
      <c r="H21" s="412"/>
      <c r="I21" s="176"/>
    </row>
    <row r="22" spans="1:9" x14ac:dyDescent="0.15">
      <c r="A22" s="417" t="s">
        <v>1043</v>
      </c>
      <c r="B22" s="433" t="s">
        <v>767</v>
      </c>
      <c r="C22" s="2" t="s">
        <v>293</v>
      </c>
      <c r="D22" s="40">
        <v>0</v>
      </c>
      <c r="E22" s="40">
        <v>0</v>
      </c>
      <c r="F22" s="40">
        <v>0</v>
      </c>
      <c r="G22" s="40">
        <v>0</v>
      </c>
      <c r="H22" s="463">
        <v>0</v>
      </c>
      <c r="I22" s="464">
        <f>SUM(G22+H22)</f>
        <v>0</v>
      </c>
    </row>
    <row r="23" spans="1:9" x14ac:dyDescent="0.15">
      <c r="A23" s="417"/>
      <c r="B23" s="433"/>
      <c r="C23" s="2"/>
      <c r="D23" s="14"/>
      <c r="E23" s="14"/>
      <c r="F23" s="14"/>
      <c r="G23" s="14"/>
      <c r="H23" s="301"/>
      <c r="I23" s="298"/>
    </row>
    <row r="24" spans="1:9" x14ac:dyDescent="0.15">
      <c r="E24" s="5"/>
      <c r="F24" s="5"/>
      <c r="G24" s="5"/>
      <c r="I24" s="6"/>
    </row>
    <row r="25" spans="1:9" x14ac:dyDescent="0.15">
      <c r="A25" s="35" t="s">
        <v>1135</v>
      </c>
      <c r="C25" s="206" t="s">
        <v>109</v>
      </c>
      <c r="E25" s="5"/>
      <c r="F25" s="5"/>
      <c r="G25" s="5"/>
      <c r="I25" s="6"/>
    </row>
    <row r="26" spans="1:9" x14ac:dyDescent="0.15">
      <c r="A26" s="1" t="s">
        <v>1312</v>
      </c>
      <c r="B26" s="207" t="s">
        <v>637</v>
      </c>
      <c r="C26" s="114" t="s">
        <v>337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92">
        <f t="shared" ref="I26:I35" si="3">SUM(G26+H26)</f>
        <v>0</v>
      </c>
    </row>
    <row r="27" spans="1:9" x14ac:dyDescent="0.15">
      <c r="A27" s="1" t="s">
        <v>1313</v>
      </c>
      <c r="B27" s="207" t="s">
        <v>641</v>
      </c>
      <c r="C27" s="114" t="s">
        <v>342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92">
        <f t="shared" si="3"/>
        <v>0</v>
      </c>
    </row>
    <row r="28" spans="1:9" x14ac:dyDescent="0.15">
      <c r="A28" s="1" t="s">
        <v>1314</v>
      </c>
      <c r="B28" s="207" t="s">
        <v>642</v>
      </c>
      <c r="C28" s="1" t="s">
        <v>643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92">
        <f t="shared" si="3"/>
        <v>0</v>
      </c>
    </row>
    <row r="29" spans="1:9" x14ac:dyDescent="0.15">
      <c r="A29" s="1" t="s">
        <v>1315</v>
      </c>
      <c r="B29" s="207" t="s">
        <v>638</v>
      </c>
      <c r="C29" s="1" t="s">
        <v>1059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92">
        <f t="shared" si="3"/>
        <v>0</v>
      </c>
    </row>
    <row r="30" spans="1:9" x14ac:dyDescent="0.15">
      <c r="A30" s="1" t="s">
        <v>1316</v>
      </c>
      <c r="B30" s="207" t="s">
        <v>639</v>
      </c>
      <c r="C30" s="1" t="s">
        <v>1064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92">
        <f t="shared" si="3"/>
        <v>0</v>
      </c>
    </row>
    <row r="31" spans="1:9" x14ac:dyDescent="0.15">
      <c r="A31" s="1" t="s">
        <v>1317</v>
      </c>
      <c r="B31" s="207" t="s">
        <v>644</v>
      </c>
      <c r="C31" s="1" t="s">
        <v>1096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92">
        <f t="shared" si="3"/>
        <v>0</v>
      </c>
    </row>
    <row r="32" spans="1:9" x14ac:dyDescent="0.15">
      <c r="A32" s="107" t="s">
        <v>1020</v>
      </c>
      <c r="B32" s="207" t="s">
        <v>645</v>
      </c>
      <c r="C32" s="1" t="s">
        <v>1021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92">
        <f t="shared" si="3"/>
        <v>0</v>
      </c>
    </row>
    <row r="33" spans="1:9" x14ac:dyDescent="0.15">
      <c r="A33" s="1" t="s">
        <v>113</v>
      </c>
      <c r="B33" s="207" t="s">
        <v>646</v>
      </c>
      <c r="C33" s="1" t="s">
        <v>1111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92">
        <f t="shared" si="3"/>
        <v>0</v>
      </c>
    </row>
    <row r="34" spans="1:9" x14ac:dyDescent="0.15">
      <c r="A34" s="149"/>
      <c r="B34" s="149"/>
      <c r="C34" s="568" t="s">
        <v>982</v>
      </c>
      <c r="D34" s="459">
        <f t="shared" ref="D34:I34" si="4">+D22</f>
        <v>0</v>
      </c>
      <c r="E34" s="459">
        <f t="shared" si="4"/>
        <v>0</v>
      </c>
      <c r="F34" s="459">
        <f t="shared" si="4"/>
        <v>0</v>
      </c>
      <c r="G34" s="459">
        <f t="shared" si="4"/>
        <v>0</v>
      </c>
      <c r="H34" s="459">
        <f t="shared" si="4"/>
        <v>0</v>
      </c>
      <c r="I34" s="459">
        <f t="shared" si="4"/>
        <v>0</v>
      </c>
    </row>
    <row r="35" spans="1:9" x14ac:dyDescent="0.15">
      <c r="A35" s="1" t="s">
        <v>656</v>
      </c>
      <c r="B35" s="207" t="s">
        <v>647</v>
      </c>
      <c r="C35" s="1" t="s">
        <v>815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92">
        <f t="shared" si="3"/>
        <v>0</v>
      </c>
    </row>
    <row r="36" spans="1:9" ht="11.25" thickBot="1" x14ac:dyDescent="0.2">
      <c r="A36" s="1"/>
      <c r="B36" s="6"/>
      <c r="C36" s="1"/>
      <c r="D36" s="14"/>
      <c r="F36" s="5"/>
      <c r="G36" s="5"/>
      <c r="I36" s="6"/>
    </row>
    <row r="37" spans="1:9" ht="12" thickTop="1" thickBot="1" x14ac:dyDescent="0.2">
      <c r="B37" s="207" t="s">
        <v>648</v>
      </c>
      <c r="C37" s="34" t="s">
        <v>574</v>
      </c>
      <c r="D37" s="41">
        <f t="shared" ref="D37:I37" si="5">SUM(D26:D35)</f>
        <v>0</v>
      </c>
      <c r="E37" s="41">
        <f t="shared" si="5"/>
        <v>0</v>
      </c>
      <c r="F37" s="41">
        <f t="shared" si="5"/>
        <v>0</v>
      </c>
      <c r="G37" s="41">
        <f t="shared" si="5"/>
        <v>0</v>
      </c>
      <c r="H37" s="41">
        <f t="shared" si="5"/>
        <v>0</v>
      </c>
      <c r="I37" s="41">
        <f t="shared" si="5"/>
        <v>0</v>
      </c>
    </row>
    <row r="38" spans="1:9" ht="11.25" thickTop="1" x14ac:dyDescent="0.15">
      <c r="E38" s="5"/>
      <c r="F38" s="5"/>
      <c r="G38" s="5"/>
      <c r="I38" s="6"/>
    </row>
    <row r="39" spans="1:9" x14ac:dyDescent="0.15">
      <c r="A39" s="152" t="s">
        <v>1048</v>
      </c>
      <c r="C39" s="206" t="s">
        <v>211</v>
      </c>
      <c r="D39" s="156"/>
      <c r="E39" s="156"/>
      <c r="F39" s="156"/>
      <c r="G39" s="156"/>
      <c r="I39" s="6"/>
    </row>
    <row r="40" spans="1:9" x14ac:dyDescent="0.15">
      <c r="A40" s="486" t="s">
        <v>827</v>
      </c>
      <c r="B40" s="633" t="s">
        <v>649</v>
      </c>
      <c r="C40" s="135" t="s">
        <v>821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92">
        <f>SUM(G40+H40)</f>
        <v>0</v>
      </c>
    </row>
    <row r="41" spans="1:9" x14ac:dyDescent="0.15">
      <c r="A41" s="627" t="s">
        <v>1394</v>
      </c>
      <c r="B41" s="157" t="s">
        <v>650</v>
      </c>
      <c r="C41" s="135" t="s">
        <v>822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92">
        <f>SUM(G41+H41)</f>
        <v>0</v>
      </c>
    </row>
    <row r="42" spans="1:9" x14ac:dyDescent="0.15">
      <c r="A42" s="627" t="s">
        <v>1395</v>
      </c>
      <c r="B42" s="157" t="s">
        <v>651</v>
      </c>
      <c r="C42" s="135" t="s">
        <v>823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92">
        <f>SUM(G42+H42)</f>
        <v>0</v>
      </c>
    </row>
    <row r="43" spans="1:9" ht="11.25" customHeight="1" x14ac:dyDescent="0.15">
      <c r="A43" s="627" t="s">
        <v>1396</v>
      </c>
      <c r="B43" s="157" t="s">
        <v>652</v>
      </c>
      <c r="C43" s="625" t="s">
        <v>1397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92">
        <f>SUM(G43+H43)</f>
        <v>0</v>
      </c>
    </row>
    <row r="44" spans="1:9" ht="11.25" thickBot="1" x14ac:dyDescent="0.2">
      <c r="A44" s="486" t="s">
        <v>831</v>
      </c>
      <c r="B44" s="157" t="s">
        <v>657</v>
      </c>
      <c r="C44" s="135" t="s">
        <v>825</v>
      </c>
      <c r="D44" s="147">
        <v>0</v>
      </c>
      <c r="E44" s="147">
        <v>0</v>
      </c>
      <c r="F44" s="147">
        <v>0</v>
      </c>
      <c r="G44" s="147">
        <v>0</v>
      </c>
      <c r="H44" s="40">
        <v>0</v>
      </c>
      <c r="I44" s="492">
        <f>SUM(G44+H44)</f>
        <v>0</v>
      </c>
    </row>
    <row r="45" spans="1:9" ht="12" thickTop="1" thickBot="1" x14ac:dyDescent="0.2">
      <c r="A45" s="146"/>
      <c r="B45" s="157" t="s">
        <v>658</v>
      </c>
      <c r="C45" s="114" t="s">
        <v>202</v>
      </c>
      <c r="D45" s="148">
        <f t="shared" ref="D45:I45" si="6">SUM(D40:D44)</f>
        <v>0</v>
      </c>
      <c r="E45" s="148">
        <f t="shared" si="6"/>
        <v>0</v>
      </c>
      <c r="F45" s="148">
        <f t="shared" si="6"/>
        <v>0</v>
      </c>
      <c r="G45" s="148">
        <f t="shared" si="6"/>
        <v>0</v>
      </c>
      <c r="H45" s="148">
        <f t="shared" si="6"/>
        <v>0</v>
      </c>
      <c r="I45" s="166">
        <f t="shared" si="6"/>
        <v>0</v>
      </c>
    </row>
    <row r="46" spans="1:9" ht="12" thickTop="1" thickBot="1" x14ac:dyDescent="0.2">
      <c r="A46" s="146"/>
      <c r="B46" s="155"/>
      <c r="C46" s="114"/>
      <c r="D46" s="156"/>
      <c r="E46" s="156"/>
      <c r="F46" s="156"/>
      <c r="G46" s="156"/>
      <c r="I46" s="6"/>
    </row>
    <row r="47" spans="1:9" ht="11.25" thickBot="1" x14ac:dyDescent="0.2">
      <c r="A47" s="728" t="s">
        <v>575</v>
      </c>
      <c r="B47" s="728"/>
      <c r="C47" s="735"/>
      <c r="D47" s="208">
        <f t="shared" ref="D47:I47" si="7">D37+D45</f>
        <v>0</v>
      </c>
      <c r="E47" s="208">
        <f t="shared" si="7"/>
        <v>0</v>
      </c>
      <c r="F47" s="208">
        <f t="shared" si="7"/>
        <v>0</v>
      </c>
      <c r="G47" s="208">
        <f t="shared" si="7"/>
        <v>0</v>
      </c>
      <c r="H47" s="208">
        <f t="shared" si="7"/>
        <v>0</v>
      </c>
      <c r="I47" s="208">
        <f t="shared" si="7"/>
        <v>0</v>
      </c>
    </row>
    <row r="48" spans="1:9" x14ac:dyDescent="0.15">
      <c r="A48" s="146"/>
      <c r="B48" s="155"/>
      <c r="C48" s="114" t="s">
        <v>203</v>
      </c>
      <c r="D48" s="156"/>
      <c r="E48" s="156"/>
      <c r="F48" s="156"/>
      <c r="G48" s="156"/>
      <c r="I48" s="6"/>
    </row>
    <row r="49" spans="1:9" ht="11.25" thickBot="1" x14ac:dyDescent="0.2">
      <c r="A49" s="146"/>
      <c r="B49" s="155"/>
      <c r="C49" s="114"/>
      <c r="D49" s="156"/>
      <c r="E49" s="156"/>
      <c r="F49" s="156"/>
      <c r="G49" s="156"/>
      <c r="I49" s="6"/>
    </row>
    <row r="50" spans="1:9" ht="12" thickTop="1" thickBot="1" x14ac:dyDescent="0.2">
      <c r="A50" s="155"/>
      <c r="B50" s="155"/>
      <c r="C50" s="169" t="s">
        <v>204</v>
      </c>
      <c r="D50" s="170">
        <f t="shared" ref="D50:I50" si="8">D19</f>
        <v>0</v>
      </c>
      <c r="E50" s="170">
        <f t="shared" si="8"/>
        <v>0</v>
      </c>
      <c r="F50" s="170">
        <f t="shared" si="8"/>
        <v>0</v>
      </c>
      <c r="G50" s="170">
        <f t="shared" si="8"/>
        <v>0</v>
      </c>
      <c r="H50" s="170">
        <f t="shared" si="8"/>
        <v>0</v>
      </c>
      <c r="I50" s="170">
        <f t="shared" si="8"/>
        <v>0</v>
      </c>
    </row>
    <row r="51" spans="1:9" ht="11.25" thickTop="1" x14ac:dyDescent="0.15">
      <c r="A51" s="155"/>
      <c r="B51" s="155"/>
      <c r="C51" s="155"/>
      <c r="D51" s="155"/>
      <c r="E51" s="155"/>
      <c r="F51" s="155"/>
      <c r="G51" s="155"/>
      <c r="I51" s="6"/>
    </row>
    <row r="52" spans="1:9" x14ac:dyDescent="0.15">
      <c r="A52" s="155"/>
      <c r="B52" s="155"/>
      <c r="C52" s="169" t="s">
        <v>205</v>
      </c>
      <c r="D52" s="155">
        <f t="shared" ref="D52:I52" si="9">D47-D50</f>
        <v>0</v>
      </c>
      <c r="E52" s="155">
        <f t="shared" si="9"/>
        <v>0</v>
      </c>
      <c r="F52" s="155">
        <f t="shared" si="9"/>
        <v>0</v>
      </c>
      <c r="G52" s="155">
        <f t="shared" si="9"/>
        <v>0</v>
      </c>
      <c r="H52" s="155">
        <f t="shared" si="9"/>
        <v>0</v>
      </c>
      <c r="I52" s="164">
        <f t="shared" si="9"/>
        <v>0</v>
      </c>
    </row>
    <row r="53" spans="1:9" x14ac:dyDescent="0.15">
      <c r="I53" s="6"/>
    </row>
    <row r="54" spans="1:9" x14ac:dyDescent="0.15">
      <c r="A54" s="132"/>
      <c r="C54" s="206" t="s">
        <v>1049</v>
      </c>
      <c r="E54" s="5"/>
      <c r="F54" s="5"/>
      <c r="G54" s="5"/>
      <c r="I54" s="6"/>
    </row>
    <row r="55" spans="1:9" x14ac:dyDescent="0.15">
      <c r="A55" s="137" t="s">
        <v>116</v>
      </c>
      <c r="C55" s="1" t="s">
        <v>543</v>
      </c>
      <c r="E55" s="5"/>
      <c r="F55" s="5"/>
      <c r="G55" s="5"/>
      <c r="I55" s="6"/>
    </row>
    <row r="56" spans="1:9" x14ac:dyDescent="0.15">
      <c r="A56" s="132"/>
      <c r="B56" s="7"/>
      <c r="C56" s="2" t="s">
        <v>909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92">
        <f>G56+H56</f>
        <v>0</v>
      </c>
    </row>
    <row r="57" spans="1:9" x14ac:dyDescent="0.15">
      <c r="I57" s="6"/>
    </row>
    <row r="58" spans="1:9" x14ac:dyDescent="0.15">
      <c r="I58" s="6"/>
    </row>
  </sheetData>
  <sheetProtection password="CB03" sheet="1" objects="1" scenarios="1" formatCells="0" formatColumns="0" formatRows="0"/>
  <mergeCells count="1">
    <mergeCell ref="A47:C47"/>
  </mergeCells>
  <phoneticPr fontId="15" type="noConversion"/>
  <pageMargins left="0.5" right="0.5" top="0.75" bottom="0.75" header="0.5" footer="0.5"/>
  <pageSetup scale="65" firstPageNumber="43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P56"/>
  <sheetViews>
    <sheetView workbookViewId="0">
      <selection activeCell="A2" sqref="A2"/>
    </sheetView>
  </sheetViews>
  <sheetFormatPr defaultColWidth="12" defaultRowHeight="10.5" x14ac:dyDescent="0.15"/>
  <cols>
    <col min="1" max="1" width="10.33203125" customWidth="1"/>
    <col min="2" max="2" width="4.33203125" customWidth="1"/>
    <col min="3" max="3" width="70.83203125" customWidth="1"/>
    <col min="4" max="4" width="15.83203125" customWidth="1"/>
    <col min="5" max="5" width="17.6640625" customWidth="1"/>
    <col min="6" max="6" width="19.33203125" customWidth="1"/>
    <col min="7" max="7" width="15.83203125" customWidth="1"/>
    <col min="8" max="8" width="13.33203125" customWidth="1"/>
    <col min="9" max="9" width="15.1640625" customWidth="1"/>
  </cols>
  <sheetData>
    <row r="1" spans="1:9" x14ac:dyDescent="0.15">
      <c r="A1" t="s">
        <v>1044</v>
      </c>
      <c r="C1" s="10">
        <f>+'Page 1 - FY2016-17'!B5</f>
        <v>0</v>
      </c>
      <c r="D1" t="s">
        <v>889</v>
      </c>
      <c r="E1" s="105">
        <f>+'Page 1 - FY2016-17'!F7</f>
        <v>0</v>
      </c>
      <c r="G1" s="37" t="s">
        <v>891</v>
      </c>
    </row>
    <row r="2" spans="1:9" x14ac:dyDescent="0.15">
      <c r="A2" s="15" t="s">
        <v>119</v>
      </c>
      <c r="B2" s="15"/>
    </row>
    <row r="3" spans="1:9" x14ac:dyDescent="0.15">
      <c r="A3" s="182" t="s">
        <v>30</v>
      </c>
      <c r="B3" s="182"/>
      <c r="C3" s="182"/>
      <c r="D3" s="182"/>
      <c r="E3" s="182"/>
      <c r="F3" s="182"/>
      <c r="G3" s="182"/>
    </row>
    <row r="4" spans="1:9" s="155" customFormat="1" ht="42" x14ac:dyDescent="0.15">
      <c r="D4" s="580" t="s">
        <v>1607</v>
      </c>
      <c r="E4" s="580" t="s">
        <v>1606</v>
      </c>
      <c r="F4" s="580" t="s">
        <v>1605</v>
      </c>
      <c r="G4" s="580" t="s">
        <v>1604</v>
      </c>
      <c r="H4" s="580" t="s">
        <v>1603</v>
      </c>
      <c r="I4" s="580" t="s">
        <v>1602</v>
      </c>
    </row>
    <row r="5" spans="1:9" s="155" customFormat="1" ht="63" x14ac:dyDescent="0.15">
      <c r="D5" s="424"/>
      <c r="E5" s="424"/>
      <c r="F5" s="424"/>
      <c r="G5" s="424"/>
      <c r="H5" s="713" t="s">
        <v>1541</v>
      </c>
      <c r="I5" s="715" t="s">
        <v>1516</v>
      </c>
    </row>
    <row r="6" spans="1:9" s="155" customFormat="1" ht="11.25" thickBot="1" x14ac:dyDescent="0.2">
      <c r="D6" s="163"/>
      <c r="E6" s="163"/>
      <c r="F6" s="163"/>
      <c r="G6" s="163"/>
      <c r="I6" s="164"/>
    </row>
    <row r="7" spans="1:9" ht="11.25" thickBot="1" x14ac:dyDescent="0.2">
      <c r="A7" s="34" t="s">
        <v>1132</v>
      </c>
      <c r="B7" s="34" t="s">
        <v>892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168">
        <f>G7+H7</f>
        <v>0</v>
      </c>
    </row>
    <row r="8" spans="1:9" x14ac:dyDescent="0.15">
      <c r="A8" s="35" t="s">
        <v>895</v>
      </c>
      <c r="C8" s="206" t="s">
        <v>1133</v>
      </c>
      <c r="E8" s="5"/>
      <c r="F8" s="5"/>
      <c r="G8" s="5"/>
      <c r="I8" s="6"/>
    </row>
    <row r="9" spans="1:9" x14ac:dyDescent="0.15">
      <c r="A9" s="1" t="s">
        <v>905</v>
      </c>
      <c r="B9" s="207" t="s">
        <v>560</v>
      </c>
      <c r="C9" s="1" t="s">
        <v>1332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2">
        <f>G9+H9</f>
        <v>0</v>
      </c>
    </row>
    <row r="10" spans="1:9" x14ac:dyDescent="0.15">
      <c r="A10" s="185" t="s">
        <v>1014</v>
      </c>
      <c r="B10" s="185" t="s">
        <v>561</v>
      </c>
      <c r="C10" t="s">
        <v>1016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2">
        <f>G10+H10</f>
        <v>0</v>
      </c>
    </row>
    <row r="11" spans="1:9" x14ac:dyDescent="0.15">
      <c r="A11" s="107" t="s">
        <v>1017</v>
      </c>
      <c r="B11" s="207" t="s">
        <v>562</v>
      </c>
      <c r="C11" s="1" t="s">
        <v>1018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2">
        <f>G11+H11</f>
        <v>0</v>
      </c>
    </row>
    <row r="12" spans="1:9" x14ac:dyDescent="0.15">
      <c r="A12" s="1" t="s">
        <v>1043</v>
      </c>
      <c r="B12" s="207" t="s">
        <v>625</v>
      </c>
      <c r="C12" s="2" t="s">
        <v>303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92">
        <f>G12+H12</f>
        <v>0</v>
      </c>
    </row>
    <row r="13" spans="1:9" x14ac:dyDescent="0.15">
      <c r="A13" s="185"/>
      <c r="B13" s="207" t="s">
        <v>627</v>
      </c>
      <c r="C13" s="1" t="s">
        <v>1149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92">
        <f>G13+H13</f>
        <v>0</v>
      </c>
    </row>
    <row r="14" spans="1:9" ht="11.25" thickBot="1" x14ac:dyDescent="0.2">
      <c r="D14" s="14"/>
      <c r="E14" s="14"/>
      <c r="F14" s="14"/>
      <c r="G14" s="14"/>
      <c r="I14" s="6"/>
    </row>
    <row r="15" spans="1:9" ht="12" thickTop="1" thickBot="1" x14ac:dyDescent="0.2">
      <c r="B15" s="185" t="s">
        <v>628</v>
      </c>
      <c r="C15" s="34" t="s">
        <v>1150</v>
      </c>
      <c r="D15" s="41">
        <f t="shared" ref="D15:I15" si="0">SUM(D9:D13)</f>
        <v>0</v>
      </c>
      <c r="E15" s="41">
        <f t="shared" si="0"/>
        <v>0</v>
      </c>
      <c r="F15" s="41">
        <f t="shared" si="0"/>
        <v>0</v>
      </c>
      <c r="G15" s="41">
        <f t="shared" si="0"/>
        <v>0</v>
      </c>
      <c r="H15" s="41">
        <f t="shared" si="0"/>
        <v>0</v>
      </c>
      <c r="I15" s="41">
        <f t="shared" si="0"/>
        <v>0</v>
      </c>
    </row>
    <row r="16" spans="1:9" ht="12" thickTop="1" thickBot="1" x14ac:dyDescent="0.2">
      <c r="C16" s="1"/>
      <c r="D16" s="13"/>
      <c r="E16" s="13"/>
      <c r="F16" s="13"/>
      <c r="G16" s="13"/>
      <c r="I16" s="6"/>
    </row>
    <row r="17" spans="1:9" ht="11.25" thickBot="1" x14ac:dyDescent="0.2">
      <c r="A17" s="34" t="s">
        <v>579</v>
      </c>
      <c r="D17" s="43">
        <f t="shared" ref="D17:I17" si="1">D7+D15</f>
        <v>0</v>
      </c>
      <c r="E17" s="43">
        <f t="shared" si="1"/>
        <v>0</v>
      </c>
      <c r="F17" s="43">
        <f t="shared" si="1"/>
        <v>0</v>
      </c>
      <c r="G17" s="43">
        <f t="shared" si="1"/>
        <v>0</v>
      </c>
      <c r="H17" s="43">
        <f t="shared" si="1"/>
        <v>0</v>
      </c>
      <c r="I17" s="43">
        <f t="shared" si="1"/>
        <v>0</v>
      </c>
    </row>
    <row r="18" spans="1:9" x14ac:dyDescent="0.15">
      <c r="A18" s="34"/>
      <c r="D18" s="13"/>
      <c r="E18" s="13"/>
      <c r="F18" s="13"/>
      <c r="G18" s="13"/>
      <c r="I18" s="6"/>
    </row>
    <row r="19" spans="1:9" x14ac:dyDescent="0.15">
      <c r="A19" s="563" t="s">
        <v>290</v>
      </c>
      <c r="B19" s="413"/>
      <c r="C19" s="427" t="s">
        <v>286</v>
      </c>
      <c r="D19" s="412"/>
      <c r="E19" s="412"/>
      <c r="F19" s="412"/>
      <c r="G19" s="412"/>
      <c r="H19" s="412"/>
      <c r="I19" s="176"/>
    </row>
    <row r="20" spans="1:9" x14ac:dyDescent="0.15">
      <c r="A20" s="417" t="s">
        <v>1043</v>
      </c>
      <c r="B20" s="433" t="s">
        <v>335</v>
      </c>
      <c r="C20" s="2" t="s">
        <v>293</v>
      </c>
      <c r="D20" s="40">
        <v>0</v>
      </c>
      <c r="E20" s="40">
        <v>0</v>
      </c>
      <c r="F20" s="40">
        <v>0</v>
      </c>
      <c r="G20" s="40">
        <v>0</v>
      </c>
      <c r="H20" s="463">
        <v>0</v>
      </c>
      <c r="I20" s="464">
        <f>SUM(G20+H20)</f>
        <v>0</v>
      </c>
    </row>
    <row r="21" spans="1:9" x14ac:dyDescent="0.15">
      <c r="A21" s="417"/>
      <c r="B21" s="433"/>
      <c r="C21" s="2"/>
      <c r="D21" s="14"/>
      <c r="E21" s="14"/>
      <c r="F21" s="14"/>
      <c r="G21" s="14"/>
      <c r="H21" s="301"/>
      <c r="I21" s="298"/>
    </row>
    <row r="22" spans="1:9" x14ac:dyDescent="0.15">
      <c r="A22" s="3"/>
      <c r="B22" s="3"/>
      <c r="D22" s="187"/>
      <c r="E22" s="186"/>
      <c r="F22" s="188"/>
      <c r="G22" s="122"/>
      <c r="I22" s="6"/>
    </row>
    <row r="23" spans="1:9" x14ac:dyDescent="0.15">
      <c r="A23" s="35" t="s">
        <v>1135</v>
      </c>
      <c r="C23" s="206" t="s">
        <v>109</v>
      </c>
      <c r="D23" s="186"/>
      <c r="E23" s="186"/>
      <c r="F23" s="186"/>
      <c r="G23" s="186"/>
      <c r="I23" s="6"/>
    </row>
    <row r="24" spans="1:9" x14ac:dyDescent="0.15">
      <c r="A24" s="1" t="s">
        <v>1312</v>
      </c>
      <c r="B24" s="207" t="s">
        <v>629</v>
      </c>
      <c r="C24" s="114" t="s">
        <v>337</v>
      </c>
      <c r="D24" s="40">
        <v>0</v>
      </c>
      <c r="E24" s="40">
        <v>0</v>
      </c>
      <c r="F24" s="40"/>
      <c r="G24" s="40"/>
      <c r="H24" s="40"/>
      <c r="I24" s="492">
        <f t="shared" ref="I24:I33" si="2">G24+H24</f>
        <v>0</v>
      </c>
    </row>
    <row r="25" spans="1:9" x14ac:dyDescent="0.15">
      <c r="A25" s="1" t="s">
        <v>1313</v>
      </c>
      <c r="B25" s="207" t="s">
        <v>637</v>
      </c>
      <c r="C25" s="114" t="s">
        <v>342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92">
        <f t="shared" si="2"/>
        <v>0</v>
      </c>
    </row>
    <row r="26" spans="1:9" x14ac:dyDescent="0.15">
      <c r="A26" s="1" t="s">
        <v>1314</v>
      </c>
      <c r="B26" s="207" t="s">
        <v>641</v>
      </c>
      <c r="C26" s="1" t="s">
        <v>643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92">
        <f t="shared" si="2"/>
        <v>0</v>
      </c>
    </row>
    <row r="27" spans="1:9" x14ac:dyDescent="0.15">
      <c r="A27" s="1" t="s">
        <v>1315</v>
      </c>
      <c r="B27" s="207" t="s">
        <v>642</v>
      </c>
      <c r="C27" s="1" t="s">
        <v>1059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92">
        <f t="shared" si="2"/>
        <v>0</v>
      </c>
    </row>
    <row r="28" spans="1:9" x14ac:dyDescent="0.15">
      <c r="A28" s="1" t="s">
        <v>1316</v>
      </c>
      <c r="B28" s="207" t="s">
        <v>638</v>
      </c>
      <c r="C28" s="1" t="s">
        <v>1064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92">
        <f t="shared" si="2"/>
        <v>0</v>
      </c>
    </row>
    <row r="29" spans="1:9" x14ac:dyDescent="0.15">
      <c r="A29" s="1" t="s">
        <v>1317</v>
      </c>
      <c r="B29" s="207" t="s">
        <v>639</v>
      </c>
      <c r="C29" s="1" t="s">
        <v>1096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92">
        <f t="shared" si="2"/>
        <v>0</v>
      </c>
    </row>
    <row r="30" spans="1:9" x14ac:dyDescent="0.15">
      <c r="A30" s="107" t="s">
        <v>1020</v>
      </c>
      <c r="B30" s="207" t="s">
        <v>644</v>
      </c>
      <c r="C30" s="1" t="s">
        <v>1021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92">
        <f t="shared" si="2"/>
        <v>0</v>
      </c>
    </row>
    <row r="31" spans="1:9" x14ac:dyDescent="0.15">
      <c r="A31" s="1" t="s">
        <v>113</v>
      </c>
      <c r="B31" s="207" t="s">
        <v>645</v>
      </c>
      <c r="C31" s="1" t="s">
        <v>1111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92">
        <f t="shared" si="2"/>
        <v>0</v>
      </c>
    </row>
    <row r="32" spans="1:9" x14ac:dyDescent="0.15">
      <c r="A32" s="149"/>
      <c r="B32" s="149"/>
      <c r="C32" s="568" t="s">
        <v>336</v>
      </c>
      <c r="D32" s="459">
        <f t="shared" ref="D32:I32" si="3">+D20</f>
        <v>0</v>
      </c>
      <c r="E32" s="459">
        <f t="shared" si="3"/>
        <v>0</v>
      </c>
      <c r="F32" s="459">
        <f t="shared" si="3"/>
        <v>0</v>
      </c>
      <c r="G32" s="459">
        <f t="shared" si="3"/>
        <v>0</v>
      </c>
      <c r="H32" s="459">
        <f t="shared" si="3"/>
        <v>0</v>
      </c>
      <c r="I32" s="459">
        <f t="shared" si="3"/>
        <v>0</v>
      </c>
    </row>
    <row r="33" spans="1:16" x14ac:dyDescent="0.15">
      <c r="A33" s="1" t="s">
        <v>656</v>
      </c>
      <c r="B33" s="207" t="s">
        <v>646</v>
      </c>
      <c r="C33" s="1" t="s">
        <v>815</v>
      </c>
      <c r="D33" s="300">
        <v>0</v>
      </c>
      <c r="E33" s="300">
        <v>0</v>
      </c>
      <c r="F33" s="300">
        <v>0</v>
      </c>
      <c r="G33" s="300">
        <v>0</v>
      </c>
      <c r="H33" s="300">
        <v>0</v>
      </c>
      <c r="I33" s="503">
        <f t="shared" si="2"/>
        <v>0</v>
      </c>
      <c r="J33" s="636"/>
      <c r="K33" s="283"/>
      <c r="L33" s="283"/>
      <c r="M33" s="283"/>
      <c r="N33" s="283"/>
    </row>
    <row r="34" spans="1:16" ht="11.25" thickBot="1" x14ac:dyDescent="0.2">
      <c r="D34" s="5"/>
      <c r="E34" s="5"/>
      <c r="F34" s="5"/>
      <c r="G34" s="5"/>
      <c r="I34" s="6"/>
    </row>
    <row r="35" spans="1:16" ht="12" thickTop="1" thickBot="1" x14ac:dyDescent="0.2">
      <c r="A35" s="1"/>
      <c r="B35" s="207" t="s">
        <v>647</v>
      </c>
      <c r="C35" s="34" t="s">
        <v>576</v>
      </c>
      <c r="D35" s="41">
        <f t="shared" ref="D35:I35" si="4">SUM(D24:D33)</f>
        <v>0</v>
      </c>
      <c r="E35" s="41">
        <f t="shared" si="4"/>
        <v>0</v>
      </c>
      <c r="F35" s="41">
        <f t="shared" si="4"/>
        <v>0</v>
      </c>
      <c r="G35" s="41">
        <f t="shared" si="4"/>
        <v>0</v>
      </c>
      <c r="H35" s="41">
        <f t="shared" si="4"/>
        <v>0</v>
      </c>
      <c r="I35" s="41">
        <f t="shared" si="4"/>
        <v>0</v>
      </c>
      <c r="J35" s="636"/>
      <c r="K35" s="283"/>
      <c r="L35" s="283"/>
      <c r="M35" s="283"/>
      <c r="N35" s="283"/>
      <c r="O35" s="283"/>
      <c r="P35" s="283"/>
    </row>
    <row r="36" spans="1:16" ht="11.25" thickTop="1" x14ac:dyDescent="0.15">
      <c r="I36" s="6"/>
    </row>
    <row r="37" spans="1:16" x14ac:dyDescent="0.15">
      <c r="A37" s="152" t="s">
        <v>1048</v>
      </c>
      <c r="C37" s="206" t="s">
        <v>211</v>
      </c>
      <c r="D37" s="156"/>
      <c r="E37" s="156"/>
      <c r="F37" s="156"/>
      <c r="G37" s="156"/>
      <c r="I37" s="6"/>
    </row>
    <row r="38" spans="1:16" x14ac:dyDescent="0.15">
      <c r="A38" s="486" t="s">
        <v>827</v>
      </c>
      <c r="B38" s="633" t="s">
        <v>648</v>
      </c>
      <c r="C38" s="135" t="s">
        <v>821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92">
        <f>G38+H38</f>
        <v>0</v>
      </c>
    </row>
    <row r="39" spans="1:16" x14ac:dyDescent="0.15">
      <c r="A39" s="627" t="s">
        <v>1394</v>
      </c>
      <c r="B39" s="633" t="s">
        <v>649</v>
      </c>
      <c r="C39" s="135" t="s">
        <v>822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92">
        <f>G39+H39</f>
        <v>0</v>
      </c>
    </row>
    <row r="40" spans="1:16" x14ac:dyDescent="0.15">
      <c r="A40" s="627" t="s">
        <v>1395</v>
      </c>
      <c r="B40" s="633" t="s">
        <v>650</v>
      </c>
      <c r="C40" s="135" t="s">
        <v>823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92">
        <f>G40+H40</f>
        <v>0</v>
      </c>
    </row>
    <row r="41" spans="1:16" ht="11.25" customHeight="1" x14ac:dyDescent="0.15">
      <c r="A41" s="627" t="s">
        <v>1396</v>
      </c>
      <c r="B41" s="633" t="s">
        <v>651</v>
      </c>
      <c r="C41" s="625" t="s">
        <v>1397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92">
        <f>G41+H41</f>
        <v>0</v>
      </c>
    </row>
    <row r="42" spans="1:16" ht="11.25" thickBot="1" x14ac:dyDescent="0.2">
      <c r="A42" s="486" t="s">
        <v>831</v>
      </c>
      <c r="B42" s="633" t="s">
        <v>652</v>
      </c>
      <c r="C42" s="135" t="s">
        <v>825</v>
      </c>
      <c r="D42" s="147">
        <v>0</v>
      </c>
      <c r="E42" s="147">
        <v>0</v>
      </c>
      <c r="F42" s="147">
        <v>0</v>
      </c>
      <c r="G42" s="147">
        <v>0</v>
      </c>
      <c r="H42" s="40">
        <v>0</v>
      </c>
      <c r="I42" s="492">
        <f>G42+H42</f>
        <v>0</v>
      </c>
    </row>
    <row r="43" spans="1:16" ht="12" thickTop="1" thickBot="1" x14ac:dyDescent="0.2">
      <c r="A43" s="146"/>
      <c r="B43" s="157" t="s">
        <v>657</v>
      </c>
      <c r="C43" s="114" t="s">
        <v>202</v>
      </c>
      <c r="D43" s="148">
        <f t="shared" ref="D43:I43" si="5">SUM(D38:D42)</f>
        <v>0</v>
      </c>
      <c r="E43" s="148">
        <f t="shared" si="5"/>
        <v>0</v>
      </c>
      <c r="F43" s="148">
        <f t="shared" si="5"/>
        <v>0</v>
      </c>
      <c r="G43" s="148">
        <f t="shared" si="5"/>
        <v>0</v>
      </c>
      <c r="H43" s="148">
        <f t="shared" si="5"/>
        <v>0</v>
      </c>
      <c r="I43" s="166">
        <f t="shared" si="5"/>
        <v>0</v>
      </c>
    </row>
    <row r="44" spans="1:16" ht="12" thickTop="1" thickBot="1" x14ac:dyDescent="0.2">
      <c r="A44" s="146"/>
      <c r="B44" s="155"/>
      <c r="C44" s="114"/>
      <c r="D44" s="156"/>
      <c r="E44" s="156"/>
      <c r="F44" s="156"/>
      <c r="G44" s="156"/>
      <c r="I44" s="6"/>
    </row>
    <row r="45" spans="1:16" ht="11.25" thickBot="1" x14ac:dyDescent="0.2">
      <c r="A45" s="728" t="s">
        <v>577</v>
      </c>
      <c r="B45" s="728"/>
      <c r="C45" s="729"/>
      <c r="D45" s="208">
        <f t="shared" ref="D45:I45" si="6">D35+D43</f>
        <v>0</v>
      </c>
      <c r="E45" s="208">
        <f t="shared" si="6"/>
        <v>0</v>
      </c>
      <c r="F45" s="208">
        <f t="shared" si="6"/>
        <v>0</v>
      </c>
      <c r="G45" s="208">
        <f t="shared" si="6"/>
        <v>0</v>
      </c>
      <c r="H45" s="208">
        <f t="shared" si="6"/>
        <v>0</v>
      </c>
      <c r="I45" s="208">
        <f t="shared" si="6"/>
        <v>0</v>
      </c>
    </row>
    <row r="46" spans="1:16" x14ac:dyDescent="0.15">
      <c r="A46" s="146"/>
      <c r="B46" s="155"/>
      <c r="C46" s="114" t="s">
        <v>203</v>
      </c>
      <c r="D46" s="156"/>
      <c r="E46" s="156"/>
      <c r="F46" s="156"/>
      <c r="G46" s="156"/>
      <c r="I46" s="6"/>
    </row>
    <row r="47" spans="1:16" ht="11.25" thickBot="1" x14ac:dyDescent="0.2">
      <c r="A47" s="146"/>
      <c r="B47" s="155"/>
      <c r="C47" s="114"/>
      <c r="D47" s="156"/>
      <c r="E47" s="156"/>
      <c r="F47" s="156"/>
      <c r="G47" s="156"/>
      <c r="I47" s="6"/>
    </row>
    <row r="48" spans="1:16" ht="12" thickTop="1" thickBot="1" x14ac:dyDescent="0.2">
      <c r="A48" s="155"/>
      <c r="B48" s="155"/>
      <c r="C48" s="169" t="s">
        <v>204</v>
      </c>
      <c r="D48" s="170">
        <f t="shared" ref="D48:I48" si="7">D17</f>
        <v>0</v>
      </c>
      <c r="E48" s="170">
        <f t="shared" si="7"/>
        <v>0</v>
      </c>
      <c r="F48" s="170">
        <f t="shared" si="7"/>
        <v>0</v>
      </c>
      <c r="G48" s="170">
        <f t="shared" si="7"/>
        <v>0</v>
      </c>
      <c r="H48" s="170">
        <f t="shared" si="7"/>
        <v>0</v>
      </c>
      <c r="I48" s="170">
        <f t="shared" si="7"/>
        <v>0</v>
      </c>
    </row>
    <row r="49" spans="1:9" ht="11.25" thickTop="1" x14ac:dyDescent="0.15">
      <c r="A49" s="155"/>
      <c r="B49" s="155"/>
      <c r="C49" s="155"/>
      <c r="D49" s="155"/>
      <c r="E49" s="155"/>
      <c r="F49" s="155"/>
      <c r="G49" s="155"/>
      <c r="I49" s="6"/>
    </row>
    <row r="50" spans="1:9" x14ac:dyDescent="0.15">
      <c r="A50" s="155"/>
      <c r="B50" s="155"/>
      <c r="C50" s="169" t="s">
        <v>205</v>
      </c>
      <c r="D50" s="155">
        <f t="shared" ref="D50:I50" si="8">D45-D48</f>
        <v>0</v>
      </c>
      <c r="E50" s="155">
        <f t="shared" si="8"/>
        <v>0</v>
      </c>
      <c r="F50" s="155">
        <f t="shared" si="8"/>
        <v>0</v>
      </c>
      <c r="G50" s="155">
        <f t="shared" si="8"/>
        <v>0</v>
      </c>
      <c r="H50" s="155">
        <f t="shared" si="8"/>
        <v>0</v>
      </c>
      <c r="I50" s="164">
        <f t="shared" si="8"/>
        <v>0</v>
      </c>
    </row>
    <row r="51" spans="1:9" x14ac:dyDescent="0.15">
      <c r="I51" s="6"/>
    </row>
    <row r="53" spans="1:9" x14ac:dyDescent="0.15">
      <c r="C53" s="1"/>
    </row>
    <row r="54" spans="1:9" x14ac:dyDescent="0.15">
      <c r="A54" s="3" t="s">
        <v>724</v>
      </c>
    </row>
    <row r="56" spans="1:9" x14ac:dyDescent="0.15">
      <c r="A56" s="556" t="s">
        <v>991</v>
      </c>
      <c r="B56" s="621"/>
      <c r="C56" s="621"/>
      <c r="D56" s="621"/>
      <c r="E56" s="621"/>
      <c r="F56" s="621"/>
    </row>
  </sheetData>
  <sheetProtection password="CB03" sheet="1" objects="1" scenarios="1" formatCells="0" formatColumns="0" formatRows="0"/>
  <mergeCells count="1">
    <mergeCell ref="A45:C45"/>
  </mergeCells>
  <phoneticPr fontId="15" type="noConversion"/>
  <pageMargins left="0.5" right="0.5" top="0.75" bottom="0.75" header="0.5" footer="0.5"/>
  <pageSetup scale="66" firstPageNumber="44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I55"/>
  <sheetViews>
    <sheetView zoomScaleNormal="100" workbookViewId="0">
      <selection activeCell="A2" sqref="A2"/>
    </sheetView>
  </sheetViews>
  <sheetFormatPr defaultColWidth="12" defaultRowHeight="10.5" x14ac:dyDescent="0.15"/>
  <cols>
    <col min="1" max="1" width="10.33203125" customWidth="1"/>
    <col min="2" max="2" width="4.33203125" customWidth="1"/>
    <col min="3" max="3" width="70.83203125" customWidth="1"/>
    <col min="4" max="4" width="15.83203125" customWidth="1"/>
    <col min="5" max="5" width="18.83203125" customWidth="1"/>
    <col min="6" max="6" width="18" customWidth="1"/>
    <col min="7" max="7" width="17.1640625" customWidth="1"/>
    <col min="8" max="8" width="18.1640625" customWidth="1"/>
    <col min="9" max="9" width="19" customWidth="1"/>
  </cols>
  <sheetData>
    <row r="1" spans="1:9" x14ac:dyDescent="0.15">
      <c r="A1" t="s">
        <v>1044</v>
      </c>
      <c r="C1" s="10">
        <f>+'Page 1 - FY2016-17'!B5</f>
        <v>0</v>
      </c>
      <c r="D1" t="s">
        <v>889</v>
      </c>
      <c r="E1" s="105">
        <f>+'Page 1 - FY2016-17'!F7</f>
        <v>0</v>
      </c>
      <c r="G1" s="37" t="s">
        <v>891</v>
      </c>
    </row>
    <row r="2" spans="1:9" x14ac:dyDescent="0.15">
      <c r="A2" s="15" t="s">
        <v>31</v>
      </c>
      <c r="B2" s="15"/>
    </row>
    <row r="3" spans="1:9" ht="31.5" x14ac:dyDescent="0.15">
      <c r="A3" s="155"/>
      <c r="B3" s="155"/>
      <c r="C3" s="155"/>
      <c r="D3" s="580" t="s">
        <v>1607</v>
      </c>
      <c r="E3" s="580" t="s">
        <v>1606</v>
      </c>
      <c r="F3" s="580" t="s">
        <v>1605</v>
      </c>
      <c r="G3" s="580" t="s">
        <v>1604</v>
      </c>
      <c r="H3" s="580" t="s">
        <v>1603</v>
      </c>
      <c r="I3" s="580" t="s">
        <v>1602</v>
      </c>
    </row>
    <row r="4" spans="1:9" ht="52.5" x14ac:dyDescent="0.15">
      <c r="A4" s="155"/>
      <c r="B4" s="155"/>
      <c r="C4" s="155"/>
      <c r="D4" s="424"/>
      <c r="E4" s="424"/>
      <c r="F4" s="424"/>
      <c r="G4" s="424"/>
      <c r="H4" s="713" t="s">
        <v>1541</v>
      </c>
      <c r="I4" s="715" t="s">
        <v>1516</v>
      </c>
    </row>
    <row r="5" spans="1:9" ht="11.25" thickBot="1" x14ac:dyDescent="0.2">
      <c r="A5" s="155"/>
      <c r="B5" s="155"/>
      <c r="C5" s="155"/>
      <c r="D5" s="163"/>
      <c r="E5" s="163"/>
      <c r="F5" s="163"/>
      <c r="G5" s="163"/>
      <c r="I5" s="6"/>
    </row>
    <row r="6" spans="1:9" ht="11.25" thickBot="1" x14ac:dyDescent="0.2">
      <c r="A6" s="34" t="s">
        <v>1132</v>
      </c>
      <c r="B6" s="34" t="s">
        <v>892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168">
        <f>SUM(G6+H6)</f>
        <v>0</v>
      </c>
    </row>
    <row r="7" spans="1:9" x14ac:dyDescent="0.15">
      <c r="A7" s="35" t="s">
        <v>895</v>
      </c>
      <c r="C7" s="206" t="s">
        <v>1133</v>
      </c>
      <c r="E7" s="5"/>
      <c r="F7" s="5"/>
      <c r="G7" s="5"/>
      <c r="I7" s="6"/>
    </row>
    <row r="8" spans="1:9" x14ac:dyDescent="0.15">
      <c r="A8" s="107" t="s">
        <v>1022</v>
      </c>
      <c r="B8" s="207" t="s">
        <v>560</v>
      </c>
      <c r="C8" t="s">
        <v>1023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92">
        <f>SUM(G8+H8)</f>
        <v>0</v>
      </c>
    </row>
    <row r="9" spans="1:9" x14ac:dyDescent="0.15">
      <c r="A9" s="107" t="s">
        <v>905</v>
      </c>
      <c r="B9" s="207" t="s">
        <v>561</v>
      </c>
      <c r="C9" s="1" t="s">
        <v>1332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2">
        <f t="shared" ref="I9:I17" si="0">SUM(G9+H9)</f>
        <v>0</v>
      </c>
    </row>
    <row r="10" spans="1:9" x14ac:dyDescent="0.15">
      <c r="A10" s="185" t="s">
        <v>1014</v>
      </c>
      <c r="B10" s="185" t="s">
        <v>562</v>
      </c>
      <c r="C10" t="s">
        <v>1016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2">
        <f t="shared" si="0"/>
        <v>0</v>
      </c>
    </row>
    <row r="11" spans="1:9" x14ac:dyDescent="0.15">
      <c r="A11" s="107" t="s">
        <v>1024</v>
      </c>
      <c r="B11" s="207" t="s">
        <v>625</v>
      </c>
      <c r="C11" s="1" t="s">
        <v>1025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2">
        <f t="shared" si="0"/>
        <v>0</v>
      </c>
    </row>
    <row r="12" spans="1:9" x14ac:dyDescent="0.15">
      <c r="A12" s="107" t="s">
        <v>1026</v>
      </c>
      <c r="B12" s="207" t="s">
        <v>626</v>
      </c>
      <c r="C12" s="1" t="s">
        <v>1030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92">
        <f t="shared" si="0"/>
        <v>0</v>
      </c>
    </row>
    <row r="13" spans="1:9" x14ac:dyDescent="0.15">
      <c r="A13" s="107" t="s">
        <v>1027</v>
      </c>
      <c r="B13" s="207" t="s">
        <v>627</v>
      </c>
      <c r="C13" s="1" t="s">
        <v>1031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92">
        <f t="shared" si="0"/>
        <v>0</v>
      </c>
    </row>
    <row r="14" spans="1:9" x14ac:dyDescent="0.15">
      <c r="A14" s="107" t="s">
        <v>1028</v>
      </c>
      <c r="B14" s="207" t="s">
        <v>628</v>
      </c>
      <c r="C14" s="1" t="s">
        <v>1563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92">
        <f t="shared" si="0"/>
        <v>0</v>
      </c>
    </row>
    <row r="15" spans="1:9" x14ac:dyDescent="0.15">
      <c r="A15" s="107" t="s">
        <v>1029</v>
      </c>
      <c r="B15" s="207" t="s">
        <v>629</v>
      </c>
      <c r="C15" s="1" t="s">
        <v>1562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92">
        <f t="shared" si="0"/>
        <v>0</v>
      </c>
    </row>
    <row r="16" spans="1:9" x14ac:dyDescent="0.15">
      <c r="A16" s="1" t="s">
        <v>1043</v>
      </c>
      <c r="B16" s="207" t="s">
        <v>637</v>
      </c>
      <c r="C16" s="2" t="s">
        <v>972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92">
        <f t="shared" si="0"/>
        <v>0</v>
      </c>
    </row>
    <row r="17" spans="1:9" x14ac:dyDescent="0.15">
      <c r="A17" s="185"/>
      <c r="B17" s="207" t="s">
        <v>641</v>
      </c>
      <c r="C17" s="1" t="s">
        <v>1149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92">
        <f t="shared" si="0"/>
        <v>0</v>
      </c>
    </row>
    <row r="18" spans="1:9" ht="11.25" thickBot="1" x14ac:dyDescent="0.2">
      <c r="D18" s="14"/>
      <c r="E18" s="14"/>
      <c r="F18" s="14"/>
      <c r="G18" s="14"/>
      <c r="I18" s="6"/>
    </row>
    <row r="19" spans="1:9" ht="12" thickTop="1" thickBot="1" x14ac:dyDescent="0.2">
      <c r="B19" s="207" t="s">
        <v>642</v>
      </c>
      <c r="C19" s="34" t="s">
        <v>571</v>
      </c>
      <c r="D19" s="41">
        <f t="shared" ref="D19:I19" si="1">SUM(D8:D18)</f>
        <v>0</v>
      </c>
      <c r="E19" s="41">
        <f t="shared" si="1"/>
        <v>0</v>
      </c>
      <c r="F19" s="41">
        <f t="shared" si="1"/>
        <v>0</v>
      </c>
      <c r="G19" s="41">
        <f t="shared" si="1"/>
        <v>0</v>
      </c>
      <c r="H19" s="41">
        <f t="shared" si="1"/>
        <v>0</v>
      </c>
      <c r="I19" s="41">
        <f t="shared" si="1"/>
        <v>0</v>
      </c>
    </row>
    <row r="20" spans="1:9" ht="12" thickTop="1" thickBot="1" x14ac:dyDescent="0.2">
      <c r="C20" s="1"/>
      <c r="D20" s="13"/>
      <c r="E20" s="13"/>
      <c r="F20" s="13"/>
      <c r="G20" s="13"/>
      <c r="I20" s="6"/>
    </row>
    <row r="21" spans="1:9" ht="11.25" thickBot="1" x14ac:dyDescent="0.2">
      <c r="A21" s="34" t="s">
        <v>578</v>
      </c>
      <c r="D21" s="43">
        <f t="shared" ref="D21:I21" si="2">D6+D19</f>
        <v>0</v>
      </c>
      <c r="E21" s="43">
        <f t="shared" si="2"/>
        <v>0</v>
      </c>
      <c r="F21" s="43">
        <f t="shared" si="2"/>
        <v>0</v>
      </c>
      <c r="G21" s="43">
        <f t="shared" si="2"/>
        <v>0</v>
      </c>
      <c r="H21" s="43">
        <f t="shared" si="2"/>
        <v>0</v>
      </c>
      <c r="I21" s="43">
        <f t="shared" si="2"/>
        <v>0</v>
      </c>
    </row>
    <row r="22" spans="1:9" x14ac:dyDescent="0.15">
      <c r="C22" s="39"/>
      <c r="I22" s="6"/>
    </row>
    <row r="23" spans="1:9" x14ac:dyDescent="0.15">
      <c r="A23" s="563" t="s">
        <v>290</v>
      </c>
      <c r="B23" s="413"/>
      <c r="C23" s="427" t="s">
        <v>286</v>
      </c>
      <c r="D23" s="412"/>
      <c r="E23" s="412"/>
      <c r="F23" s="412"/>
      <c r="G23" s="412"/>
      <c r="H23" s="412"/>
      <c r="I23" s="176"/>
    </row>
    <row r="24" spans="1:9" x14ac:dyDescent="0.15">
      <c r="A24" s="417" t="s">
        <v>1043</v>
      </c>
      <c r="B24" s="433" t="s">
        <v>992</v>
      </c>
      <c r="C24" s="2" t="s">
        <v>293</v>
      </c>
      <c r="D24" s="40">
        <v>0</v>
      </c>
      <c r="E24" s="40">
        <v>0</v>
      </c>
      <c r="F24" s="40">
        <v>0</v>
      </c>
      <c r="G24" s="40">
        <v>0</v>
      </c>
      <c r="H24" s="463">
        <v>0</v>
      </c>
      <c r="I24" s="464">
        <f>SUM(G24+H24)</f>
        <v>0</v>
      </c>
    </row>
    <row r="25" spans="1:9" x14ac:dyDescent="0.15">
      <c r="A25" s="417"/>
      <c r="B25" s="433"/>
      <c r="C25" s="2"/>
      <c r="D25" s="14"/>
      <c r="E25" s="14"/>
      <c r="F25" s="14"/>
      <c r="G25" s="14"/>
      <c r="H25" s="301"/>
      <c r="I25" s="298"/>
    </row>
    <row r="26" spans="1:9" x14ac:dyDescent="0.15">
      <c r="C26" s="39"/>
      <c r="I26" s="6"/>
    </row>
    <row r="27" spans="1:9" x14ac:dyDescent="0.15">
      <c r="A27" s="35" t="s">
        <v>1135</v>
      </c>
      <c r="C27" s="206" t="s">
        <v>109</v>
      </c>
      <c r="D27" s="186"/>
      <c r="E27" s="186"/>
      <c r="F27" s="186"/>
      <c r="G27" s="186"/>
      <c r="I27" s="6"/>
    </row>
    <row r="28" spans="1:9" x14ac:dyDescent="0.15">
      <c r="A28" s="1" t="s">
        <v>1312</v>
      </c>
      <c r="B28" s="207" t="s">
        <v>638</v>
      </c>
      <c r="C28" s="114" t="s">
        <v>337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92">
        <f t="shared" ref="I28:I37" si="3">SUM(G28+H28)</f>
        <v>0</v>
      </c>
    </row>
    <row r="29" spans="1:9" x14ac:dyDescent="0.15">
      <c r="A29" s="1" t="s">
        <v>1313</v>
      </c>
      <c r="B29" s="207" t="s">
        <v>639</v>
      </c>
      <c r="C29" s="114" t="s">
        <v>342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92">
        <f t="shared" si="3"/>
        <v>0</v>
      </c>
    </row>
    <row r="30" spans="1:9" x14ac:dyDescent="0.15">
      <c r="A30" s="1" t="s">
        <v>1314</v>
      </c>
      <c r="B30" s="207" t="s">
        <v>644</v>
      </c>
      <c r="C30" s="1" t="s">
        <v>643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92">
        <f t="shared" si="3"/>
        <v>0</v>
      </c>
    </row>
    <row r="31" spans="1:9" x14ac:dyDescent="0.15">
      <c r="A31" s="1" t="s">
        <v>1315</v>
      </c>
      <c r="B31" s="207" t="s">
        <v>645</v>
      </c>
      <c r="C31" s="1" t="s">
        <v>1059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92">
        <f t="shared" si="3"/>
        <v>0</v>
      </c>
    </row>
    <row r="32" spans="1:9" x14ac:dyDescent="0.15">
      <c r="A32" s="1" t="s">
        <v>1316</v>
      </c>
      <c r="B32" s="207" t="s">
        <v>646</v>
      </c>
      <c r="C32" s="1" t="s">
        <v>1064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92">
        <f t="shared" si="3"/>
        <v>0</v>
      </c>
    </row>
    <row r="33" spans="1:9" x14ac:dyDescent="0.15">
      <c r="A33" s="1" t="s">
        <v>1317</v>
      </c>
      <c r="B33" s="207" t="s">
        <v>647</v>
      </c>
      <c r="C33" s="1" t="s">
        <v>1096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92">
        <f t="shared" si="3"/>
        <v>0</v>
      </c>
    </row>
    <row r="34" spans="1:9" x14ac:dyDescent="0.15">
      <c r="A34" s="107" t="s">
        <v>1020</v>
      </c>
      <c r="B34" s="207" t="s">
        <v>648</v>
      </c>
      <c r="C34" s="1" t="s">
        <v>1021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92">
        <f t="shared" si="3"/>
        <v>0</v>
      </c>
    </row>
    <row r="35" spans="1:9" x14ac:dyDescent="0.15">
      <c r="A35" s="1" t="s">
        <v>113</v>
      </c>
      <c r="B35" s="207" t="s">
        <v>649</v>
      </c>
      <c r="C35" s="1" t="s">
        <v>1111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92">
        <f t="shared" si="3"/>
        <v>0</v>
      </c>
    </row>
    <row r="36" spans="1:9" x14ac:dyDescent="0.15">
      <c r="A36" s="149"/>
      <c r="B36" s="149"/>
      <c r="C36" s="568" t="s">
        <v>993</v>
      </c>
      <c r="D36" s="459">
        <f t="shared" ref="D36:I36" si="4">+D24</f>
        <v>0</v>
      </c>
      <c r="E36" s="459">
        <f t="shared" si="4"/>
        <v>0</v>
      </c>
      <c r="F36" s="459">
        <f t="shared" si="4"/>
        <v>0</v>
      </c>
      <c r="G36" s="459">
        <f t="shared" si="4"/>
        <v>0</v>
      </c>
      <c r="H36" s="459">
        <f t="shared" si="4"/>
        <v>0</v>
      </c>
      <c r="I36" s="459">
        <f t="shared" si="4"/>
        <v>0</v>
      </c>
    </row>
    <row r="37" spans="1:9" x14ac:dyDescent="0.15">
      <c r="A37" s="1" t="s">
        <v>656</v>
      </c>
      <c r="B37" s="207" t="s">
        <v>650</v>
      </c>
      <c r="C37" s="1" t="s">
        <v>815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92">
        <f t="shared" si="3"/>
        <v>0</v>
      </c>
    </row>
    <row r="38" spans="1:9" ht="11.25" thickBot="1" x14ac:dyDescent="0.2">
      <c r="D38" s="5"/>
      <c r="E38" s="5"/>
      <c r="F38" s="5"/>
      <c r="G38" s="5"/>
      <c r="I38" s="6"/>
    </row>
    <row r="39" spans="1:9" ht="12" thickTop="1" thickBot="1" x14ac:dyDescent="0.2">
      <c r="A39" s="1"/>
      <c r="B39" s="207" t="s">
        <v>651</v>
      </c>
      <c r="C39" s="34" t="s">
        <v>1019</v>
      </c>
      <c r="D39" s="41">
        <f t="shared" ref="D39:I39" si="5">SUM(D28:D37)</f>
        <v>0</v>
      </c>
      <c r="E39" s="41">
        <f t="shared" si="5"/>
        <v>0</v>
      </c>
      <c r="F39" s="41">
        <f t="shared" si="5"/>
        <v>0</v>
      </c>
      <c r="G39" s="41">
        <f t="shared" si="5"/>
        <v>0</v>
      </c>
      <c r="H39" s="41">
        <f t="shared" si="5"/>
        <v>0</v>
      </c>
      <c r="I39" s="41">
        <f t="shared" si="5"/>
        <v>0</v>
      </c>
    </row>
    <row r="40" spans="1:9" ht="11.25" thickTop="1" x14ac:dyDescent="0.15">
      <c r="I40" s="6"/>
    </row>
    <row r="41" spans="1:9" x14ac:dyDescent="0.15">
      <c r="A41" s="152" t="s">
        <v>1048</v>
      </c>
      <c r="C41" s="206" t="s">
        <v>211</v>
      </c>
      <c r="D41" s="156"/>
      <c r="E41" s="156"/>
      <c r="F41" s="156"/>
      <c r="G41" s="156"/>
      <c r="I41" s="6"/>
    </row>
    <row r="42" spans="1:9" x14ac:dyDescent="0.15">
      <c r="A42" s="486" t="s">
        <v>827</v>
      </c>
      <c r="B42" s="441" t="s">
        <v>652</v>
      </c>
      <c r="C42" s="135" t="s">
        <v>821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92">
        <f>SUM(G42+H42)</f>
        <v>0</v>
      </c>
    </row>
    <row r="43" spans="1:9" x14ac:dyDescent="0.15">
      <c r="A43" s="627" t="s">
        <v>1394</v>
      </c>
      <c r="B43" s="441" t="s">
        <v>657</v>
      </c>
      <c r="C43" s="135" t="s">
        <v>822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92">
        <f>SUM(G43+H43)</f>
        <v>0</v>
      </c>
    </row>
    <row r="44" spans="1:9" x14ac:dyDescent="0.15">
      <c r="A44" s="627" t="s">
        <v>1395</v>
      </c>
      <c r="B44" s="441" t="s">
        <v>658</v>
      </c>
      <c r="C44" s="135" t="s">
        <v>823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92">
        <f>SUM(G44+H44)</f>
        <v>0</v>
      </c>
    </row>
    <row r="45" spans="1:9" ht="11.25" customHeight="1" x14ac:dyDescent="0.15">
      <c r="A45" s="627" t="s">
        <v>1396</v>
      </c>
      <c r="B45" s="441" t="s">
        <v>659</v>
      </c>
      <c r="C45" s="625" t="s">
        <v>1397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92">
        <f>SUM(G45+H45)</f>
        <v>0</v>
      </c>
    </row>
    <row r="46" spans="1:9" ht="11.25" thickBot="1" x14ac:dyDescent="0.2">
      <c r="A46" s="486" t="s">
        <v>831</v>
      </c>
      <c r="B46" s="441" t="s">
        <v>660</v>
      </c>
      <c r="C46" s="135" t="s">
        <v>825</v>
      </c>
      <c r="D46" s="147">
        <v>0</v>
      </c>
      <c r="E46" s="147">
        <v>0</v>
      </c>
      <c r="F46" s="147">
        <v>0</v>
      </c>
      <c r="G46" s="147">
        <v>0</v>
      </c>
      <c r="H46" s="40">
        <v>0</v>
      </c>
      <c r="I46" s="492">
        <f>SUM(G46+H46)</f>
        <v>0</v>
      </c>
    </row>
    <row r="47" spans="1:9" ht="12" thickTop="1" thickBot="1" x14ac:dyDescent="0.2">
      <c r="A47" s="146"/>
      <c r="B47" s="157" t="s">
        <v>662</v>
      </c>
      <c r="C47" s="114" t="s">
        <v>202</v>
      </c>
      <c r="D47" s="148">
        <f t="shared" ref="D47:I47" si="6">SUM(D42:D46)</f>
        <v>0</v>
      </c>
      <c r="E47" s="148">
        <f t="shared" si="6"/>
        <v>0</v>
      </c>
      <c r="F47" s="148">
        <f t="shared" si="6"/>
        <v>0</v>
      </c>
      <c r="G47" s="148">
        <f t="shared" si="6"/>
        <v>0</v>
      </c>
      <c r="H47" s="148">
        <f t="shared" si="6"/>
        <v>0</v>
      </c>
      <c r="I47" s="166">
        <f t="shared" si="6"/>
        <v>0</v>
      </c>
    </row>
    <row r="48" spans="1:9" ht="12" thickTop="1" thickBot="1" x14ac:dyDescent="0.2">
      <c r="A48" s="146"/>
      <c r="B48" s="155"/>
      <c r="C48" s="114"/>
      <c r="D48" s="156"/>
      <c r="E48" s="156"/>
      <c r="F48" s="156"/>
      <c r="G48" s="156"/>
      <c r="I48" s="6"/>
    </row>
    <row r="49" spans="1:9" ht="11.25" thickBot="1" x14ac:dyDescent="0.2">
      <c r="A49" s="728" t="s">
        <v>580</v>
      </c>
      <c r="B49" s="728"/>
      <c r="C49" s="729"/>
      <c r="D49" s="208">
        <f t="shared" ref="D49:I49" si="7">D39+D47</f>
        <v>0</v>
      </c>
      <c r="E49" s="208">
        <f t="shared" si="7"/>
        <v>0</v>
      </c>
      <c r="F49" s="208">
        <f t="shared" si="7"/>
        <v>0</v>
      </c>
      <c r="G49" s="208">
        <f t="shared" si="7"/>
        <v>0</v>
      </c>
      <c r="H49" s="208">
        <f t="shared" si="7"/>
        <v>0</v>
      </c>
      <c r="I49" s="208">
        <f t="shared" si="7"/>
        <v>0</v>
      </c>
    </row>
    <row r="50" spans="1:9" x14ac:dyDescent="0.15">
      <c r="A50" s="146"/>
      <c r="B50" s="155"/>
      <c r="C50" s="114" t="s">
        <v>203</v>
      </c>
      <c r="D50" s="156"/>
      <c r="E50" s="156"/>
      <c r="F50" s="156"/>
      <c r="G50" s="156"/>
      <c r="I50" s="6"/>
    </row>
    <row r="51" spans="1:9" ht="11.25" thickBot="1" x14ac:dyDescent="0.2">
      <c r="A51" s="146"/>
      <c r="B51" s="155"/>
      <c r="C51" s="114"/>
      <c r="D51" s="156"/>
      <c r="E51" s="156"/>
      <c r="F51" s="156"/>
      <c r="G51" s="156"/>
      <c r="I51" s="6"/>
    </row>
    <row r="52" spans="1:9" ht="12" thickTop="1" thickBot="1" x14ac:dyDescent="0.2">
      <c r="A52" s="155"/>
      <c r="B52" s="155"/>
      <c r="C52" s="169" t="s">
        <v>204</v>
      </c>
      <c r="D52" s="170">
        <f t="shared" ref="D52:I52" si="8">D21</f>
        <v>0</v>
      </c>
      <c r="E52" s="170">
        <f t="shared" si="8"/>
        <v>0</v>
      </c>
      <c r="F52" s="170">
        <f t="shared" si="8"/>
        <v>0</v>
      </c>
      <c r="G52" s="170">
        <f t="shared" si="8"/>
        <v>0</v>
      </c>
      <c r="H52" s="170">
        <f t="shared" si="8"/>
        <v>0</v>
      </c>
      <c r="I52" s="170">
        <f t="shared" si="8"/>
        <v>0</v>
      </c>
    </row>
    <row r="53" spans="1:9" ht="11.25" thickTop="1" x14ac:dyDescent="0.15">
      <c r="A53" s="155"/>
      <c r="B53" s="155"/>
      <c r="C53" s="155"/>
      <c r="D53" s="155"/>
      <c r="E53" s="155"/>
      <c r="F53" s="155"/>
      <c r="G53" s="155"/>
      <c r="I53" s="6"/>
    </row>
    <row r="54" spans="1:9" x14ac:dyDescent="0.15">
      <c r="A54" s="155"/>
      <c r="B54" s="155"/>
      <c r="C54" s="169" t="s">
        <v>205</v>
      </c>
      <c r="D54" s="155">
        <f t="shared" ref="D54:I54" si="9">D49-D52</f>
        <v>0</v>
      </c>
      <c r="E54" s="155">
        <f t="shared" si="9"/>
        <v>0</v>
      </c>
      <c r="F54" s="155">
        <f t="shared" si="9"/>
        <v>0</v>
      </c>
      <c r="G54" s="155">
        <f t="shared" si="9"/>
        <v>0</v>
      </c>
      <c r="H54" s="155">
        <f t="shared" si="9"/>
        <v>0</v>
      </c>
      <c r="I54" s="164">
        <f t="shared" si="9"/>
        <v>0</v>
      </c>
    </row>
    <row r="55" spans="1:9" x14ac:dyDescent="0.15">
      <c r="I55" s="6"/>
    </row>
  </sheetData>
  <sheetProtection password="CB03" sheet="1" objects="1" scenarios="1" formatCells="0" formatColumns="0" formatRows="0"/>
  <mergeCells count="1">
    <mergeCell ref="A49:C49"/>
  </mergeCells>
  <phoneticPr fontId="15" type="noConversion"/>
  <pageMargins left="0.5" right="0.5" top="0.75" bottom="0.75" header="0.5" footer="0.5"/>
  <pageSetup scale="63" firstPageNumber="45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I65"/>
  <sheetViews>
    <sheetView workbookViewId="0">
      <selection activeCell="A2" sqref="A2"/>
    </sheetView>
  </sheetViews>
  <sheetFormatPr defaultColWidth="12" defaultRowHeight="10.5" x14ac:dyDescent="0.15"/>
  <cols>
    <col min="1" max="1" width="10.83203125" customWidth="1"/>
    <col min="2" max="2" width="5" customWidth="1"/>
    <col min="3" max="3" width="70.83203125" customWidth="1"/>
    <col min="4" max="4" width="15.83203125" customWidth="1"/>
    <col min="5" max="5" width="17.6640625" customWidth="1"/>
    <col min="6" max="6" width="18.83203125" customWidth="1"/>
    <col min="7" max="7" width="15.83203125" customWidth="1"/>
    <col min="8" max="8" width="16.83203125" customWidth="1"/>
    <col min="9" max="9" width="15" customWidth="1"/>
  </cols>
  <sheetData>
    <row r="1" spans="1:9" x14ac:dyDescent="0.15">
      <c r="A1" t="s">
        <v>1044</v>
      </c>
      <c r="C1" s="10">
        <f>+'Page 1 - FY2016-17'!B5</f>
        <v>0</v>
      </c>
      <c r="D1" t="s">
        <v>889</v>
      </c>
      <c r="E1" s="105">
        <f>+'Page 1 - FY2016-17'!F7</f>
        <v>0</v>
      </c>
      <c r="F1" s="12"/>
      <c r="G1" s="37" t="s">
        <v>891</v>
      </c>
    </row>
    <row r="2" spans="1:9" x14ac:dyDescent="0.15">
      <c r="A2" s="15" t="s">
        <v>215</v>
      </c>
    </row>
    <row r="3" spans="1:9" ht="31.5" x14ac:dyDescent="0.15">
      <c r="A3" s="155"/>
      <c r="B3" s="155"/>
      <c r="C3" s="155"/>
      <c r="D3" s="580" t="s">
        <v>1607</v>
      </c>
      <c r="E3" s="580" t="s">
        <v>1606</v>
      </c>
      <c r="F3" s="580" t="s">
        <v>1605</v>
      </c>
      <c r="G3" s="580" t="s">
        <v>1604</v>
      </c>
      <c r="H3" s="580" t="s">
        <v>1603</v>
      </c>
      <c r="I3" s="580" t="s">
        <v>1602</v>
      </c>
    </row>
    <row r="4" spans="1:9" ht="63" x14ac:dyDescent="0.15">
      <c r="A4" s="155"/>
      <c r="B4" s="155"/>
      <c r="C4" s="155"/>
      <c r="D4" s="424"/>
      <c r="E4" s="424"/>
      <c r="F4" s="424"/>
      <c r="G4" s="424"/>
      <c r="H4" s="713" t="s">
        <v>1541</v>
      </c>
      <c r="I4" s="715" t="s">
        <v>1516</v>
      </c>
    </row>
    <row r="5" spans="1:9" ht="11.25" thickBot="1" x14ac:dyDescent="0.2">
      <c r="A5" s="155"/>
      <c r="B5" s="155"/>
      <c r="C5" s="155"/>
      <c r="D5" s="163"/>
      <c r="E5" s="163"/>
      <c r="F5" s="163"/>
      <c r="G5" s="163"/>
      <c r="I5" s="6"/>
    </row>
    <row r="6" spans="1:9" ht="11.25" thickBot="1" x14ac:dyDescent="0.2">
      <c r="A6" s="34" t="s">
        <v>1132</v>
      </c>
      <c r="C6" s="34" t="s">
        <v>216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168">
        <f>SUM(G6+H6)</f>
        <v>0</v>
      </c>
    </row>
    <row r="7" spans="1:9" x14ac:dyDescent="0.15">
      <c r="A7" s="35" t="s">
        <v>895</v>
      </c>
      <c r="C7" s="206" t="s">
        <v>1133</v>
      </c>
      <c r="D7" s="5"/>
      <c r="E7" s="5"/>
      <c r="F7" s="5"/>
      <c r="I7" s="6"/>
    </row>
    <row r="8" spans="1:9" x14ac:dyDescent="0.15">
      <c r="A8" s="1" t="s">
        <v>905</v>
      </c>
      <c r="B8" s="207" t="s">
        <v>560</v>
      </c>
      <c r="C8" s="1" t="s">
        <v>1332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92">
        <f>SUM(G8+H8)</f>
        <v>0</v>
      </c>
    </row>
    <row r="9" spans="1:9" x14ac:dyDescent="0.15">
      <c r="A9" s="107" t="s">
        <v>1051</v>
      </c>
      <c r="B9" s="207" t="s">
        <v>561</v>
      </c>
      <c r="C9" s="1" t="s">
        <v>199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2">
        <f>SUM(G9+H9)</f>
        <v>0</v>
      </c>
    </row>
    <row r="10" spans="1:9" x14ac:dyDescent="0.15">
      <c r="A10" s="107" t="s">
        <v>22</v>
      </c>
      <c r="B10" s="207" t="s">
        <v>562</v>
      </c>
      <c r="C10" s="1" t="s">
        <v>23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2">
        <f>SUM(G10+H10)</f>
        <v>0</v>
      </c>
    </row>
    <row r="11" spans="1:9" x14ac:dyDescent="0.15">
      <c r="A11" s="1" t="s">
        <v>1043</v>
      </c>
      <c r="B11" s="207" t="s">
        <v>625</v>
      </c>
      <c r="C11" s="2" t="s">
        <v>972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2">
        <f>SUM(G11+H11)</f>
        <v>0</v>
      </c>
    </row>
    <row r="12" spans="1:9" x14ac:dyDescent="0.15">
      <c r="A12" s="1"/>
      <c r="B12" s="207" t="s">
        <v>626</v>
      </c>
      <c r="C12" s="1" t="s">
        <v>1152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92">
        <f>SUM(G12+H12)</f>
        <v>0</v>
      </c>
    </row>
    <row r="13" spans="1:9" ht="11.25" thickBot="1" x14ac:dyDescent="0.2">
      <c r="B13" s="207"/>
      <c r="C13" s="1"/>
      <c r="D13" s="14"/>
      <c r="E13" s="5"/>
      <c r="F13" s="5"/>
      <c r="I13" s="6"/>
    </row>
    <row r="14" spans="1:9" ht="12" thickTop="1" thickBot="1" x14ac:dyDescent="0.2">
      <c r="B14" s="207" t="s">
        <v>627</v>
      </c>
      <c r="C14" s="34" t="s">
        <v>592</v>
      </c>
      <c r="D14" s="41">
        <f t="shared" ref="D14:I14" si="0">SUM(D8:D13)</f>
        <v>0</v>
      </c>
      <c r="E14" s="41">
        <f t="shared" si="0"/>
        <v>0</v>
      </c>
      <c r="F14" s="41">
        <f t="shared" si="0"/>
        <v>0</v>
      </c>
      <c r="G14" s="41">
        <f t="shared" si="0"/>
        <v>0</v>
      </c>
      <c r="H14" s="41">
        <f t="shared" si="0"/>
        <v>0</v>
      </c>
      <c r="I14" s="41">
        <f t="shared" si="0"/>
        <v>0</v>
      </c>
    </row>
    <row r="15" spans="1:9" ht="12" thickTop="1" thickBot="1" x14ac:dyDescent="0.2">
      <c r="C15" s="1"/>
      <c r="D15" s="5"/>
      <c r="E15" s="13"/>
      <c r="F15" s="5"/>
      <c r="I15" s="6"/>
    </row>
    <row r="16" spans="1:9" ht="11.25" thickBot="1" x14ac:dyDescent="0.2">
      <c r="B16" s="34" t="s">
        <v>593</v>
      </c>
      <c r="D16" s="43">
        <f t="shared" ref="D16:I16" si="1">D6+D14</f>
        <v>0</v>
      </c>
      <c r="E16" s="43">
        <f t="shared" si="1"/>
        <v>0</v>
      </c>
      <c r="F16" s="43">
        <f t="shared" si="1"/>
        <v>0</v>
      </c>
      <c r="G16" s="43">
        <f t="shared" si="1"/>
        <v>0</v>
      </c>
      <c r="H16" s="43">
        <f t="shared" si="1"/>
        <v>0</v>
      </c>
      <c r="I16" s="43">
        <f t="shared" si="1"/>
        <v>0</v>
      </c>
    </row>
    <row r="17" spans="1:9" x14ac:dyDescent="0.15">
      <c r="D17" s="5"/>
      <c r="E17" s="5"/>
      <c r="F17" s="5"/>
      <c r="I17" s="6"/>
    </row>
    <row r="18" spans="1:9" x14ac:dyDescent="0.15">
      <c r="A18" s="563" t="s">
        <v>290</v>
      </c>
      <c r="B18" s="413"/>
      <c r="C18" s="427" t="s">
        <v>286</v>
      </c>
      <c r="D18" s="412"/>
      <c r="E18" s="412"/>
      <c r="F18" s="412"/>
      <c r="G18" s="412"/>
      <c r="H18" s="412"/>
      <c r="I18" s="176"/>
    </row>
    <row r="19" spans="1:9" s="155" customFormat="1" x14ac:dyDescent="0.15">
      <c r="A19" s="417" t="s">
        <v>1043</v>
      </c>
      <c r="B19" s="433" t="s">
        <v>335</v>
      </c>
      <c r="C19" s="2" t="s">
        <v>293</v>
      </c>
      <c r="D19" s="40">
        <v>0</v>
      </c>
      <c r="E19" s="40">
        <v>0</v>
      </c>
      <c r="F19" s="40">
        <v>0</v>
      </c>
      <c r="G19" s="40">
        <v>0</v>
      </c>
      <c r="H19" s="463">
        <v>0</v>
      </c>
      <c r="I19" s="464">
        <f>SUM(G19+H19)</f>
        <v>0</v>
      </c>
    </row>
    <row r="20" spans="1:9" s="155" customFormat="1" x14ac:dyDescent="0.15">
      <c r="A20" s="417"/>
      <c r="B20" s="433"/>
      <c r="C20" s="2"/>
      <c r="D20" s="14"/>
      <c r="E20" s="14"/>
      <c r="F20" s="14"/>
      <c r="G20" s="14"/>
      <c r="H20" s="301"/>
      <c r="I20" s="298"/>
    </row>
    <row r="21" spans="1:9" s="155" customFormat="1" x14ac:dyDescent="0.15">
      <c r="A21"/>
      <c r="B21"/>
      <c r="C21"/>
      <c r="D21" s="5"/>
      <c r="E21" s="5"/>
      <c r="F21" s="5"/>
      <c r="G21"/>
      <c r="H21"/>
      <c r="I21" s="6"/>
    </row>
    <row r="22" spans="1:9" s="155" customFormat="1" x14ac:dyDescent="0.15">
      <c r="A22" s="35" t="s">
        <v>1135</v>
      </c>
      <c r="C22" s="206" t="s">
        <v>1136</v>
      </c>
      <c r="D22" s="156"/>
      <c r="E22" s="156"/>
      <c r="F22" s="156"/>
      <c r="I22" s="164"/>
    </row>
    <row r="23" spans="1:9" s="155" customFormat="1" x14ac:dyDescent="0.15">
      <c r="A23" s="35"/>
      <c r="C23" s="155" t="s">
        <v>591</v>
      </c>
      <c r="D23" s="156"/>
      <c r="E23" s="156"/>
      <c r="F23" s="156"/>
      <c r="I23" s="164"/>
    </row>
    <row r="24" spans="1:9" s="155" customFormat="1" x14ac:dyDescent="0.15">
      <c r="A24" s="114" t="s">
        <v>1312</v>
      </c>
      <c r="B24" s="157" t="s">
        <v>628</v>
      </c>
      <c r="C24" s="114" t="s">
        <v>337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92">
        <f t="shared" ref="I24:I32" si="2">SUM(G24+H24)</f>
        <v>0</v>
      </c>
    </row>
    <row r="25" spans="1:9" s="155" customFormat="1" x14ac:dyDescent="0.15">
      <c r="A25" s="114" t="s">
        <v>1313</v>
      </c>
      <c r="B25" s="171" t="s">
        <v>629</v>
      </c>
      <c r="C25" s="114" t="s">
        <v>342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92">
        <f t="shared" si="2"/>
        <v>0</v>
      </c>
    </row>
    <row r="26" spans="1:9" s="155" customFormat="1" x14ac:dyDescent="0.15">
      <c r="A26" s="114" t="s">
        <v>1314</v>
      </c>
      <c r="B26" s="171" t="s">
        <v>637</v>
      </c>
      <c r="C26" s="114" t="s">
        <v>643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92">
        <f t="shared" si="2"/>
        <v>0</v>
      </c>
    </row>
    <row r="27" spans="1:9" s="155" customFormat="1" x14ac:dyDescent="0.15">
      <c r="A27" s="114" t="s">
        <v>1315</v>
      </c>
      <c r="B27" s="171" t="s">
        <v>641</v>
      </c>
      <c r="C27" s="114" t="s">
        <v>1059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92">
        <f t="shared" si="2"/>
        <v>0</v>
      </c>
    </row>
    <row r="28" spans="1:9" s="155" customFormat="1" x14ac:dyDescent="0.15">
      <c r="A28" s="114" t="s">
        <v>1316</v>
      </c>
      <c r="B28" s="171" t="s">
        <v>642</v>
      </c>
      <c r="C28" s="114" t="s">
        <v>1064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92">
        <f t="shared" si="2"/>
        <v>0</v>
      </c>
    </row>
    <row r="29" spans="1:9" s="155" customFormat="1" x14ac:dyDescent="0.15">
      <c r="A29" s="114" t="s">
        <v>1317</v>
      </c>
      <c r="B29" s="171" t="s">
        <v>638</v>
      </c>
      <c r="C29" s="114" t="s">
        <v>1096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92">
        <f t="shared" si="2"/>
        <v>0</v>
      </c>
    </row>
    <row r="30" spans="1:9" s="155" customFormat="1" x14ac:dyDescent="0.15">
      <c r="A30" s="107" t="s">
        <v>1020</v>
      </c>
      <c r="B30" s="171" t="s">
        <v>639</v>
      </c>
      <c r="C30" s="1" t="s">
        <v>1021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92">
        <f t="shared" si="2"/>
        <v>0</v>
      </c>
    </row>
    <row r="31" spans="1:9" s="155" customFormat="1" x14ac:dyDescent="0.15">
      <c r="A31" s="107" t="s">
        <v>113</v>
      </c>
      <c r="B31" s="171" t="s">
        <v>644</v>
      </c>
      <c r="C31" s="1" t="s">
        <v>1111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92">
        <f t="shared" si="2"/>
        <v>0</v>
      </c>
    </row>
    <row r="32" spans="1:9" s="155" customFormat="1" x14ac:dyDescent="0.15">
      <c r="A32" s="114" t="s">
        <v>1318</v>
      </c>
      <c r="B32" s="171" t="s">
        <v>645</v>
      </c>
      <c r="C32" s="114" t="s">
        <v>877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92">
        <f t="shared" si="2"/>
        <v>0</v>
      </c>
    </row>
    <row r="33" spans="1:9" s="155" customFormat="1" ht="11.25" thickBot="1" x14ac:dyDescent="0.2">
      <c r="A33" s="114"/>
      <c r="C33" s="114"/>
      <c r="D33" s="14"/>
      <c r="E33" s="156"/>
      <c r="F33" s="156"/>
      <c r="I33" s="164"/>
    </row>
    <row r="34" spans="1:9" s="155" customFormat="1" ht="12" thickTop="1" thickBot="1" x14ac:dyDescent="0.2">
      <c r="B34" s="171" t="s">
        <v>646</v>
      </c>
      <c r="C34" s="114" t="s">
        <v>594</v>
      </c>
      <c r="D34" s="166">
        <f t="shared" ref="D34:I34" si="3">SUM(D24:D32)</f>
        <v>0</v>
      </c>
      <c r="E34" s="166">
        <f t="shared" si="3"/>
        <v>0</v>
      </c>
      <c r="F34" s="166">
        <f t="shared" si="3"/>
        <v>0</v>
      </c>
      <c r="G34" s="166">
        <f t="shared" si="3"/>
        <v>0</v>
      </c>
      <c r="H34" s="166">
        <f t="shared" si="3"/>
        <v>0</v>
      </c>
      <c r="I34" s="166">
        <f t="shared" si="3"/>
        <v>0</v>
      </c>
    </row>
    <row r="35" spans="1:9" s="155" customFormat="1" ht="11.25" thickTop="1" x14ac:dyDescent="0.15">
      <c r="A35" s="35"/>
      <c r="C35" s="39"/>
      <c r="D35" s="156"/>
      <c r="E35" s="156"/>
      <c r="F35" s="156"/>
      <c r="I35" s="164"/>
    </row>
    <row r="36" spans="1:9" s="155" customFormat="1" x14ac:dyDescent="0.15">
      <c r="A36" s="35"/>
      <c r="C36" s="169" t="s">
        <v>1153</v>
      </c>
      <c r="D36" s="156"/>
      <c r="E36" s="156"/>
      <c r="F36" s="156"/>
      <c r="I36" s="164"/>
    </row>
    <row r="37" spans="1:9" s="155" customFormat="1" x14ac:dyDescent="0.15">
      <c r="A37" s="114" t="s">
        <v>1312</v>
      </c>
      <c r="B37" s="157" t="s">
        <v>647</v>
      </c>
      <c r="C37" s="114" t="s">
        <v>337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92">
        <f t="shared" ref="I37:I46" si="4">SUM(G37+H37)</f>
        <v>0</v>
      </c>
    </row>
    <row r="38" spans="1:9" s="155" customFormat="1" x14ac:dyDescent="0.15">
      <c r="A38" s="114" t="s">
        <v>1313</v>
      </c>
      <c r="B38" s="171" t="s">
        <v>648</v>
      </c>
      <c r="C38" s="114" t="s">
        <v>342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92">
        <f t="shared" si="4"/>
        <v>0</v>
      </c>
    </row>
    <row r="39" spans="1:9" s="155" customFormat="1" x14ac:dyDescent="0.15">
      <c r="A39" s="114" t="s">
        <v>1314</v>
      </c>
      <c r="B39" s="171" t="s">
        <v>649</v>
      </c>
      <c r="C39" s="114" t="s">
        <v>643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92">
        <f t="shared" si="4"/>
        <v>0</v>
      </c>
    </row>
    <row r="40" spans="1:9" s="155" customFormat="1" x14ac:dyDescent="0.15">
      <c r="A40" s="114" t="s">
        <v>1315</v>
      </c>
      <c r="B40" s="171" t="s">
        <v>650</v>
      </c>
      <c r="C40" s="114" t="s">
        <v>1059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92">
        <f t="shared" si="4"/>
        <v>0</v>
      </c>
    </row>
    <row r="41" spans="1:9" s="155" customFormat="1" x14ac:dyDescent="0.15">
      <c r="A41" s="114" t="s">
        <v>1316</v>
      </c>
      <c r="B41" s="171" t="s">
        <v>651</v>
      </c>
      <c r="C41" s="114" t="s">
        <v>1064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92">
        <f t="shared" si="4"/>
        <v>0</v>
      </c>
    </row>
    <row r="42" spans="1:9" s="155" customFormat="1" x14ac:dyDescent="0.15">
      <c r="A42" s="114" t="s">
        <v>1317</v>
      </c>
      <c r="B42" s="171" t="s">
        <v>652</v>
      </c>
      <c r="C42" s="114" t="s">
        <v>1096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92">
        <f t="shared" si="4"/>
        <v>0</v>
      </c>
    </row>
    <row r="43" spans="1:9" s="155" customFormat="1" x14ac:dyDescent="0.15">
      <c r="A43" s="107" t="s">
        <v>1020</v>
      </c>
      <c r="B43" s="171" t="s">
        <v>657</v>
      </c>
      <c r="C43" s="1" t="s">
        <v>1021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92">
        <f t="shared" si="4"/>
        <v>0</v>
      </c>
    </row>
    <row r="44" spans="1:9" s="155" customFormat="1" x14ac:dyDescent="0.15">
      <c r="A44" s="107" t="s">
        <v>113</v>
      </c>
      <c r="B44" s="171" t="s">
        <v>658</v>
      </c>
      <c r="C44" s="1" t="s">
        <v>1111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92">
        <f t="shared" si="4"/>
        <v>0</v>
      </c>
    </row>
    <row r="45" spans="1:9" x14ac:dyDescent="0.15">
      <c r="A45" s="149"/>
      <c r="B45" s="149"/>
      <c r="C45" s="568" t="s">
        <v>336</v>
      </c>
      <c r="D45" s="459">
        <f t="shared" ref="D45:I45" si="5">+D19</f>
        <v>0</v>
      </c>
      <c r="E45" s="459">
        <f t="shared" si="5"/>
        <v>0</v>
      </c>
      <c r="F45" s="459">
        <f t="shared" si="5"/>
        <v>0</v>
      </c>
      <c r="G45" s="459">
        <f t="shared" si="5"/>
        <v>0</v>
      </c>
      <c r="H45" s="459">
        <f t="shared" si="5"/>
        <v>0</v>
      </c>
      <c r="I45" s="459">
        <f t="shared" si="5"/>
        <v>0</v>
      </c>
    </row>
    <row r="46" spans="1:9" s="155" customFormat="1" x14ac:dyDescent="0.15">
      <c r="A46" s="114" t="s">
        <v>1318</v>
      </c>
      <c r="B46" s="171" t="s">
        <v>659</v>
      </c>
      <c r="C46" s="114" t="s">
        <v>877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92">
        <f t="shared" si="4"/>
        <v>0</v>
      </c>
    </row>
    <row r="47" spans="1:9" ht="11.25" thickBot="1" x14ac:dyDescent="0.2">
      <c r="A47" s="114"/>
      <c r="B47" s="155"/>
      <c r="C47" s="114"/>
      <c r="D47" s="14"/>
      <c r="E47" s="156"/>
      <c r="F47" s="156"/>
      <c r="G47" s="155"/>
      <c r="H47" s="155"/>
      <c r="I47" s="164"/>
    </row>
    <row r="48" spans="1:9" ht="12" thickTop="1" thickBot="1" x14ac:dyDescent="0.2">
      <c r="A48" s="155"/>
      <c r="B48" s="171" t="s">
        <v>660</v>
      </c>
      <c r="C48" s="169" t="s">
        <v>595</v>
      </c>
      <c r="D48" s="166">
        <f t="shared" ref="D48:I48" si="6">SUM(D37:D46)</f>
        <v>0</v>
      </c>
      <c r="E48" s="166">
        <f t="shared" si="6"/>
        <v>0</v>
      </c>
      <c r="F48" s="166">
        <f t="shared" si="6"/>
        <v>0</v>
      </c>
      <c r="G48" s="166">
        <f t="shared" si="6"/>
        <v>0</v>
      </c>
      <c r="H48" s="166">
        <f t="shared" si="6"/>
        <v>0</v>
      </c>
      <c r="I48" s="166">
        <f t="shared" si="6"/>
        <v>0</v>
      </c>
    </row>
    <row r="49" spans="1:9" ht="12" thickTop="1" thickBot="1" x14ac:dyDescent="0.2">
      <c r="D49" s="5"/>
      <c r="E49" s="5"/>
      <c r="F49" s="5"/>
      <c r="I49" s="6"/>
    </row>
    <row r="50" spans="1:9" ht="12" thickTop="1" thickBot="1" x14ac:dyDescent="0.2">
      <c r="A50" s="155"/>
      <c r="B50" s="171" t="s">
        <v>662</v>
      </c>
      <c r="C50" s="34" t="s">
        <v>596</v>
      </c>
      <c r="D50" s="166">
        <f t="shared" ref="D50:I50" si="7">D34+D48</f>
        <v>0</v>
      </c>
      <c r="E50" s="166">
        <f t="shared" si="7"/>
        <v>0</v>
      </c>
      <c r="F50" s="166">
        <f t="shared" si="7"/>
        <v>0</v>
      </c>
      <c r="G50" s="166">
        <f t="shared" si="7"/>
        <v>0</v>
      </c>
      <c r="H50" s="166">
        <f t="shared" si="7"/>
        <v>0</v>
      </c>
      <c r="I50" s="166">
        <f t="shared" si="7"/>
        <v>0</v>
      </c>
    </row>
    <row r="51" spans="1:9" ht="11.25" thickTop="1" x14ac:dyDescent="0.15">
      <c r="D51" s="5"/>
      <c r="E51" s="5"/>
      <c r="F51" s="5"/>
      <c r="I51" s="6"/>
    </row>
    <row r="52" spans="1:9" x14ac:dyDescent="0.15">
      <c r="A52" s="152" t="s">
        <v>1048</v>
      </c>
      <c r="C52" s="206" t="s">
        <v>211</v>
      </c>
      <c r="D52" s="156"/>
      <c r="E52" s="156"/>
      <c r="F52" s="156"/>
      <c r="G52" s="156"/>
      <c r="I52" s="6"/>
    </row>
    <row r="53" spans="1:9" x14ac:dyDescent="0.15">
      <c r="A53" s="486" t="s">
        <v>827</v>
      </c>
      <c r="B53" s="633" t="s">
        <v>663</v>
      </c>
      <c r="C53" s="135" t="s">
        <v>821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92">
        <f>SUM(G53+H53)</f>
        <v>0</v>
      </c>
    </row>
    <row r="54" spans="1:9" x14ac:dyDescent="0.15">
      <c r="A54" s="627" t="s">
        <v>1395</v>
      </c>
      <c r="B54" s="633" t="s">
        <v>664</v>
      </c>
      <c r="C54" s="135" t="s">
        <v>823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92">
        <f>SUM(G54+H54)</f>
        <v>0</v>
      </c>
    </row>
    <row r="55" spans="1:9" ht="12" customHeight="1" x14ac:dyDescent="0.15">
      <c r="A55" s="627" t="s">
        <v>1396</v>
      </c>
      <c r="B55" s="633" t="s">
        <v>665</v>
      </c>
      <c r="C55" s="625" t="s">
        <v>1397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92">
        <f>SUM(G55+H55)</f>
        <v>0</v>
      </c>
    </row>
    <row r="56" spans="1:9" ht="11.25" thickBot="1" x14ac:dyDescent="0.2">
      <c r="A56" s="486" t="s">
        <v>831</v>
      </c>
      <c r="B56" s="633" t="s">
        <v>666</v>
      </c>
      <c r="C56" s="135" t="s">
        <v>825</v>
      </c>
      <c r="D56" s="147">
        <v>0</v>
      </c>
      <c r="E56" s="147">
        <v>0</v>
      </c>
      <c r="F56" s="147">
        <v>0</v>
      </c>
      <c r="G56" s="147">
        <v>0</v>
      </c>
      <c r="H56" s="40">
        <v>0</v>
      </c>
      <c r="I56" s="492">
        <f>SUM(G56+H56)</f>
        <v>0</v>
      </c>
    </row>
    <row r="57" spans="1:9" ht="12" thickTop="1" thickBot="1" x14ac:dyDescent="0.2">
      <c r="A57" s="146"/>
      <c r="B57" s="185" t="s">
        <v>667</v>
      </c>
      <c r="C57" s="114" t="s">
        <v>202</v>
      </c>
      <c r="D57" s="148">
        <f t="shared" ref="D57:I57" si="8">SUM(D53:D56)</f>
        <v>0</v>
      </c>
      <c r="E57" s="148">
        <f t="shared" si="8"/>
        <v>0</v>
      </c>
      <c r="F57" s="148">
        <f t="shared" si="8"/>
        <v>0</v>
      </c>
      <c r="G57" s="148">
        <f t="shared" si="8"/>
        <v>0</v>
      </c>
      <c r="H57" s="148">
        <f t="shared" si="8"/>
        <v>0</v>
      </c>
      <c r="I57" s="166">
        <f t="shared" si="8"/>
        <v>0</v>
      </c>
    </row>
    <row r="58" spans="1:9" ht="12" thickTop="1" thickBot="1" x14ac:dyDescent="0.2">
      <c r="A58" s="146"/>
      <c r="B58" s="155"/>
      <c r="C58" s="114"/>
      <c r="D58" s="156"/>
      <c r="E58" s="156"/>
      <c r="F58" s="156"/>
      <c r="G58" s="156"/>
      <c r="I58" s="6"/>
    </row>
    <row r="59" spans="1:9" ht="11.25" thickBot="1" x14ac:dyDescent="0.2">
      <c r="A59" s="728" t="s">
        <v>1423</v>
      </c>
      <c r="B59" s="728"/>
      <c r="C59" s="735"/>
      <c r="D59" s="208">
        <f t="shared" ref="D59:I59" si="9">D50+D57</f>
        <v>0</v>
      </c>
      <c r="E59" s="208">
        <f t="shared" si="9"/>
        <v>0</v>
      </c>
      <c r="F59" s="208">
        <f t="shared" si="9"/>
        <v>0</v>
      </c>
      <c r="G59" s="208">
        <f t="shared" si="9"/>
        <v>0</v>
      </c>
      <c r="H59" s="208">
        <f t="shared" si="9"/>
        <v>0</v>
      </c>
      <c r="I59" s="208">
        <f t="shared" si="9"/>
        <v>0</v>
      </c>
    </row>
    <row r="60" spans="1:9" x14ac:dyDescent="0.15">
      <c r="A60" s="146"/>
      <c r="B60" s="155"/>
      <c r="C60" s="114" t="s">
        <v>203</v>
      </c>
      <c r="D60" s="156"/>
      <c r="E60" s="156"/>
      <c r="F60" s="156"/>
      <c r="G60" s="156"/>
      <c r="I60" s="6"/>
    </row>
    <row r="61" spans="1:9" ht="11.25" thickBot="1" x14ac:dyDescent="0.2">
      <c r="A61" s="146"/>
      <c r="B61" s="155"/>
      <c r="C61" s="114"/>
      <c r="D61" s="156"/>
      <c r="E61" s="156"/>
      <c r="F61" s="156"/>
      <c r="G61" s="156"/>
      <c r="I61" s="6"/>
    </row>
    <row r="62" spans="1:9" ht="11.25" thickBot="1" x14ac:dyDescent="0.2">
      <c r="A62" s="155"/>
      <c r="B62" s="155"/>
      <c r="C62" s="169" t="s">
        <v>204</v>
      </c>
      <c r="D62" s="208">
        <f t="shared" ref="D62:I62" si="10">D16</f>
        <v>0</v>
      </c>
      <c r="E62" s="208">
        <f t="shared" si="10"/>
        <v>0</v>
      </c>
      <c r="F62" s="208">
        <f t="shared" si="10"/>
        <v>0</v>
      </c>
      <c r="G62" s="208">
        <f t="shared" si="10"/>
        <v>0</v>
      </c>
      <c r="H62" s="208">
        <f t="shared" si="10"/>
        <v>0</v>
      </c>
      <c r="I62" s="208">
        <f t="shared" si="10"/>
        <v>0</v>
      </c>
    </row>
    <row r="63" spans="1:9" x14ac:dyDescent="0.15">
      <c r="A63" s="155"/>
      <c r="B63" s="155"/>
      <c r="C63" s="155"/>
      <c r="D63" s="155"/>
      <c r="E63" s="155"/>
      <c r="F63" s="155"/>
      <c r="G63" s="155"/>
      <c r="I63" s="6"/>
    </row>
    <row r="64" spans="1:9" x14ac:dyDescent="0.15">
      <c r="A64" s="155"/>
      <c r="B64" s="155"/>
      <c r="C64" s="169" t="s">
        <v>205</v>
      </c>
      <c r="D64" s="155">
        <f t="shared" ref="D64:I64" si="11">D59-D62</f>
        <v>0</v>
      </c>
      <c r="E64" s="155">
        <f t="shared" si="11"/>
        <v>0</v>
      </c>
      <c r="F64" s="155">
        <f t="shared" si="11"/>
        <v>0</v>
      </c>
      <c r="G64" s="155">
        <f t="shared" si="11"/>
        <v>0</v>
      </c>
      <c r="H64" s="155">
        <f t="shared" si="11"/>
        <v>0</v>
      </c>
      <c r="I64" s="164">
        <f t="shared" si="11"/>
        <v>0</v>
      </c>
    </row>
    <row r="65" spans="9:9" x14ac:dyDescent="0.15">
      <c r="I65" s="6"/>
    </row>
  </sheetData>
  <sheetProtection password="CB03" sheet="1" objects="1" scenarios="1" formatCells="0" formatColumns="0" formatRows="0"/>
  <mergeCells count="1">
    <mergeCell ref="A59:C59"/>
  </mergeCells>
  <phoneticPr fontId="15" type="noConversion"/>
  <pageMargins left="0.5" right="0.5" top="0.75" bottom="0.75" header="0.5" footer="0.5"/>
  <pageSetup scale="65" firstPageNumber="46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127"/>
  <sheetViews>
    <sheetView zoomScaleNormal="100" workbookViewId="0">
      <pane ySplit="4" topLeftCell="A41" activePane="bottomLeft" state="frozen"/>
      <selection pane="bottomLeft" activeCell="A77" sqref="A77"/>
    </sheetView>
  </sheetViews>
  <sheetFormatPr defaultRowHeight="10.5" x14ac:dyDescent="0.15"/>
  <cols>
    <col min="1" max="1" width="10" style="423" customWidth="1"/>
    <col min="2" max="2" width="5" style="413" bestFit="1" customWidth="1"/>
    <col min="3" max="3" width="70.83203125" style="412" customWidth="1"/>
    <col min="4" max="4" width="15.83203125" style="412" customWidth="1"/>
    <col min="5" max="5" width="17.33203125" style="412" customWidth="1"/>
    <col min="6" max="6" width="17.1640625" style="412" customWidth="1"/>
    <col min="7" max="7" width="18.33203125" style="412" customWidth="1"/>
    <col min="8" max="9" width="18.83203125" style="412" customWidth="1"/>
    <col min="10" max="16384" width="9.33203125" style="412"/>
  </cols>
  <sheetData>
    <row r="1" spans="1:9" x14ac:dyDescent="0.15">
      <c r="A1" s="412" t="s">
        <v>1044</v>
      </c>
      <c r="C1" s="414">
        <f>+'Page 1 - FY2016-17'!B5</f>
        <v>0</v>
      </c>
      <c r="D1" s="135" t="s">
        <v>889</v>
      </c>
      <c r="E1" s="415">
        <f>+'Page 1 - FY2016-17'!F7</f>
        <v>0</v>
      </c>
      <c r="G1" s="418" t="s">
        <v>891</v>
      </c>
      <c r="I1" s="419"/>
    </row>
    <row r="2" spans="1:9" ht="15.75" x14ac:dyDescent="0.25">
      <c r="A2" s="420" t="s">
        <v>890</v>
      </c>
      <c r="B2" s="421"/>
      <c r="C2" s="422"/>
    </row>
    <row r="3" spans="1:9" ht="31.5" x14ac:dyDescent="0.15">
      <c r="D3" s="580" t="s">
        <v>1607</v>
      </c>
      <c r="E3" s="580" t="s">
        <v>1606</v>
      </c>
      <c r="F3" s="580" t="s">
        <v>1605</v>
      </c>
      <c r="G3" s="580" t="s">
        <v>1604</v>
      </c>
      <c r="H3" s="580" t="s">
        <v>1603</v>
      </c>
      <c r="I3" s="580" t="s">
        <v>1602</v>
      </c>
    </row>
    <row r="4" spans="1:9" ht="56.25" customHeight="1" thickBot="1" x14ac:dyDescent="0.2">
      <c r="D4" s="424"/>
      <c r="E4" s="424"/>
      <c r="F4" s="424"/>
      <c r="G4" s="424"/>
      <c r="H4" s="713" t="s">
        <v>1541</v>
      </c>
      <c r="I4" s="714" t="s">
        <v>1516</v>
      </c>
    </row>
    <row r="5" spans="1:9" ht="11.25" thickBot="1" x14ac:dyDescent="0.2">
      <c r="A5" s="425" t="s">
        <v>896</v>
      </c>
      <c r="B5" s="426" t="s">
        <v>892</v>
      </c>
      <c r="C5" s="427"/>
      <c r="D5" s="38">
        <v>0</v>
      </c>
      <c r="E5" s="38">
        <v>0</v>
      </c>
      <c r="F5" s="38">
        <v>0</v>
      </c>
      <c r="G5" s="293">
        <v>0</v>
      </c>
      <c r="H5" s="461">
        <v>0</v>
      </c>
      <c r="I5" s="315">
        <f>SUM(G5+H5)</f>
        <v>0</v>
      </c>
    </row>
    <row r="6" spans="1:9" x14ac:dyDescent="0.15">
      <c r="A6" s="428" t="s">
        <v>895</v>
      </c>
      <c r="B6" s="429" t="s">
        <v>897</v>
      </c>
      <c r="D6" s="430"/>
      <c r="E6" s="430"/>
      <c r="F6" s="430"/>
      <c r="G6" s="430"/>
      <c r="H6" s="430"/>
      <c r="I6" s="477"/>
    </row>
    <row r="7" spans="1:9" x14ac:dyDescent="0.15">
      <c r="A7" s="414" t="s">
        <v>898</v>
      </c>
      <c r="B7" s="431" t="s">
        <v>560</v>
      </c>
      <c r="C7" s="135" t="s">
        <v>1191</v>
      </c>
      <c r="D7" s="40">
        <v>0</v>
      </c>
      <c r="E7" s="40">
        <v>0</v>
      </c>
      <c r="F7" s="40">
        <v>0</v>
      </c>
      <c r="G7" s="40">
        <v>0</v>
      </c>
      <c r="H7" s="462">
        <v>0</v>
      </c>
      <c r="I7" s="465">
        <f t="shared" ref="I7:I44" si="0">SUM(G7+H7)</f>
        <v>0</v>
      </c>
    </row>
    <row r="8" spans="1:9" x14ac:dyDescent="0.15">
      <c r="A8" s="414" t="s">
        <v>899</v>
      </c>
      <c r="B8" s="431" t="s">
        <v>561</v>
      </c>
      <c r="C8" s="135" t="s">
        <v>1192</v>
      </c>
      <c r="D8" s="40">
        <v>0</v>
      </c>
      <c r="E8" s="40">
        <v>0</v>
      </c>
      <c r="F8" s="40">
        <v>0</v>
      </c>
      <c r="G8" s="40">
        <v>0</v>
      </c>
      <c r="H8" s="462">
        <v>0</v>
      </c>
      <c r="I8" s="465">
        <f t="shared" si="0"/>
        <v>0</v>
      </c>
    </row>
    <row r="9" spans="1:9" x14ac:dyDescent="0.15">
      <c r="A9" s="414" t="s">
        <v>900</v>
      </c>
      <c r="B9" s="431" t="s">
        <v>562</v>
      </c>
      <c r="C9" s="135" t="s">
        <v>1193</v>
      </c>
      <c r="D9" s="40">
        <v>0</v>
      </c>
      <c r="E9" s="40">
        <v>0</v>
      </c>
      <c r="F9" s="40">
        <v>0</v>
      </c>
      <c r="G9" s="40">
        <v>0</v>
      </c>
      <c r="H9" s="462">
        <v>0</v>
      </c>
      <c r="I9" s="465">
        <f t="shared" si="0"/>
        <v>0</v>
      </c>
    </row>
    <row r="10" spans="1:9" x14ac:dyDescent="0.15">
      <c r="A10" s="414" t="s">
        <v>901</v>
      </c>
      <c r="B10" s="431" t="s">
        <v>625</v>
      </c>
      <c r="C10" s="135" t="s">
        <v>48</v>
      </c>
      <c r="D10" s="40">
        <v>0</v>
      </c>
      <c r="E10" s="40">
        <v>0</v>
      </c>
      <c r="F10" s="40">
        <v>0</v>
      </c>
      <c r="G10" s="40">
        <v>0</v>
      </c>
      <c r="H10" s="462">
        <v>0</v>
      </c>
      <c r="I10" s="465">
        <f t="shared" si="0"/>
        <v>0</v>
      </c>
    </row>
    <row r="11" spans="1:9" x14ac:dyDescent="0.15">
      <c r="A11" s="414" t="s">
        <v>1190</v>
      </c>
      <c r="B11" s="431" t="s">
        <v>626</v>
      </c>
      <c r="C11" s="135" t="s">
        <v>49</v>
      </c>
      <c r="D11" s="40">
        <v>0</v>
      </c>
      <c r="E11" s="40">
        <v>0</v>
      </c>
      <c r="F11" s="40">
        <v>0</v>
      </c>
      <c r="G11" s="40">
        <v>0</v>
      </c>
      <c r="H11" s="462">
        <v>0</v>
      </c>
      <c r="I11" s="465">
        <f t="shared" si="0"/>
        <v>0</v>
      </c>
    </row>
    <row r="12" spans="1:9" x14ac:dyDescent="0.15">
      <c r="A12" s="414" t="s">
        <v>902</v>
      </c>
      <c r="B12" s="431" t="s">
        <v>627</v>
      </c>
      <c r="C12" s="135" t="s">
        <v>50</v>
      </c>
      <c r="D12" s="40">
        <v>0</v>
      </c>
      <c r="E12" s="40">
        <v>0</v>
      </c>
      <c r="F12" s="40">
        <v>0</v>
      </c>
      <c r="G12" s="40">
        <v>0</v>
      </c>
      <c r="H12" s="462">
        <v>0</v>
      </c>
      <c r="I12" s="465">
        <f t="shared" si="0"/>
        <v>0</v>
      </c>
    </row>
    <row r="13" spans="1:9" x14ac:dyDescent="0.15">
      <c r="A13" s="414" t="s">
        <v>903</v>
      </c>
      <c r="B13" s="431" t="s">
        <v>628</v>
      </c>
      <c r="C13" s="135" t="s">
        <v>51</v>
      </c>
      <c r="D13" s="40">
        <v>0</v>
      </c>
      <c r="E13" s="40">
        <v>0</v>
      </c>
      <c r="F13" s="40">
        <v>0</v>
      </c>
      <c r="G13" s="40">
        <v>0</v>
      </c>
      <c r="H13" s="462">
        <v>0</v>
      </c>
      <c r="I13" s="465">
        <f t="shared" si="0"/>
        <v>0</v>
      </c>
    </row>
    <row r="14" spans="1:9" x14ac:dyDescent="0.15">
      <c r="A14" s="414" t="s">
        <v>82</v>
      </c>
      <c r="B14" s="431" t="s">
        <v>629</v>
      </c>
      <c r="C14" s="135" t="s">
        <v>87</v>
      </c>
      <c r="D14" s="40">
        <v>0</v>
      </c>
      <c r="E14" s="40">
        <v>0</v>
      </c>
      <c r="F14" s="40">
        <v>0</v>
      </c>
      <c r="G14" s="40">
        <v>0</v>
      </c>
      <c r="H14" s="462">
        <v>0</v>
      </c>
      <c r="I14" s="465">
        <f t="shared" si="0"/>
        <v>0</v>
      </c>
    </row>
    <row r="15" spans="1:9" x14ac:dyDescent="0.15">
      <c r="A15" s="414" t="s">
        <v>83</v>
      </c>
      <c r="B15" s="431" t="s">
        <v>637</v>
      </c>
      <c r="C15" s="135" t="s">
        <v>96</v>
      </c>
      <c r="D15" s="40">
        <v>0</v>
      </c>
      <c r="E15" s="40">
        <v>0</v>
      </c>
      <c r="F15" s="40">
        <v>0</v>
      </c>
      <c r="G15" s="40">
        <v>0</v>
      </c>
      <c r="H15" s="462">
        <v>0</v>
      </c>
      <c r="I15" s="465">
        <f t="shared" si="0"/>
        <v>0</v>
      </c>
    </row>
    <row r="16" spans="1:9" x14ac:dyDescent="0.15">
      <c r="A16" s="414" t="s">
        <v>84</v>
      </c>
      <c r="B16" s="431" t="s">
        <v>641</v>
      </c>
      <c r="C16" s="135" t="s">
        <v>88</v>
      </c>
      <c r="D16" s="40">
        <v>0</v>
      </c>
      <c r="E16" s="40">
        <v>0</v>
      </c>
      <c r="F16" s="40">
        <v>0</v>
      </c>
      <c r="G16" s="40">
        <v>0</v>
      </c>
      <c r="H16" s="462">
        <v>0</v>
      </c>
      <c r="I16" s="465">
        <f t="shared" si="0"/>
        <v>0</v>
      </c>
    </row>
    <row r="17" spans="1:9" x14ac:dyDescent="0.15">
      <c r="A17" s="414" t="s">
        <v>85</v>
      </c>
      <c r="B17" s="431" t="s">
        <v>642</v>
      </c>
      <c r="C17" s="135" t="s">
        <v>89</v>
      </c>
      <c r="D17" s="40">
        <v>0</v>
      </c>
      <c r="E17" s="40">
        <v>0</v>
      </c>
      <c r="F17" s="40">
        <v>0</v>
      </c>
      <c r="G17" s="40">
        <v>0</v>
      </c>
      <c r="H17" s="462">
        <v>0</v>
      </c>
      <c r="I17" s="465">
        <f t="shared" si="0"/>
        <v>0</v>
      </c>
    </row>
    <row r="18" spans="1:9" x14ac:dyDescent="0.15">
      <c r="A18" s="414" t="s">
        <v>86</v>
      </c>
      <c r="B18" s="431" t="s">
        <v>638</v>
      </c>
      <c r="C18" s="135" t="s">
        <v>90</v>
      </c>
      <c r="D18" s="40">
        <v>0</v>
      </c>
      <c r="E18" s="40">
        <v>0</v>
      </c>
      <c r="F18" s="40">
        <v>0</v>
      </c>
      <c r="G18" s="40">
        <v>0</v>
      </c>
      <c r="H18" s="462">
        <v>0</v>
      </c>
      <c r="I18" s="465">
        <f t="shared" si="0"/>
        <v>0</v>
      </c>
    </row>
    <row r="19" spans="1:9" x14ac:dyDescent="0.15">
      <c r="A19" s="432" t="s">
        <v>181</v>
      </c>
      <c r="B19" s="431" t="s">
        <v>639</v>
      </c>
      <c r="C19" s="135" t="s">
        <v>91</v>
      </c>
      <c r="D19" s="40">
        <v>0</v>
      </c>
      <c r="E19" s="40">
        <v>0</v>
      </c>
      <c r="F19" s="40">
        <v>0</v>
      </c>
      <c r="G19" s="40">
        <v>0</v>
      </c>
      <c r="H19" s="462">
        <v>0</v>
      </c>
      <c r="I19" s="465">
        <f t="shared" si="0"/>
        <v>0</v>
      </c>
    </row>
    <row r="20" spans="1:9" x14ac:dyDescent="0.15">
      <c r="A20" s="414" t="s">
        <v>92</v>
      </c>
      <c r="B20" s="431" t="s">
        <v>644</v>
      </c>
      <c r="C20" s="135" t="s">
        <v>1331</v>
      </c>
      <c r="D20" s="40">
        <v>0</v>
      </c>
      <c r="E20" s="40">
        <v>0</v>
      </c>
      <c r="F20" s="40">
        <v>0</v>
      </c>
      <c r="G20" s="40">
        <v>0</v>
      </c>
      <c r="H20" s="462">
        <v>0</v>
      </c>
      <c r="I20" s="465">
        <f t="shared" si="0"/>
        <v>0</v>
      </c>
    </row>
    <row r="21" spans="1:9" x14ac:dyDescent="0.15">
      <c r="A21" s="414" t="s">
        <v>93</v>
      </c>
      <c r="B21" s="431" t="s">
        <v>645</v>
      </c>
      <c r="C21" s="135" t="s">
        <v>94</v>
      </c>
      <c r="D21" s="40">
        <v>0</v>
      </c>
      <c r="E21" s="40">
        <v>0</v>
      </c>
      <c r="F21" s="40">
        <v>0</v>
      </c>
      <c r="G21" s="40">
        <v>0</v>
      </c>
      <c r="H21" s="462">
        <v>0</v>
      </c>
      <c r="I21" s="465">
        <f t="shared" si="0"/>
        <v>0</v>
      </c>
    </row>
    <row r="22" spans="1:9" x14ac:dyDescent="0.15">
      <c r="A22" s="414" t="s">
        <v>95</v>
      </c>
      <c r="B22" s="431" t="s">
        <v>646</v>
      </c>
      <c r="C22" s="135" t="s">
        <v>18</v>
      </c>
      <c r="D22" s="40">
        <v>0</v>
      </c>
      <c r="E22" s="40">
        <v>0</v>
      </c>
      <c r="F22" s="40">
        <v>0</v>
      </c>
      <c r="G22" s="40">
        <v>0</v>
      </c>
      <c r="H22" s="462">
        <v>0</v>
      </c>
      <c r="I22" s="465">
        <f t="shared" si="0"/>
        <v>0</v>
      </c>
    </row>
    <row r="23" spans="1:9" x14ac:dyDescent="0.15">
      <c r="A23" s="414" t="s">
        <v>97</v>
      </c>
      <c r="B23" s="431" t="s">
        <v>647</v>
      </c>
      <c r="C23" s="135" t="s">
        <v>11</v>
      </c>
      <c r="D23" s="40">
        <v>0</v>
      </c>
      <c r="E23" s="40">
        <v>0</v>
      </c>
      <c r="F23" s="40">
        <v>0</v>
      </c>
      <c r="G23" s="40">
        <v>0</v>
      </c>
      <c r="H23" s="462">
        <v>0</v>
      </c>
      <c r="I23" s="465">
        <f t="shared" si="0"/>
        <v>0</v>
      </c>
    </row>
    <row r="24" spans="1:9" x14ac:dyDescent="0.15">
      <c r="A24" s="414" t="s">
        <v>12</v>
      </c>
      <c r="B24" s="431" t="s">
        <v>648</v>
      </c>
      <c r="C24" s="135" t="s">
        <v>13</v>
      </c>
      <c r="D24" s="40">
        <v>0</v>
      </c>
      <c r="E24" s="40">
        <v>0</v>
      </c>
      <c r="F24" s="40">
        <v>0</v>
      </c>
      <c r="G24" s="40">
        <v>0</v>
      </c>
      <c r="H24" s="462">
        <v>0</v>
      </c>
      <c r="I24" s="465">
        <f t="shared" si="0"/>
        <v>0</v>
      </c>
    </row>
    <row r="25" spans="1:9" x14ac:dyDescent="0.15">
      <c r="A25" s="414" t="s">
        <v>14</v>
      </c>
      <c r="B25" s="431" t="s">
        <v>649</v>
      </c>
      <c r="C25" s="135" t="s">
        <v>15</v>
      </c>
      <c r="D25" s="40">
        <v>0</v>
      </c>
      <c r="E25" s="40">
        <v>0</v>
      </c>
      <c r="F25" s="40">
        <v>0</v>
      </c>
      <c r="G25" s="40">
        <v>0</v>
      </c>
      <c r="H25" s="462">
        <v>0</v>
      </c>
      <c r="I25" s="465">
        <f t="shared" si="0"/>
        <v>0</v>
      </c>
    </row>
    <row r="26" spans="1:9" x14ac:dyDescent="0.15">
      <c r="A26" s="414" t="s">
        <v>16</v>
      </c>
      <c r="B26" s="431" t="s">
        <v>650</v>
      </c>
      <c r="C26" s="135" t="s">
        <v>17</v>
      </c>
      <c r="D26" s="40">
        <v>0</v>
      </c>
      <c r="E26" s="40">
        <v>0</v>
      </c>
      <c r="F26" s="40">
        <v>0</v>
      </c>
      <c r="G26" s="40">
        <v>0</v>
      </c>
      <c r="H26" s="462">
        <v>0</v>
      </c>
      <c r="I26" s="465">
        <f t="shared" si="0"/>
        <v>0</v>
      </c>
    </row>
    <row r="27" spans="1:9" x14ac:dyDescent="0.15">
      <c r="A27" s="414" t="s">
        <v>905</v>
      </c>
      <c r="B27" s="431" t="s">
        <v>651</v>
      </c>
      <c r="C27" s="135" t="s">
        <v>1332</v>
      </c>
      <c r="D27" s="40">
        <v>0</v>
      </c>
      <c r="E27" s="40">
        <v>0</v>
      </c>
      <c r="F27" s="40">
        <v>0</v>
      </c>
      <c r="G27" s="40">
        <v>0</v>
      </c>
      <c r="H27" s="462">
        <v>0</v>
      </c>
      <c r="I27" s="465">
        <f t="shared" si="0"/>
        <v>0</v>
      </c>
    </row>
    <row r="28" spans="1:9" x14ac:dyDescent="0.15">
      <c r="A28" s="414" t="s">
        <v>19</v>
      </c>
      <c r="B28" s="431" t="s">
        <v>652</v>
      </c>
      <c r="C28" s="135" t="s">
        <v>20</v>
      </c>
      <c r="D28" s="40">
        <v>0</v>
      </c>
      <c r="E28" s="40">
        <v>0</v>
      </c>
      <c r="F28" s="40">
        <v>0</v>
      </c>
      <c r="G28" s="40">
        <v>0</v>
      </c>
      <c r="H28" s="462">
        <v>0</v>
      </c>
      <c r="I28" s="465">
        <f t="shared" si="0"/>
        <v>0</v>
      </c>
    </row>
    <row r="29" spans="1:9" x14ac:dyDescent="0.15">
      <c r="A29" s="414" t="s">
        <v>1051</v>
      </c>
      <c r="B29" s="431" t="s">
        <v>657</v>
      </c>
      <c r="C29" s="135" t="s">
        <v>21</v>
      </c>
      <c r="D29" s="40">
        <v>0</v>
      </c>
      <c r="E29" s="40">
        <v>0</v>
      </c>
      <c r="F29" s="40">
        <v>0</v>
      </c>
      <c r="G29" s="40">
        <v>0</v>
      </c>
      <c r="H29" s="462">
        <v>0</v>
      </c>
      <c r="I29" s="465">
        <f t="shared" si="0"/>
        <v>0</v>
      </c>
    </row>
    <row r="30" spans="1:9" x14ac:dyDescent="0.15">
      <c r="A30" s="414" t="s">
        <v>22</v>
      </c>
      <c r="B30" s="431" t="s">
        <v>658</v>
      </c>
      <c r="C30" s="135" t="s">
        <v>23</v>
      </c>
      <c r="D30" s="40">
        <v>0</v>
      </c>
      <c r="E30" s="40">
        <v>0</v>
      </c>
      <c r="F30" s="40">
        <v>0</v>
      </c>
      <c r="G30" s="40">
        <v>0</v>
      </c>
      <c r="H30" s="462">
        <v>0</v>
      </c>
      <c r="I30" s="465">
        <f t="shared" si="0"/>
        <v>0</v>
      </c>
    </row>
    <row r="31" spans="1:9" x14ac:dyDescent="0.15">
      <c r="A31" s="414">
        <v>1800</v>
      </c>
      <c r="B31" s="431" t="s">
        <v>659</v>
      </c>
      <c r="C31" s="135" t="s">
        <v>1333</v>
      </c>
      <c r="D31" s="40">
        <v>0</v>
      </c>
      <c r="E31" s="40">
        <v>0</v>
      </c>
      <c r="F31" s="40">
        <v>0</v>
      </c>
      <c r="G31" s="40">
        <v>0</v>
      </c>
      <c r="H31" s="462">
        <v>0</v>
      </c>
      <c r="I31" s="465">
        <f t="shared" si="0"/>
        <v>0</v>
      </c>
    </row>
    <row r="32" spans="1:9" x14ac:dyDescent="0.15">
      <c r="A32" s="414">
        <v>1850</v>
      </c>
      <c r="B32" s="431" t="s">
        <v>660</v>
      </c>
      <c r="C32" s="135" t="s">
        <v>1334</v>
      </c>
      <c r="D32" s="40">
        <v>0</v>
      </c>
      <c r="E32" s="40">
        <v>0</v>
      </c>
      <c r="F32" s="40">
        <v>0</v>
      </c>
      <c r="G32" s="40">
        <v>0</v>
      </c>
      <c r="H32" s="462">
        <v>0</v>
      </c>
      <c r="I32" s="465">
        <f t="shared" si="0"/>
        <v>0</v>
      </c>
    </row>
    <row r="33" spans="1:9" x14ac:dyDescent="0.15">
      <c r="A33" s="414" t="s">
        <v>66</v>
      </c>
      <c r="B33" s="702" t="s">
        <v>662</v>
      </c>
      <c r="C33" s="135" t="s">
        <v>67</v>
      </c>
      <c r="D33" s="40">
        <v>0</v>
      </c>
      <c r="E33" s="40">
        <v>0</v>
      </c>
      <c r="F33" s="40">
        <v>0</v>
      </c>
      <c r="G33" s="40">
        <v>0</v>
      </c>
      <c r="H33" s="462">
        <v>0</v>
      </c>
      <c r="I33" s="465">
        <f t="shared" si="0"/>
        <v>0</v>
      </c>
    </row>
    <row r="34" spans="1:9" x14ac:dyDescent="0.15">
      <c r="A34" s="432" t="s">
        <v>0</v>
      </c>
      <c r="B34" s="702" t="s">
        <v>663</v>
      </c>
      <c r="C34" s="135" t="s">
        <v>3</v>
      </c>
      <c r="D34" s="40">
        <v>0</v>
      </c>
      <c r="E34" s="40">
        <v>0</v>
      </c>
      <c r="F34" s="40">
        <v>0</v>
      </c>
      <c r="G34" s="40">
        <v>0</v>
      </c>
      <c r="H34" s="462">
        <v>0</v>
      </c>
      <c r="I34" s="465">
        <f t="shared" si="0"/>
        <v>0</v>
      </c>
    </row>
    <row r="35" spans="1:9" x14ac:dyDescent="0.15">
      <c r="A35" s="432" t="s">
        <v>1</v>
      </c>
      <c r="B35" s="702" t="s">
        <v>664</v>
      </c>
      <c r="C35" s="135" t="s">
        <v>4</v>
      </c>
      <c r="D35" s="40">
        <v>0</v>
      </c>
      <c r="E35" s="40">
        <v>0</v>
      </c>
      <c r="F35" s="40">
        <v>0</v>
      </c>
      <c r="G35" s="40">
        <v>0</v>
      </c>
      <c r="H35" s="462">
        <v>0</v>
      </c>
      <c r="I35" s="465">
        <f t="shared" si="0"/>
        <v>0</v>
      </c>
    </row>
    <row r="36" spans="1:9" x14ac:dyDescent="0.15">
      <c r="A36" s="432" t="s">
        <v>2</v>
      </c>
      <c r="B36" s="702" t="s">
        <v>665</v>
      </c>
      <c r="C36" s="135" t="s">
        <v>5</v>
      </c>
      <c r="D36" s="40">
        <v>0</v>
      </c>
      <c r="E36" s="40">
        <v>0</v>
      </c>
      <c r="F36" s="40">
        <v>0</v>
      </c>
      <c r="G36" s="40">
        <v>0</v>
      </c>
      <c r="H36" s="462">
        <v>0</v>
      </c>
      <c r="I36" s="465">
        <f t="shared" si="0"/>
        <v>0</v>
      </c>
    </row>
    <row r="37" spans="1:9" x14ac:dyDescent="0.15">
      <c r="A37" s="414" t="s">
        <v>906</v>
      </c>
      <c r="B37" s="702" t="s">
        <v>666</v>
      </c>
      <c r="C37" s="135" t="s">
        <v>1335</v>
      </c>
      <c r="D37" s="40">
        <v>0</v>
      </c>
      <c r="E37" s="40">
        <v>0</v>
      </c>
      <c r="F37" s="40">
        <v>0</v>
      </c>
      <c r="G37" s="40">
        <v>0</v>
      </c>
      <c r="H37" s="462">
        <v>0</v>
      </c>
      <c r="I37" s="465">
        <f t="shared" si="0"/>
        <v>0</v>
      </c>
    </row>
    <row r="38" spans="1:9" x14ac:dyDescent="0.15">
      <c r="A38" s="432" t="s">
        <v>230</v>
      </c>
      <c r="B38" s="702" t="s">
        <v>667</v>
      </c>
      <c r="C38" s="135" t="s">
        <v>1336</v>
      </c>
      <c r="D38" s="40">
        <v>0</v>
      </c>
      <c r="E38" s="40">
        <v>0</v>
      </c>
      <c r="F38" s="40">
        <v>0</v>
      </c>
      <c r="G38" s="40">
        <v>0</v>
      </c>
      <c r="H38" s="462">
        <v>0</v>
      </c>
      <c r="I38" s="465">
        <f t="shared" si="0"/>
        <v>0</v>
      </c>
    </row>
    <row r="39" spans="1:9" x14ac:dyDescent="0.15">
      <c r="A39" s="432" t="s">
        <v>231</v>
      </c>
      <c r="B39" s="702" t="s">
        <v>668</v>
      </c>
      <c r="C39" s="135" t="s">
        <v>1337</v>
      </c>
      <c r="D39" s="40">
        <v>0</v>
      </c>
      <c r="E39" s="40">
        <v>0</v>
      </c>
      <c r="F39" s="40">
        <v>0</v>
      </c>
      <c r="G39" s="40">
        <v>0</v>
      </c>
      <c r="H39" s="462">
        <v>0</v>
      </c>
      <c r="I39" s="465">
        <f t="shared" si="0"/>
        <v>0</v>
      </c>
    </row>
    <row r="40" spans="1:9" x14ac:dyDescent="0.15">
      <c r="A40" s="624" t="s">
        <v>1388</v>
      </c>
      <c r="B40" s="702" t="s">
        <v>669</v>
      </c>
      <c r="C40" s="135" t="s">
        <v>6</v>
      </c>
      <c r="D40" s="40">
        <v>0</v>
      </c>
      <c r="E40" s="40">
        <v>0</v>
      </c>
      <c r="F40" s="40">
        <v>0</v>
      </c>
      <c r="G40" s="40">
        <v>0</v>
      </c>
      <c r="H40" s="462">
        <v>0</v>
      </c>
      <c r="I40" s="465">
        <f t="shared" si="0"/>
        <v>0</v>
      </c>
    </row>
    <row r="41" spans="1:9" x14ac:dyDescent="0.15">
      <c r="A41" s="432" t="s">
        <v>232</v>
      </c>
      <c r="B41" s="702" t="s">
        <v>670</v>
      </c>
      <c r="C41" s="135" t="s">
        <v>1338</v>
      </c>
      <c r="D41" s="40">
        <v>0</v>
      </c>
      <c r="E41" s="40">
        <v>0</v>
      </c>
      <c r="F41" s="40">
        <v>0</v>
      </c>
      <c r="G41" s="40">
        <v>0</v>
      </c>
      <c r="H41" s="462">
        <v>0</v>
      </c>
      <c r="I41" s="465">
        <f t="shared" si="0"/>
        <v>0</v>
      </c>
    </row>
    <row r="42" spans="1:9" x14ac:dyDescent="0.15">
      <c r="A42" s="414" t="s">
        <v>907</v>
      </c>
      <c r="B42" s="702" t="s">
        <v>671</v>
      </c>
      <c r="C42" s="135" t="s">
        <v>1339</v>
      </c>
      <c r="D42" s="40">
        <v>0</v>
      </c>
      <c r="E42" s="40">
        <v>0</v>
      </c>
      <c r="F42" s="40">
        <v>0</v>
      </c>
      <c r="G42" s="40">
        <v>0</v>
      </c>
      <c r="H42" s="462">
        <v>0</v>
      </c>
      <c r="I42" s="465">
        <f t="shared" si="0"/>
        <v>0</v>
      </c>
    </row>
    <row r="43" spans="1:9" x14ac:dyDescent="0.15">
      <c r="A43" s="701" t="s">
        <v>1517</v>
      </c>
      <c r="B43" s="702" t="s">
        <v>1187</v>
      </c>
      <c r="C43" s="703" t="s">
        <v>1518</v>
      </c>
      <c r="D43" s="40">
        <v>0</v>
      </c>
      <c r="E43" s="40">
        <v>0</v>
      </c>
      <c r="F43" s="40">
        <v>0</v>
      </c>
      <c r="G43" s="40">
        <v>0</v>
      </c>
      <c r="H43" s="462">
        <v>0</v>
      </c>
      <c r="I43" s="465">
        <f t="shared" ref="I43" si="1">SUM(G43+H43)</f>
        <v>0</v>
      </c>
    </row>
    <row r="44" spans="1:9" x14ac:dyDescent="0.15">
      <c r="B44" s="431" t="s">
        <v>1188</v>
      </c>
      <c r="C44" s="135" t="s">
        <v>182</v>
      </c>
      <c r="D44" s="40">
        <v>0</v>
      </c>
      <c r="E44" s="40">
        <v>0</v>
      </c>
      <c r="F44" s="40">
        <v>0</v>
      </c>
      <c r="G44" s="40">
        <v>0</v>
      </c>
      <c r="H44" s="462">
        <v>0</v>
      </c>
      <c r="I44" s="465">
        <f t="shared" si="0"/>
        <v>0</v>
      </c>
    </row>
    <row r="45" spans="1:9" ht="11.25" thickBot="1" x14ac:dyDescent="0.2">
      <c r="B45" s="433"/>
      <c r="C45" s="135"/>
      <c r="D45" s="14"/>
      <c r="E45" s="14"/>
      <c r="F45" s="14"/>
      <c r="G45" s="14"/>
      <c r="H45" s="14"/>
      <c r="I45" s="478"/>
    </row>
    <row r="46" spans="1:9" ht="12" thickTop="1" thickBot="1" x14ac:dyDescent="0.2">
      <c r="B46" s="434" t="s">
        <v>673</v>
      </c>
      <c r="C46" s="135" t="s">
        <v>8</v>
      </c>
      <c r="D46" s="166">
        <f t="shared" ref="D46:I46" si="2">SUM(D7:D44)</f>
        <v>0</v>
      </c>
      <c r="E46" s="166">
        <f t="shared" si="2"/>
        <v>0</v>
      </c>
      <c r="F46" s="166">
        <f t="shared" si="2"/>
        <v>0</v>
      </c>
      <c r="G46" s="297">
        <f t="shared" si="2"/>
        <v>0</v>
      </c>
      <c r="H46" s="529">
        <f t="shared" si="2"/>
        <v>0</v>
      </c>
      <c r="I46" s="529">
        <f t="shared" si="2"/>
        <v>0</v>
      </c>
    </row>
    <row r="47" spans="1:9" ht="11.25" thickTop="1" x14ac:dyDescent="0.15">
      <c r="B47" s="433"/>
      <c r="C47" s="135"/>
      <c r="D47" s="195"/>
      <c r="E47" s="195"/>
      <c r="F47" s="195"/>
      <c r="G47" s="195"/>
      <c r="I47" s="474"/>
    </row>
    <row r="48" spans="1:9" ht="11.25" thickBot="1" x14ac:dyDescent="0.2">
      <c r="B48" s="429" t="s">
        <v>1032</v>
      </c>
      <c r="D48" s="430"/>
      <c r="E48" s="430"/>
      <c r="F48" s="430"/>
      <c r="G48" s="430"/>
      <c r="H48" s="430"/>
      <c r="I48" s="476"/>
    </row>
    <row r="49" spans="1:9" ht="12" thickTop="1" thickBot="1" x14ac:dyDescent="0.2">
      <c r="A49" s="414" t="s">
        <v>1033</v>
      </c>
      <c r="B49" s="434" t="s">
        <v>674</v>
      </c>
      <c r="C49" s="135" t="s">
        <v>1340</v>
      </c>
      <c r="D49" s="42">
        <v>0</v>
      </c>
      <c r="E49" s="42">
        <v>0</v>
      </c>
      <c r="F49" s="42">
        <v>0</v>
      </c>
      <c r="G49" s="42">
        <v>0</v>
      </c>
      <c r="H49" s="286">
        <v>0</v>
      </c>
      <c r="I49" s="493">
        <f>SUM(G49+H49)</f>
        <v>0</v>
      </c>
    </row>
    <row r="50" spans="1:9" ht="11.25" thickTop="1" x14ac:dyDescent="0.15">
      <c r="D50" s="14"/>
      <c r="E50" s="14"/>
      <c r="F50" s="14"/>
      <c r="G50" s="14"/>
      <c r="I50" s="474"/>
    </row>
    <row r="51" spans="1:9" x14ac:dyDescent="0.15">
      <c r="B51" s="429" t="s">
        <v>1034</v>
      </c>
      <c r="D51" s="430"/>
      <c r="E51" s="430"/>
      <c r="F51" s="430"/>
      <c r="G51" s="430"/>
      <c r="H51" s="430"/>
      <c r="I51" s="475"/>
    </row>
    <row r="52" spans="1:9" x14ac:dyDescent="0.15">
      <c r="A52" s="623" t="s">
        <v>271</v>
      </c>
      <c r="B52" s="702" t="s">
        <v>675</v>
      </c>
      <c r="C52" s="625" t="s">
        <v>1391</v>
      </c>
      <c r="D52" s="40">
        <v>0</v>
      </c>
      <c r="E52" s="40">
        <v>0</v>
      </c>
      <c r="F52" s="40">
        <v>0</v>
      </c>
      <c r="G52" s="40">
        <v>0</v>
      </c>
      <c r="H52" s="462">
        <v>0</v>
      </c>
      <c r="I52" s="465">
        <f t="shared" ref="I52:I75" si="3">SUM(G52+H52)</f>
        <v>0</v>
      </c>
    </row>
    <row r="53" spans="1:9" x14ac:dyDescent="0.15">
      <c r="A53" s="623" t="s">
        <v>1389</v>
      </c>
      <c r="B53" s="702" t="s">
        <v>676</v>
      </c>
      <c r="C53" s="625" t="s">
        <v>1390</v>
      </c>
      <c r="D53" s="40">
        <v>0</v>
      </c>
      <c r="E53" s="40">
        <v>0</v>
      </c>
      <c r="F53" s="40">
        <v>0</v>
      </c>
      <c r="G53" s="40">
        <v>0</v>
      </c>
      <c r="H53" s="462">
        <v>0</v>
      </c>
      <c r="I53" s="465">
        <f>SUM(G53+H53)</f>
        <v>0</v>
      </c>
    </row>
    <row r="54" spans="1:9" hidden="1" x14ac:dyDescent="0.15">
      <c r="A54" s="432" t="s">
        <v>233</v>
      </c>
      <c r="B54" s="434" t="s">
        <v>676</v>
      </c>
      <c r="C54" s="135" t="s">
        <v>1342</v>
      </c>
      <c r="D54" s="40">
        <v>0</v>
      </c>
      <c r="E54" s="40">
        <v>0</v>
      </c>
      <c r="F54" s="40">
        <v>0</v>
      </c>
      <c r="G54" s="40">
        <v>0</v>
      </c>
      <c r="H54" s="462">
        <v>0</v>
      </c>
      <c r="I54" s="465">
        <f t="shared" si="3"/>
        <v>0</v>
      </c>
    </row>
    <row r="55" spans="1:9" hidden="1" x14ac:dyDescent="0.15">
      <c r="A55" s="432" t="s">
        <v>234</v>
      </c>
      <c r="B55" s="431" t="s">
        <v>677</v>
      </c>
      <c r="C55" s="135" t="s">
        <v>1343</v>
      </c>
      <c r="D55" s="40">
        <v>0</v>
      </c>
      <c r="E55" s="40">
        <v>0</v>
      </c>
      <c r="F55" s="40">
        <v>0</v>
      </c>
      <c r="G55" s="40">
        <v>0</v>
      </c>
      <c r="H55" s="462">
        <v>0</v>
      </c>
      <c r="I55" s="465">
        <f t="shared" si="3"/>
        <v>0</v>
      </c>
    </row>
    <row r="56" spans="1:9" hidden="1" x14ac:dyDescent="0.15">
      <c r="A56" s="414" t="s">
        <v>68</v>
      </c>
      <c r="B56" s="431" t="s">
        <v>678</v>
      </c>
      <c r="C56" s="135" t="s">
        <v>70</v>
      </c>
      <c r="D56" s="40">
        <v>0</v>
      </c>
      <c r="E56" s="40">
        <v>0</v>
      </c>
      <c r="F56" s="40">
        <v>0</v>
      </c>
      <c r="G56" s="40">
        <v>0</v>
      </c>
      <c r="H56" s="462">
        <v>0</v>
      </c>
      <c r="I56" s="465">
        <f t="shared" si="3"/>
        <v>0</v>
      </c>
    </row>
    <row r="57" spans="1:9" hidden="1" x14ac:dyDescent="0.15">
      <c r="A57" s="414" t="s">
        <v>69</v>
      </c>
      <c r="B57" s="431" t="s">
        <v>679</v>
      </c>
      <c r="C57" s="135" t="s">
        <v>71</v>
      </c>
      <c r="D57" s="40">
        <v>0</v>
      </c>
      <c r="E57" s="40">
        <v>0</v>
      </c>
      <c r="F57" s="40">
        <v>0</v>
      </c>
      <c r="G57" s="40">
        <v>0</v>
      </c>
      <c r="H57" s="462">
        <v>0</v>
      </c>
      <c r="I57" s="465">
        <f t="shared" si="3"/>
        <v>0</v>
      </c>
    </row>
    <row r="58" spans="1:9" hidden="1" x14ac:dyDescent="0.15">
      <c r="A58" s="414" t="s">
        <v>24</v>
      </c>
      <c r="B58" s="431" t="s">
        <v>684</v>
      </c>
      <c r="C58" s="135" t="s">
        <v>25</v>
      </c>
      <c r="D58" s="40">
        <v>0</v>
      </c>
      <c r="E58" s="40">
        <v>0</v>
      </c>
      <c r="F58" s="40">
        <v>0</v>
      </c>
      <c r="G58" s="40">
        <v>0</v>
      </c>
      <c r="H58" s="462">
        <v>0</v>
      </c>
      <c r="I58" s="465">
        <f t="shared" si="3"/>
        <v>0</v>
      </c>
    </row>
    <row r="59" spans="1:9" hidden="1" x14ac:dyDescent="0.15">
      <c r="A59" s="414" t="s">
        <v>1036</v>
      </c>
      <c r="B59" s="431" t="s">
        <v>685</v>
      </c>
      <c r="C59" s="135" t="s">
        <v>1344</v>
      </c>
      <c r="D59" s="40">
        <v>0</v>
      </c>
      <c r="E59" s="40">
        <v>0</v>
      </c>
      <c r="F59" s="40">
        <v>0</v>
      </c>
      <c r="G59" s="40">
        <v>0</v>
      </c>
      <c r="H59" s="462">
        <v>0</v>
      </c>
      <c r="I59" s="465">
        <f t="shared" si="3"/>
        <v>0</v>
      </c>
    </row>
    <row r="60" spans="1:9" hidden="1" x14ac:dyDescent="0.15">
      <c r="A60" s="414" t="s">
        <v>1037</v>
      </c>
      <c r="B60" s="431" t="s">
        <v>686</v>
      </c>
      <c r="C60" s="135" t="s">
        <v>1345</v>
      </c>
      <c r="D60" s="40">
        <v>0</v>
      </c>
      <c r="E60" s="40">
        <v>0</v>
      </c>
      <c r="F60" s="40">
        <v>0</v>
      </c>
      <c r="G60" s="40">
        <v>0</v>
      </c>
      <c r="H60" s="462">
        <v>0</v>
      </c>
      <c r="I60" s="465">
        <f t="shared" si="3"/>
        <v>0</v>
      </c>
    </row>
    <row r="61" spans="1:9" hidden="1" x14ac:dyDescent="0.15">
      <c r="A61" s="414" t="s">
        <v>1038</v>
      </c>
      <c r="B61" s="431" t="s">
        <v>687</v>
      </c>
      <c r="C61" s="135" t="s">
        <v>1346</v>
      </c>
      <c r="D61" s="40">
        <v>0</v>
      </c>
      <c r="E61" s="40">
        <v>0</v>
      </c>
      <c r="F61" s="40">
        <v>0</v>
      </c>
      <c r="G61" s="40">
        <v>0</v>
      </c>
      <c r="H61" s="462">
        <v>0</v>
      </c>
      <c r="I61" s="465">
        <f t="shared" si="3"/>
        <v>0</v>
      </c>
    </row>
    <row r="62" spans="1:9" hidden="1" x14ac:dyDescent="0.15">
      <c r="A62" s="414" t="s">
        <v>1039</v>
      </c>
      <c r="B62" s="431" t="s">
        <v>688</v>
      </c>
      <c r="C62" s="135" t="s">
        <v>1347</v>
      </c>
      <c r="D62" s="40">
        <v>0</v>
      </c>
      <c r="E62" s="40">
        <v>0</v>
      </c>
      <c r="F62" s="40">
        <v>0</v>
      </c>
      <c r="G62" s="40">
        <v>0</v>
      </c>
      <c r="H62" s="462">
        <v>0</v>
      </c>
      <c r="I62" s="465">
        <f t="shared" si="3"/>
        <v>0</v>
      </c>
    </row>
    <row r="63" spans="1:9" hidden="1" x14ac:dyDescent="0.15">
      <c r="A63" s="414" t="s">
        <v>1040</v>
      </c>
      <c r="B63" s="431" t="s">
        <v>689</v>
      </c>
      <c r="C63" s="135" t="s">
        <v>1348</v>
      </c>
      <c r="D63" s="40">
        <v>0</v>
      </c>
      <c r="E63" s="40">
        <v>0</v>
      </c>
      <c r="F63" s="40">
        <v>0</v>
      </c>
      <c r="G63" s="40">
        <v>0</v>
      </c>
      <c r="H63" s="462">
        <v>0</v>
      </c>
      <c r="I63" s="465">
        <f t="shared" si="3"/>
        <v>0</v>
      </c>
    </row>
    <row r="64" spans="1:9" hidden="1" x14ac:dyDescent="0.15">
      <c r="A64" s="414" t="s">
        <v>80</v>
      </c>
      <c r="B64" s="435" t="s">
        <v>690</v>
      </c>
      <c r="C64" s="135" t="s">
        <v>81</v>
      </c>
      <c r="D64" s="40">
        <v>0</v>
      </c>
      <c r="E64" s="40">
        <v>0</v>
      </c>
      <c r="F64" s="40">
        <v>0</v>
      </c>
      <c r="G64" s="40">
        <v>0</v>
      </c>
      <c r="H64" s="462">
        <v>0</v>
      </c>
      <c r="I64" s="465">
        <f t="shared" si="3"/>
        <v>0</v>
      </c>
    </row>
    <row r="65" spans="1:9" hidden="1" x14ac:dyDescent="0.15">
      <c r="A65" s="432" t="s">
        <v>235</v>
      </c>
      <c r="B65" s="431" t="s">
        <v>691</v>
      </c>
      <c r="C65" s="135" t="s">
        <v>1349</v>
      </c>
      <c r="D65" s="40">
        <v>0</v>
      </c>
      <c r="E65" s="40">
        <v>0</v>
      </c>
      <c r="F65" s="40">
        <v>0</v>
      </c>
      <c r="G65" s="40">
        <v>0</v>
      </c>
      <c r="H65" s="462">
        <v>0</v>
      </c>
      <c r="I65" s="465">
        <f t="shared" si="3"/>
        <v>0</v>
      </c>
    </row>
    <row r="66" spans="1:9" x14ac:dyDescent="0.15">
      <c r="A66" s="417" t="s">
        <v>1035</v>
      </c>
      <c r="B66" s="704" t="s">
        <v>677</v>
      </c>
      <c r="C66" s="581" t="s">
        <v>1341</v>
      </c>
      <c r="D66" s="40">
        <v>0</v>
      </c>
      <c r="E66" s="40">
        <v>0</v>
      </c>
      <c r="F66" s="40">
        <v>0</v>
      </c>
      <c r="G66" s="40">
        <v>0</v>
      </c>
      <c r="H66" s="462">
        <v>0</v>
      </c>
      <c r="I66" s="465">
        <f t="shared" si="3"/>
        <v>0</v>
      </c>
    </row>
    <row r="67" spans="1:9" x14ac:dyDescent="0.15">
      <c r="A67" s="417" t="s">
        <v>1166</v>
      </c>
      <c r="B67" s="704" t="s">
        <v>678</v>
      </c>
      <c r="C67" s="454" t="s">
        <v>1167</v>
      </c>
      <c r="D67" s="40">
        <v>0</v>
      </c>
      <c r="E67" s="40">
        <v>0</v>
      </c>
      <c r="F67" s="40">
        <v>0</v>
      </c>
      <c r="G67" s="40">
        <v>0</v>
      </c>
      <c r="H67" s="462">
        <v>0</v>
      </c>
      <c r="I67" s="465">
        <f t="shared" si="3"/>
        <v>0</v>
      </c>
    </row>
    <row r="68" spans="1:9" x14ac:dyDescent="0.15">
      <c r="A68" s="705" t="s">
        <v>69</v>
      </c>
      <c r="B68" s="704" t="s">
        <v>679</v>
      </c>
      <c r="C68" s="706" t="s">
        <v>1519</v>
      </c>
      <c r="D68" s="40">
        <v>0</v>
      </c>
      <c r="E68" s="40">
        <v>0</v>
      </c>
      <c r="F68" s="40">
        <v>0</v>
      </c>
      <c r="G68" s="40">
        <v>0</v>
      </c>
      <c r="H68" s="462">
        <v>0</v>
      </c>
      <c r="I68" s="465">
        <f t="shared" ref="I68" si="4">SUM(G68+H68)</f>
        <v>0</v>
      </c>
    </row>
    <row r="69" spans="1:9" x14ac:dyDescent="0.15">
      <c r="A69" s="622" t="s">
        <v>1384</v>
      </c>
      <c r="B69" s="702" t="s">
        <v>684</v>
      </c>
      <c r="C69" s="135" t="s">
        <v>740</v>
      </c>
      <c r="D69" s="40">
        <v>0</v>
      </c>
      <c r="E69" s="40">
        <v>0</v>
      </c>
      <c r="F69" s="40">
        <v>0</v>
      </c>
      <c r="G69" s="40">
        <v>0</v>
      </c>
      <c r="H69" s="462">
        <v>0</v>
      </c>
      <c r="I69" s="465">
        <f t="shared" si="3"/>
        <v>0</v>
      </c>
    </row>
    <row r="70" spans="1:9" x14ac:dyDescent="0.15">
      <c r="A70" s="414" t="s">
        <v>1041</v>
      </c>
      <c r="B70" s="702" t="s">
        <v>685</v>
      </c>
      <c r="C70" s="135" t="s">
        <v>1056</v>
      </c>
      <c r="D70" s="40">
        <v>0</v>
      </c>
      <c r="E70" s="40">
        <v>0</v>
      </c>
      <c r="F70" s="40">
        <v>0</v>
      </c>
      <c r="G70" s="40">
        <v>0</v>
      </c>
      <c r="H70" s="462">
        <v>0</v>
      </c>
      <c r="I70" s="465">
        <f t="shared" si="3"/>
        <v>0</v>
      </c>
    </row>
    <row r="71" spans="1:9" x14ac:dyDescent="0.15">
      <c r="A71" s="623" t="s">
        <v>236</v>
      </c>
      <c r="B71" s="707" t="s">
        <v>686</v>
      </c>
      <c r="C71" s="135" t="s">
        <v>1350</v>
      </c>
      <c r="D71" s="40">
        <v>0</v>
      </c>
      <c r="E71" s="40">
        <v>0</v>
      </c>
      <c r="F71" s="40">
        <v>0</v>
      </c>
      <c r="G71" s="40">
        <v>0</v>
      </c>
      <c r="H71" s="462">
        <v>0</v>
      </c>
      <c r="I71" s="465">
        <f t="shared" si="3"/>
        <v>0</v>
      </c>
    </row>
    <row r="72" spans="1:9" x14ac:dyDescent="0.15">
      <c r="A72" s="624" t="s">
        <v>237</v>
      </c>
      <c r="B72" s="702" t="s">
        <v>687</v>
      </c>
      <c r="C72" s="135" t="s">
        <v>1351</v>
      </c>
      <c r="D72" s="40">
        <v>0</v>
      </c>
      <c r="E72" s="40">
        <v>0</v>
      </c>
      <c r="F72" s="40">
        <v>0</v>
      </c>
      <c r="G72" s="40">
        <v>0</v>
      </c>
      <c r="H72" s="462">
        <v>0</v>
      </c>
      <c r="I72" s="465">
        <f t="shared" si="3"/>
        <v>0</v>
      </c>
    </row>
    <row r="73" spans="1:9" x14ac:dyDescent="0.15">
      <c r="A73" s="624" t="s">
        <v>7</v>
      </c>
      <c r="B73" s="702" t="s">
        <v>688</v>
      </c>
      <c r="C73" s="135" t="s">
        <v>9</v>
      </c>
      <c r="D73" s="40">
        <v>0</v>
      </c>
      <c r="E73" s="40">
        <v>0</v>
      </c>
      <c r="F73" s="40">
        <v>0</v>
      </c>
      <c r="G73" s="40">
        <v>0</v>
      </c>
      <c r="H73" s="462">
        <v>0</v>
      </c>
      <c r="I73" s="465">
        <f t="shared" si="3"/>
        <v>0</v>
      </c>
    </row>
    <row r="74" spans="1:9" x14ac:dyDescent="0.15">
      <c r="A74" s="624" t="s">
        <v>1385</v>
      </c>
      <c r="B74" s="702" t="s">
        <v>689</v>
      </c>
      <c r="C74" s="625" t="s">
        <v>1386</v>
      </c>
      <c r="D74" s="40">
        <v>0</v>
      </c>
      <c r="E74" s="40">
        <v>0</v>
      </c>
      <c r="F74" s="40">
        <v>0</v>
      </c>
      <c r="G74" s="40">
        <v>0</v>
      </c>
      <c r="H74" s="462">
        <v>0</v>
      </c>
      <c r="I74" s="465">
        <f t="shared" si="3"/>
        <v>0</v>
      </c>
    </row>
    <row r="75" spans="1:9" x14ac:dyDescent="0.15">
      <c r="A75" s="432" t="s">
        <v>238</v>
      </c>
      <c r="B75" s="702" t="s">
        <v>690</v>
      </c>
      <c r="C75" s="135" t="s">
        <v>61</v>
      </c>
      <c r="D75" s="40">
        <v>0</v>
      </c>
      <c r="E75" s="40">
        <v>0</v>
      </c>
      <c r="F75" s="40">
        <v>0</v>
      </c>
      <c r="G75" s="40">
        <v>0</v>
      </c>
      <c r="H75" s="723">
        <v>0</v>
      </c>
      <c r="I75" s="465">
        <f t="shared" si="3"/>
        <v>0</v>
      </c>
    </row>
    <row r="76" spans="1:9" ht="11.25" thickBot="1" x14ac:dyDescent="0.2">
      <c r="A76" s="432"/>
      <c r="B76" s="433"/>
      <c r="C76" s="135"/>
      <c r="D76" s="196"/>
      <c r="E76" s="196"/>
      <c r="F76" s="196"/>
      <c r="G76" s="196"/>
      <c r="H76" s="196"/>
      <c r="I76" s="479"/>
    </row>
    <row r="77" spans="1:9" ht="12" thickTop="1" thickBot="1" x14ac:dyDescent="0.2">
      <c r="B77" s="702" t="s">
        <v>691</v>
      </c>
      <c r="C77" s="703" t="s">
        <v>1528</v>
      </c>
      <c r="D77" s="170">
        <f t="shared" ref="D77:I77" si="5">SUM(D52:D75)</f>
        <v>0</v>
      </c>
      <c r="E77" s="505">
        <f t="shared" si="5"/>
        <v>0</v>
      </c>
      <c r="F77" s="505">
        <f t="shared" si="5"/>
        <v>0</v>
      </c>
      <c r="G77" s="505">
        <f t="shared" si="5"/>
        <v>0</v>
      </c>
      <c r="H77" s="480">
        <f t="shared" si="5"/>
        <v>0</v>
      </c>
      <c r="I77" s="480">
        <f t="shared" si="5"/>
        <v>0</v>
      </c>
    </row>
    <row r="78" spans="1:9" ht="11.25" thickTop="1" x14ac:dyDescent="0.15">
      <c r="B78" s="437"/>
      <c r="C78" s="135"/>
      <c r="D78" s="195"/>
      <c r="E78" s="195"/>
      <c r="F78" s="195"/>
      <c r="G78" s="195"/>
      <c r="H78" s="195"/>
      <c r="I78" s="470"/>
    </row>
    <row r="79" spans="1:9" x14ac:dyDescent="0.15">
      <c r="B79" s="433"/>
      <c r="C79" s="438" t="s">
        <v>1042</v>
      </c>
      <c r="I79" s="471"/>
    </row>
    <row r="80" spans="1:9" x14ac:dyDescent="0.15">
      <c r="A80" s="423" t="s">
        <v>1292</v>
      </c>
      <c r="B80" s="702" t="s">
        <v>692</v>
      </c>
      <c r="C80" s="135" t="s">
        <v>159</v>
      </c>
      <c r="D80" s="40">
        <v>0</v>
      </c>
      <c r="E80" s="40">
        <v>0</v>
      </c>
      <c r="F80" s="40">
        <v>0</v>
      </c>
      <c r="G80" s="40">
        <v>0</v>
      </c>
      <c r="H80" s="462">
        <v>0</v>
      </c>
      <c r="I80" s="465">
        <f t="shared" ref="I80:I91" si="6">SUM(G80+H80)</f>
        <v>0</v>
      </c>
    </row>
    <row r="81" spans="1:9" x14ac:dyDescent="0.15">
      <c r="A81" s="456" t="s">
        <v>1292</v>
      </c>
      <c r="B81" s="712" t="s">
        <v>1520</v>
      </c>
      <c r="C81" s="706" t="s">
        <v>1540</v>
      </c>
      <c r="D81" s="40">
        <v>0</v>
      </c>
      <c r="E81" s="40">
        <v>0</v>
      </c>
      <c r="F81" s="40">
        <v>0</v>
      </c>
      <c r="G81" s="40">
        <v>0</v>
      </c>
      <c r="H81" s="462">
        <v>0</v>
      </c>
      <c r="I81" s="465">
        <f>SUM(G81+H81)</f>
        <v>0</v>
      </c>
    </row>
    <row r="82" spans="1:9" x14ac:dyDescent="0.15">
      <c r="A82" s="436" t="s">
        <v>162</v>
      </c>
      <c r="B82" s="702" t="s">
        <v>694</v>
      </c>
      <c r="C82" s="135" t="s">
        <v>160</v>
      </c>
      <c r="D82" s="40">
        <v>0</v>
      </c>
      <c r="E82" s="40">
        <v>0</v>
      </c>
      <c r="F82" s="40">
        <v>0</v>
      </c>
      <c r="G82" s="40">
        <v>0</v>
      </c>
      <c r="H82" s="462">
        <v>0</v>
      </c>
      <c r="I82" s="465">
        <f t="shared" si="6"/>
        <v>0</v>
      </c>
    </row>
    <row r="83" spans="1:9" x14ac:dyDescent="0.15">
      <c r="A83" s="436" t="s">
        <v>163</v>
      </c>
      <c r="B83" s="702" t="s">
        <v>695</v>
      </c>
      <c r="C83" s="135" t="s">
        <v>161</v>
      </c>
      <c r="D83" s="40">
        <v>0</v>
      </c>
      <c r="E83" s="40">
        <v>0</v>
      </c>
      <c r="F83" s="40">
        <v>0</v>
      </c>
      <c r="G83" s="40">
        <v>0</v>
      </c>
      <c r="H83" s="462">
        <v>0</v>
      </c>
      <c r="I83" s="465">
        <f t="shared" si="6"/>
        <v>0</v>
      </c>
    </row>
    <row r="84" spans="1:9" x14ac:dyDescent="0.15">
      <c r="A84" s="423" t="s">
        <v>73</v>
      </c>
      <c r="B84" s="702" t="s">
        <v>696</v>
      </c>
      <c r="C84" s="135" t="s">
        <v>74</v>
      </c>
      <c r="D84" s="40">
        <v>0</v>
      </c>
      <c r="E84" s="40">
        <v>0</v>
      </c>
      <c r="F84" s="40">
        <v>0</v>
      </c>
      <c r="G84" s="40">
        <v>0</v>
      </c>
      <c r="H84" s="462">
        <v>0</v>
      </c>
      <c r="I84" s="465">
        <f t="shared" si="6"/>
        <v>0</v>
      </c>
    </row>
    <row r="85" spans="1:9" x14ac:dyDescent="0.15">
      <c r="A85" s="423" t="s">
        <v>75</v>
      </c>
      <c r="B85" s="702" t="s">
        <v>697</v>
      </c>
      <c r="C85" s="135" t="s">
        <v>76</v>
      </c>
      <c r="D85" s="40">
        <v>0</v>
      </c>
      <c r="E85" s="40">
        <v>0</v>
      </c>
      <c r="F85" s="40">
        <v>0</v>
      </c>
      <c r="G85" s="40">
        <v>0</v>
      </c>
      <c r="H85" s="462">
        <v>0</v>
      </c>
      <c r="I85" s="465">
        <f t="shared" si="6"/>
        <v>0</v>
      </c>
    </row>
    <row r="86" spans="1:9" x14ac:dyDescent="0.15">
      <c r="A86" s="622" t="s">
        <v>1387</v>
      </c>
      <c r="B86" s="702" t="s">
        <v>698</v>
      </c>
      <c r="C86" s="135" t="s">
        <v>10</v>
      </c>
      <c r="D86" s="40">
        <v>0</v>
      </c>
      <c r="E86" s="40">
        <v>0</v>
      </c>
      <c r="F86" s="40">
        <v>0</v>
      </c>
      <c r="G86" s="40">
        <v>0</v>
      </c>
      <c r="H86" s="462">
        <v>0</v>
      </c>
      <c r="I86" s="465">
        <f t="shared" si="6"/>
        <v>0</v>
      </c>
    </row>
    <row r="87" spans="1:9" x14ac:dyDescent="0.15">
      <c r="A87" s="423" t="s">
        <v>77</v>
      </c>
      <c r="B87" s="702" t="s">
        <v>699</v>
      </c>
      <c r="C87" s="135" t="s">
        <v>78</v>
      </c>
      <c r="D87" s="40">
        <v>0</v>
      </c>
      <c r="E87" s="40">
        <v>0</v>
      </c>
      <c r="F87" s="40">
        <v>0</v>
      </c>
      <c r="G87" s="40">
        <v>0</v>
      </c>
      <c r="H87" s="462">
        <v>0</v>
      </c>
      <c r="I87" s="465">
        <f t="shared" si="6"/>
        <v>0</v>
      </c>
    </row>
    <row r="88" spans="1:9" x14ac:dyDescent="0.15">
      <c r="B88" s="708" t="s">
        <v>1521</v>
      </c>
      <c r="C88" s="135" t="s">
        <v>62</v>
      </c>
      <c r="D88" s="40">
        <v>0</v>
      </c>
      <c r="E88" s="40">
        <v>0</v>
      </c>
      <c r="F88" s="40">
        <v>0</v>
      </c>
      <c r="G88" s="40">
        <v>0</v>
      </c>
      <c r="H88" s="462">
        <v>0</v>
      </c>
      <c r="I88" s="465">
        <f t="shared" si="6"/>
        <v>0</v>
      </c>
    </row>
    <row r="89" spans="1:9" x14ac:dyDescent="0.15">
      <c r="B89" s="708" t="s">
        <v>1522</v>
      </c>
      <c r="C89" s="135" t="s">
        <v>1344</v>
      </c>
      <c r="D89" s="40">
        <v>0</v>
      </c>
      <c r="E89" s="40">
        <v>0</v>
      </c>
      <c r="F89" s="40">
        <v>0</v>
      </c>
      <c r="G89" s="40">
        <v>0</v>
      </c>
      <c r="H89" s="462">
        <v>0</v>
      </c>
      <c r="I89" s="465">
        <f t="shared" si="6"/>
        <v>0</v>
      </c>
    </row>
    <row r="90" spans="1:9" x14ac:dyDescent="0.15">
      <c r="B90" s="702" t="s">
        <v>1523</v>
      </c>
      <c r="C90" s="135" t="s">
        <v>63</v>
      </c>
      <c r="D90" s="40">
        <v>0</v>
      </c>
      <c r="E90" s="40">
        <v>0</v>
      </c>
      <c r="F90" s="40">
        <v>0</v>
      </c>
      <c r="G90" s="40">
        <v>0</v>
      </c>
      <c r="H90" s="462">
        <v>0</v>
      </c>
      <c r="I90" s="465">
        <f t="shared" si="6"/>
        <v>0</v>
      </c>
    </row>
    <row r="91" spans="1:9" x14ac:dyDescent="0.15">
      <c r="B91" s="702" t="s">
        <v>700</v>
      </c>
      <c r="C91" s="135" t="s">
        <v>64</v>
      </c>
      <c r="D91" s="40">
        <v>0</v>
      </c>
      <c r="E91" s="40">
        <v>0</v>
      </c>
      <c r="F91" s="40">
        <v>0</v>
      </c>
      <c r="G91" s="40">
        <v>0</v>
      </c>
      <c r="H91" s="462">
        <v>0</v>
      </c>
      <c r="I91" s="465">
        <f t="shared" si="6"/>
        <v>0</v>
      </c>
    </row>
    <row r="92" spans="1:9" ht="11.25" thickBot="1" x14ac:dyDescent="0.2">
      <c r="B92" s="433"/>
      <c r="C92" s="135"/>
      <c r="D92" s="14"/>
      <c r="E92" s="14"/>
      <c r="F92" s="14"/>
      <c r="G92" s="14"/>
      <c r="H92" s="14"/>
      <c r="I92" s="479"/>
    </row>
    <row r="93" spans="1:9" ht="12" thickTop="1" thickBot="1" x14ac:dyDescent="0.2">
      <c r="B93" s="702" t="s">
        <v>701</v>
      </c>
      <c r="C93" s="703" t="s">
        <v>1529</v>
      </c>
      <c r="D93" s="166">
        <f t="shared" ref="D93:I93" si="7">SUM(D80:D91)</f>
        <v>0</v>
      </c>
      <c r="E93" s="166">
        <f t="shared" si="7"/>
        <v>0</v>
      </c>
      <c r="F93" s="166">
        <f t="shared" si="7"/>
        <v>0</v>
      </c>
      <c r="G93" s="297">
        <f t="shared" si="7"/>
        <v>0</v>
      </c>
      <c r="H93" s="529">
        <f t="shared" si="7"/>
        <v>0</v>
      </c>
      <c r="I93" s="466">
        <f t="shared" si="7"/>
        <v>0</v>
      </c>
    </row>
    <row r="94" spans="1:9" ht="11.25" thickTop="1" x14ac:dyDescent="0.15">
      <c r="B94" s="433"/>
      <c r="C94" s="135"/>
      <c r="D94" s="195"/>
      <c r="E94" s="195"/>
      <c r="F94" s="195"/>
      <c r="G94" s="312"/>
      <c r="H94" s="312"/>
      <c r="I94" s="472"/>
    </row>
    <row r="95" spans="1:9" x14ac:dyDescent="0.15">
      <c r="B95" s="433"/>
      <c r="C95" s="438" t="s">
        <v>297</v>
      </c>
      <c r="D95" s="430"/>
      <c r="E95" s="430"/>
      <c r="F95" s="430"/>
      <c r="G95" s="439"/>
      <c r="H95" s="439"/>
      <c r="I95" s="473"/>
    </row>
    <row r="96" spans="1:9" x14ac:dyDescent="0.15">
      <c r="A96" s="414" t="s">
        <v>1043</v>
      </c>
      <c r="B96" s="702" t="s">
        <v>702</v>
      </c>
      <c r="C96" s="2" t="s">
        <v>461</v>
      </c>
      <c r="D96" s="40">
        <v>0</v>
      </c>
      <c r="E96" s="40">
        <v>0</v>
      </c>
      <c r="F96" s="40">
        <v>0</v>
      </c>
      <c r="G96" s="40">
        <v>0</v>
      </c>
      <c r="H96" s="463">
        <v>0</v>
      </c>
      <c r="I96" s="464">
        <f t="shared" ref="I96:I101" si="8">SUM(G96+H96)</f>
        <v>0</v>
      </c>
    </row>
    <row r="97" spans="1:9" x14ac:dyDescent="0.15">
      <c r="A97" s="709" t="s">
        <v>1524</v>
      </c>
      <c r="B97" s="702" t="s">
        <v>703</v>
      </c>
      <c r="C97" s="703" t="s">
        <v>1525</v>
      </c>
      <c r="D97" s="40">
        <v>0</v>
      </c>
      <c r="E97" s="40">
        <v>0</v>
      </c>
      <c r="F97" s="40">
        <v>0</v>
      </c>
      <c r="G97" s="300">
        <v>0</v>
      </c>
      <c r="H97" s="463">
        <v>0</v>
      </c>
      <c r="I97" s="464">
        <f t="shared" si="8"/>
        <v>0</v>
      </c>
    </row>
    <row r="98" spans="1:9" x14ac:dyDescent="0.15">
      <c r="A98" s="414" t="s">
        <v>27</v>
      </c>
      <c r="B98" s="702" t="s">
        <v>704</v>
      </c>
      <c r="C98" s="135" t="s">
        <v>28</v>
      </c>
      <c r="D98" s="40">
        <v>0</v>
      </c>
      <c r="E98" s="40">
        <v>0</v>
      </c>
      <c r="F98" s="40">
        <v>0</v>
      </c>
      <c r="G98" s="300">
        <v>0</v>
      </c>
      <c r="H98" s="463">
        <v>0</v>
      </c>
      <c r="I98" s="464">
        <f t="shared" si="8"/>
        <v>0</v>
      </c>
    </row>
    <row r="99" spans="1:9" x14ac:dyDescent="0.15">
      <c r="A99" s="414" t="s">
        <v>26</v>
      </c>
      <c r="B99" s="702" t="s">
        <v>705</v>
      </c>
      <c r="C99" s="135" t="s">
        <v>1055</v>
      </c>
      <c r="D99" s="40">
        <v>0</v>
      </c>
      <c r="E99" s="40">
        <v>0</v>
      </c>
      <c r="F99" s="40">
        <v>0</v>
      </c>
      <c r="G99" s="300">
        <v>0</v>
      </c>
      <c r="H99" s="463">
        <v>0</v>
      </c>
      <c r="I99" s="464">
        <f t="shared" si="8"/>
        <v>0</v>
      </c>
    </row>
    <row r="100" spans="1:9" x14ac:dyDescent="0.15">
      <c r="A100" s="709" t="s">
        <v>1526</v>
      </c>
      <c r="B100" s="702" t="s">
        <v>706</v>
      </c>
      <c r="C100" s="703" t="s">
        <v>1527</v>
      </c>
      <c r="D100" s="40">
        <v>0</v>
      </c>
      <c r="E100" s="40">
        <v>0</v>
      </c>
      <c r="F100" s="40">
        <v>0</v>
      </c>
      <c r="G100" s="300">
        <v>0</v>
      </c>
      <c r="H100" s="463">
        <v>0</v>
      </c>
      <c r="I100" s="464">
        <f t="shared" si="8"/>
        <v>0</v>
      </c>
    </row>
    <row r="101" spans="1:9" ht="11.25" thickBot="1" x14ac:dyDescent="0.2">
      <c r="A101" s="423" t="s">
        <v>79</v>
      </c>
      <c r="B101" s="702" t="s">
        <v>707</v>
      </c>
      <c r="C101" s="135" t="s">
        <v>65</v>
      </c>
      <c r="D101" s="40">
        <v>0</v>
      </c>
      <c r="E101" s="40">
        <v>0</v>
      </c>
      <c r="F101" s="40">
        <v>0</v>
      </c>
      <c r="G101" s="300">
        <v>0</v>
      </c>
      <c r="H101" s="463">
        <v>0</v>
      </c>
      <c r="I101" s="467">
        <f t="shared" si="8"/>
        <v>0</v>
      </c>
    </row>
    <row r="102" spans="1:9" ht="12" thickTop="1" thickBot="1" x14ac:dyDescent="0.2">
      <c r="B102" s="702" t="s">
        <v>708</v>
      </c>
      <c r="C102" s="703" t="s">
        <v>1530</v>
      </c>
      <c r="D102" s="166">
        <f t="shared" ref="D102:I102" si="9">SUM(D96:D101)</f>
        <v>0</v>
      </c>
      <c r="E102" s="166">
        <f t="shared" si="9"/>
        <v>0</v>
      </c>
      <c r="F102" s="166">
        <f t="shared" si="9"/>
        <v>0</v>
      </c>
      <c r="G102" s="297">
        <f t="shared" si="9"/>
        <v>0</v>
      </c>
      <c r="H102" s="529">
        <f t="shared" si="9"/>
        <v>0</v>
      </c>
      <c r="I102" s="466">
        <f t="shared" si="9"/>
        <v>0</v>
      </c>
    </row>
    <row r="103" spans="1:9" ht="12" thickTop="1" thickBot="1" x14ac:dyDescent="0.2">
      <c r="B103" s="433"/>
      <c r="C103" s="135"/>
      <c r="D103" s="195"/>
      <c r="E103" s="195"/>
      <c r="F103" s="195"/>
      <c r="G103" s="195"/>
      <c r="H103" s="195"/>
      <c r="I103" s="480"/>
    </row>
    <row r="104" spans="1:9" ht="22.5" thickTop="1" thickBot="1" x14ac:dyDescent="0.2">
      <c r="B104" s="702" t="s">
        <v>709</v>
      </c>
      <c r="C104" s="710" t="s">
        <v>1531</v>
      </c>
      <c r="D104" s="166">
        <f t="shared" ref="D104:H104" si="10">SUM(D46+D49+D77+D93+D102)</f>
        <v>0</v>
      </c>
      <c r="E104" s="166">
        <f t="shared" si="10"/>
        <v>0</v>
      </c>
      <c r="F104" s="166">
        <f t="shared" si="10"/>
        <v>0</v>
      </c>
      <c r="G104" s="166">
        <f t="shared" si="10"/>
        <v>0</v>
      </c>
      <c r="H104" s="493">
        <f t="shared" si="10"/>
        <v>0</v>
      </c>
      <c r="I104" s="468">
        <f>SUM(I46+I49+I77+I93+I102)</f>
        <v>0</v>
      </c>
    </row>
    <row r="105" spans="1:9" ht="12" thickTop="1" thickBot="1" x14ac:dyDescent="0.2">
      <c r="B105" s="433"/>
      <c r="C105" s="135"/>
      <c r="D105" s="195"/>
      <c r="E105" s="195"/>
      <c r="F105" s="195"/>
      <c r="G105" s="195"/>
      <c r="H105" s="195"/>
      <c r="I105" s="480"/>
    </row>
    <row r="106" spans="1:9" ht="22.5" thickTop="1" thickBot="1" x14ac:dyDescent="0.2">
      <c r="B106" s="702" t="s">
        <v>710</v>
      </c>
      <c r="C106" s="710" t="s">
        <v>1532</v>
      </c>
      <c r="D106" s="166">
        <f t="shared" ref="D106:H106" si="11">D104+D5</f>
        <v>0</v>
      </c>
      <c r="E106" s="166">
        <f t="shared" si="11"/>
        <v>0</v>
      </c>
      <c r="F106" s="166">
        <f t="shared" si="11"/>
        <v>0</v>
      </c>
      <c r="G106" s="166">
        <f t="shared" si="11"/>
        <v>0</v>
      </c>
      <c r="H106" s="493">
        <f t="shared" si="11"/>
        <v>0</v>
      </c>
      <c r="I106" s="468">
        <f>I104+I5</f>
        <v>0</v>
      </c>
    </row>
    <row r="107" spans="1:9" ht="11.25" thickTop="1" x14ac:dyDescent="0.15">
      <c r="B107" s="433"/>
      <c r="C107" s="135" t="s">
        <v>296</v>
      </c>
      <c r="D107" s="195"/>
      <c r="E107" s="195"/>
      <c r="F107" s="195"/>
      <c r="G107" s="195"/>
      <c r="H107" s="195"/>
      <c r="I107" s="481"/>
    </row>
    <row r="108" spans="1:9" x14ac:dyDescent="0.15">
      <c r="A108" s="436" t="s">
        <v>239</v>
      </c>
      <c r="B108" s="711" t="s">
        <v>711</v>
      </c>
      <c r="C108" s="554" t="s">
        <v>1548</v>
      </c>
      <c r="D108" s="40">
        <v>0</v>
      </c>
      <c r="E108" s="40">
        <v>0</v>
      </c>
      <c r="F108" s="40">
        <v>0</v>
      </c>
      <c r="G108" s="40">
        <v>0</v>
      </c>
      <c r="H108" s="462">
        <v>0</v>
      </c>
      <c r="I108" s="464">
        <f>SUM(G108+H108)</f>
        <v>0</v>
      </c>
    </row>
    <row r="109" spans="1:9" x14ac:dyDescent="0.15">
      <c r="A109" s="436" t="s">
        <v>819</v>
      </c>
      <c r="B109" s="711" t="s">
        <v>712</v>
      </c>
      <c r="C109" s="135" t="s">
        <v>610</v>
      </c>
      <c r="D109" s="40">
        <v>0</v>
      </c>
      <c r="E109" s="40">
        <v>0</v>
      </c>
      <c r="F109" s="40">
        <v>0</v>
      </c>
      <c r="G109" s="40">
        <v>0</v>
      </c>
      <c r="H109" s="462">
        <v>0</v>
      </c>
      <c r="I109" s="464">
        <f>SUM(G109+H109)</f>
        <v>0</v>
      </c>
    </row>
    <row r="110" spans="1:9" x14ac:dyDescent="0.15">
      <c r="A110" s="436" t="s">
        <v>164</v>
      </c>
      <c r="B110" s="711" t="s">
        <v>713</v>
      </c>
      <c r="C110" s="135" t="s">
        <v>1127</v>
      </c>
      <c r="D110" s="40">
        <v>0</v>
      </c>
      <c r="E110" s="40">
        <v>0</v>
      </c>
      <c r="F110" s="40">
        <v>0</v>
      </c>
      <c r="G110" s="40">
        <v>0</v>
      </c>
      <c r="H110" s="462">
        <v>0</v>
      </c>
      <c r="I110" s="464">
        <f>SUM(G110+H110)</f>
        <v>0</v>
      </c>
    </row>
    <row r="111" spans="1:9" ht="11.25" thickBot="1" x14ac:dyDescent="0.2">
      <c r="A111" s="436"/>
      <c r="B111" s="702" t="s">
        <v>1533</v>
      </c>
      <c r="C111" s="135"/>
      <c r="D111" s="14"/>
      <c r="E111" s="14"/>
      <c r="F111" s="14"/>
      <c r="G111" s="14"/>
      <c r="H111" s="14"/>
      <c r="I111" s="467"/>
    </row>
    <row r="112" spans="1:9" ht="12" thickTop="1" thickBot="1" x14ac:dyDescent="0.2">
      <c r="A112" s="436"/>
      <c r="B112" s="711" t="s">
        <v>714</v>
      </c>
      <c r="C112" s="703" t="s">
        <v>1534</v>
      </c>
      <c r="D112" s="166">
        <f t="shared" ref="D112:I112" si="12">SUM(D108:D110)</f>
        <v>0</v>
      </c>
      <c r="E112" s="166">
        <f t="shared" si="12"/>
        <v>0</v>
      </c>
      <c r="F112" s="166">
        <f t="shared" si="12"/>
        <v>0</v>
      </c>
      <c r="G112" s="166">
        <f t="shared" si="12"/>
        <v>0</v>
      </c>
      <c r="H112" s="493">
        <f t="shared" si="12"/>
        <v>0</v>
      </c>
      <c r="I112" s="466">
        <f t="shared" si="12"/>
        <v>0</v>
      </c>
    </row>
    <row r="113" spans="1:9" ht="12" thickTop="1" thickBot="1" x14ac:dyDescent="0.2">
      <c r="A113" s="436"/>
      <c r="B113" s="702" t="s">
        <v>1533</v>
      </c>
      <c r="C113" s="135"/>
      <c r="D113" s="14"/>
      <c r="E113" s="14"/>
      <c r="F113" s="14"/>
      <c r="G113" s="14"/>
      <c r="H113" s="14"/>
      <c r="I113" s="482"/>
    </row>
    <row r="114" spans="1:9" ht="11.25" thickBot="1" x14ac:dyDescent="0.2">
      <c r="B114" s="711" t="s">
        <v>715</v>
      </c>
      <c r="C114" s="442" t="s">
        <v>1535</v>
      </c>
      <c r="D114" s="168">
        <f t="shared" ref="D114:H114" si="13">D106-D112</f>
        <v>0</v>
      </c>
      <c r="E114" s="168">
        <f t="shared" si="13"/>
        <v>0</v>
      </c>
      <c r="F114" s="168">
        <f t="shared" si="13"/>
        <v>0</v>
      </c>
      <c r="G114" s="168">
        <f t="shared" si="13"/>
        <v>0</v>
      </c>
      <c r="H114" s="531">
        <f t="shared" si="13"/>
        <v>0</v>
      </c>
      <c r="I114" s="208">
        <f>I106-I112</f>
        <v>0</v>
      </c>
    </row>
    <row r="115" spans="1:9" x14ac:dyDescent="0.15">
      <c r="I115" s="469"/>
    </row>
    <row r="116" spans="1:9" x14ac:dyDescent="0.15">
      <c r="A116" s="563" t="s">
        <v>290</v>
      </c>
      <c r="C116" s="427" t="s">
        <v>286</v>
      </c>
      <c r="I116" s="176"/>
    </row>
    <row r="117" spans="1:9" x14ac:dyDescent="0.15">
      <c r="A117" s="417" t="s">
        <v>1043</v>
      </c>
      <c r="B117" s="702" t="s">
        <v>1536</v>
      </c>
      <c r="C117" s="2" t="s">
        <v>293</v>
      </c>
      <c r="D117" s="40">
        <v>0</v>
      </c>
      <c r="E117" s="40">
        <v>0</v>
      </c>
      <c r="F117" s="40">
        <v>0</v>
      </c>
      <c r="G117" s="40">
        <v>0</v>
      </c>
      <c r="H117" s="463">
        <v>0</v>
      </c>
      <c r="I117" s="464">
        <f>SUM(G117+H117)</f>
        <v>0</v>
      </c>
    </row>
    <row r="119" spans="1:9" x14ac:dyDescent="0.15">
      <c r="A119" s="563" t="s">
        <v>291</v>
      </c>
      <c r="C119" s="427" t="s">
        <v>287</v>
      </c>
    </row>
    <row r="120" spans="1:9" x14ac:dyDescent="0.15">
      <c r="A120" s="563"/>
      <c r="C120" s="412" t="s">
        <v>298</v>
      </c>
    </row>
    <row r="121" spans="1:9" x14ac:dyDescent="0.15">
      <c r="A121" s="582" t="s">
        <v>239</v>
      </c>
      <c r="B121" s="711" t="s">
        <v>1537</v>
      </c>
      <c r="C121" s="554" t="s">
        <v>1549</v>
      </c>
      <c r="D121" s="40">
        <v>0</v>
      </c>
      <c r="E121" s="40">
        <v>0</v>
      </c>
      <c r="F121" s="40">
        <v>0</v>
      </c>
      <c r="G121" s="40">
        <v>0</v>
      </c>
      <c r="H121" s="462">
        <v>0</v>
      </c>
      <c r="I121" s="464">
        <f>SUM(G121+H121)</f>
        <v>0</v>
      </c>
    </row>
    <row r="122" spans="1:9" x14ac:dyDescent="0.15">
      <c r="A122" s="582" t="s">
        <v>819</v>
      </c>
      <c r="B122" s="711" t="s">
        <v>1538</v>
      </c>
      <c r="C122" s="135" t="s">
        <v>610</v>
      </c>
      <c r="D122" s="40">
        <v>0</v>
      </c>
      <c r="E122" s="40">
        <v>0</v>
      </c>
      <c r="F122" s="40">
        <v>0</v>
      </c>
      <c r="G122" s="40">
        <v>0</v>
      </c>
      <c r="H122" s="462">
        <v>0</v>
      </c>
      <c r="I122" s="464">
        <f>SUM(G122+H122)</f>
        <v>0</v>
      </c>
    </row>
    <row r="123" spans="1:9" x14ac:dyDescent="0.15">
      <c r="A123" s="582" t="s">
        <v>164</v>
      </c>
      <c r="B123" s="711" t="s">
        <v>1539</v>
      </c>
      <c r="C123" s="135" t="s">
        <v>1127</v>
      </c>
      <c r="D123" s="40">
        <v>0</v>
      </c>
      <c r="E123" s="40">
        <v>0</v>
      </c>
      <c r="F123" s="40">
        <v>0</v>
      </c>
      <c r="G123" s="40">
        <v>0</v>
      </c>
      <c r="H123" s="462">
        <v>0</v>
      </c>
      <c r="I123" s="464">
        <f>SUM(G123+H123)</f>
        <v>0</v>
      </c>
    </row>
    <row r="125" spans="1:9" x14ac:dyDescent="0.15">
      <c r="B125" s="412" t="s">
        <v>292</v>
      </c>
    </row>
    <row r="127" spans="1:9" x14ac:dyDescent="0.15">
      <c r="A127" s="565" t="s">
        <v>294</v>
      </c>
      <c r="B127" s="413" t="s">
        <v>295</v>
      </c>
    </row>
  </sheetData>
  <sheetProtection password="CB03" sheet="1" objects="1" scenarios="1" formatCells="0" formatColumns="0" formatRows="0"/>
  <phoneticPr fontId="15" type="noConversion"/>
  <pageMargins left="0.75" right="0.75" top="1" bottom="1" header="0.5" footer="0.5"/>
  <pageSetup scale="58" firstPageNumber="2" fitToHeight="0" orientation="portrait" r:id="rId1"/>
  <headerFooter alignWithMargins="0">
    <oddFooter>&amp;LCDE, Public Scool Finance Unit&amp;C&amp;P&amp;R&amp;D</oddFooter>
  </headerFooter>
  <rowBreaks count="1" manualBreakCount="1">
    <brk id="78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I64"/>
  <sheetViews>
    <sheetView workbookViewId="0">
      <selection activeCell="A2" sqref="A2"/>
    </sheetView>
  </sheetViews>
  <sheetFormatPr defaultColWidth="12" defaultRowHeight="10.5" x14ac:dyDescent="0.15"/>
  <cols>
    <col min="1" max="1" width="10.33203125" customWidth="1"/>
    <col min="2" max="2" width="3.83203125" customWidth="1"/>
    <col min="3" max="3" width="70.83203125" customWidth="1"/>
    <col min="4" max="4" width="15.83203125" customWidth="1"/>
    <col min="5" max="5" width="17.33203125" customWidth="1"/>
    <col min="6" max="6" width="18.33203125" customWidth="1"/>
    <col min="7" max="7" width="15.83203125" customWidth="1"/>
    <col min="8" max="9" width="16.33203125" customWidth="1"/>
  </cols>
  <sheetData>
    <row r="1" spans="1:9" x14ac:dyDescent="0.15">
      <c r="A1" t="s">
        <v>1044</v>
      </c>
      <c r="C1" s="10">
        <f>+'Page 1 - FY2016-17'!B5</f>
        <v>0</v>
      </c>
      <c r="D1" t="s">
        <v>889</v>
      </c>
      <c r="E1" s="105">
        <f>+'Page 1 - FY2016-17'!F7</f>
        <v>0</v>
      </c>
      <c r="G1" s="37" t="s">
        <v>891</v>
      </c>
    </row>
    <row r="2" spans="1:9" x14ac:dyDescent="0.15">
      <c r="A2" s="15" t="s">
        <v>1575</v>
      </c>
      <c r="E2" s="37"/>
      <c r="F2" s="37"/>
    </row>
    <row r="3" spans="1:9" ht="42" x14ac:dyDescent="0.15">
      <c r="A3" s="15"/>
      <c r="D3" s="580" t="s">
        <v>1607</v>
      </c>
      <c r="E3" s="580" t="s">
        <v>1606</v>
      </c>
      <c r="F3" s="580" t="s">
        <v>1605</v>
      </c>
      <c r="G3" s="580" t="s">
        <v>1604</v>
      </c>
      <c r="H3" s="580" t="s">
        <v>1603</v>
      </c>
      <c r="I3" s="580" t="s">
        <v>1602</v>
      </c>
    </row>
    <row r="4" spans="1:9" ht="63" x14ac:dyDescent="0.15">
      <c r="A4" s="15"/>
      <c r="D4" s="424"/>
      <c r="E4" s="424"/>
      <c r="F4" s="424"/>
      <c r="G4" s="424"/>
      <c r="H4" s="713" t="s">
        <v>1541</v>
      </c>
      <c r="I4" s="715" t="s">
        <v>1516</v>
      </c>
    </row>
    <row r="5" spans="1:9" ht="11.25" thickBot="1" x14ac:dyDescent="0.2">
      <c r="A5" s="19"/>
      <c r="E5" s="19"/>
      <c r="I5" s="6"/>
    </row>
    <row r="6" spans="1:9" ht="11.25" thickBot="1" x14ac:dyDescent="0.2">
      <c r="A6" s="34" t="s">
        <v>1132</v>
      </c>
      <c r="B6" s="34" t="s">
        <v>892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168">
        <f>SUM(G6+H6)</f>
        <v>0</v>
      </c>
    </row>
    <row r="7" spans="1:9" x14ac:dyDescent="0.15">
      <c r="A7" s="34"/>
      <c r="B7" s="34"/>
      <c r="D7" s="14"/>
      <c r="E7" s="14"/>
      <c r="F7" s="14"/>
      <c r="G7" s="14"/>
      <c r="I7" s="6"/>
    </row>
    <row r="8" spans="1:9" x14ac:dyDescent="0.15">
      <c r="A8" s="35" t="s">
        <v>895</v>
      </c>
      <c r="C8" s="206" t="s">
        <v>1133</v>
      </c>
      <c r="E8" s="5"/>
      <c r="F8" s="5"/>
      <c r="G8" s="5"/>
      <c r="I8" s="6"/>
    </row>
    <row r="9" spans="1:9" x14ac:dyDescent="0.15">
      <c r="A9" s="1" t="s">
        <v>905</v>
      </c>
      <c r="B9" s="207" t="s">
        <v>560</v>
      </c>
      <c r="C9" s="1" t="s">
        <v>1332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2">
        <f>SUM(G9+H9)</f>
        <v>0</v>
      </c>
    </row>
    <row r="10" spans="1:9" x14ac:dyDescent="0.15">
      <c r="A10" s="1" t="s">
        <v>1043</v>
      </c>
      <c r="B10" s="207" t="s">
        <v>561</v>
      </c>
      <c r="C10" s="2" t="s">
        <v>972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2">
        <f>SUM(G10+H10)</f>
        <v>0</v>
      </c>
    </row>
    <row r="11" spans="1:9" x14ac:dyDescent="0.15">
      <c r="B11" s="207" t="s">
        <v>562</v>
      </c>
      <c r="C11" s="1" t="s">
        <v>572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2">
        <f>SUM(G11+H11)</f>
        <v>0</v>
      </c>
    </row>
    <row r="12" spans="1:9" ht="11.25" thickBot="1" x14ac:dyDescent="0.2">
      <c r="I12" s="6"/>
    </row>
    <row r="13" spans="1:9" ht="12" thickTop="1" thickBot="1" x14ac:dyDescent="0.2">
      <c r="B13" s="207" t="s">
        <v>625</v>
      </c>
      <c r="C13" s="34" t="s">
        <v>1155</v>
      </c>
      <c r="D13" s="41">
        <f t="shared" ref="D13:I13" si="0">SUM(D9:D12)</f>
        <v>0</v>
      </c>
      <c r="E13" s="41">
        <f t="shared" si="0"/>
        <v>0</v>
      </c>
      <c r="F13" s="41">
        <f t="shared" si="0"/>
        <v>0</v>
      </c>
      <c r="G13" s="41">
        <f t="shared" si="0"/>
        <v>0</v>
      </c>
      <c r="H13" s="41">
        <f t="shared" si="0"/>
        <v>0</v>
      </c>
      <c r="I13" s="41">
        <f t="shared" si="0"/>
        <v>0</v>
      </c>
    </row>
    <row r="14" spans="1:9" ht="12" thickTop="1" thickBot="1" x14ac:dyDescent="0.2">
      <c r="C14" s="1"/>
      <c r="I14" s="6"/>
    </row>
    <row r="15" spans="1:9" ht="11.25" thickBot="1" x14ac:dyDescent="0.2">
      <c r="A15" s="34" t="s">
        <v>597</v>
      </c>
      <c r="D15" s="43">
        <f t="shared" ref="D15:I15" si="1">D6+D13</f>
        <v>0</v>
      </c>
      <c r="E15" s="43">
        <f t="shared" si="1"/>
        <v>0</v>
      </c>
      <c r="F15" s="43">
        <f t="shared" si="1"/>
        <v>0</v>
      </c>
      <c r="G15" s="43">
        <f t="shared" si="1"/>
        <v>0</v>
      </c>
      <c r="H15" s="43">
        <f t="shared" si="1"/>
        <v>0</v>
      </c>
      <c r="I15" s="43">
        <f t="shared" si="1"/>
        <v>0</v>
      </c>
    </row>
    <row r="16" spans="1:9" x14ac:dyDescent="0.15">
      <c r="E16" s="5"/>
      <c r="F16" s="5"/>
      <c r="G16" s="5"/>
      <c r="I16" s="6"/>
    </row>
    <row r="17" spans="1:9" x14ac:dyDescent="0.15">
      <c r="A17" s="563" t="s">
        <v>290</v>
      </c>
      <c r="B17" s="413"/>
      <c r="C17" s="427" t="s">
        <v>286</v>
      </c>
      <c r="D17" s="412"/>
      <c r="E17" s="412"/>
      <c r="F17" s="412"/>
      <c r="G17" s="412"/>
      <c r="H17" s="412"/>
      <c r="I17" s="176"/>
    </row>
    <row r="18" spans="1:9" s="155" customFormat="1" x14ac:dyDescent="0.15">
      <c r="A18" s="417" t="s">
        <v>1043</v>
      </c>
      <c r="B18" s="433" t="s">
        <v>1204</v>
      </c>
      <c r="C18" s="2" t="s">
        <v>293</v>
      </c>
      <c r="D18" s="40">
        <v>0</v>
      </c>
      <c r="E18" s="40">
        <v>0</v>
      </c>
      <c r="F18" s="40">
        <v>0</v>
      </c>
      <c r="G18" s="40">
        <v>0</v>
      </c>
      <c r="H18" s="463">
        <v>0</v>
      </c>
      <c r="I18" s="464">
        <f>SUM(G18+H18)</f>
        <v>0</v>
      </c>
    </row>
    <row r="19" spans="1:9" s="155" customFormat="1" x14ac:dyDescent="0.15">
      <c r="A19" s="417"/>
      <c r="B19" s="433"/>
      <c r="C19" s="2"/>
      <c r="D19" s="14"/>
      <c r="E19" s="14"/>
      <c r="F19" s="14"/>
      <c r="G19" s="14"/>
      <c r="H19" s="301"/>
      <c r="I19" s="298"/>
    </row>
    <row r="20" spans="1:9" s="155" customFormat="1" x14ac:dyDescent="0.15">
      <c r="A20"/>
      <c r="B20"/>
      <c r="C20"/>
      <c r="D20"/>
      <c r="E20" s="5"/>
      <c r="F20" s="5"/>
      <c r="G20" s="5"/>
      <c r="H20"/>
      <c r="I20" s="6"/>
    </row>
    <row r="21" spans="1:9" s="155" customFormat="1" x14ac:dyDescent="0.15">
      <c r="A21" s="35" t="s">
        <v>1135</v>
      </c>
      <c r="C21" s="206" t="s">
        <v>1136</v>
      </c>
      <c r="D21" s="156"/>
      <c r="E21" s="156"/>
      <c r="F21" s="156"/>
      <c r="I21" s="164"/>
    </row>
    <row r="22" spans="1:9" s="155" customFormat="1" x14ac:dyDescent="0.15">
      <c r="A22" s="35"/>
      <c r="C22" s="155" t="s">
        <v>591</v>
      </c>
      <c r="D22" s="156"/>
      <c r="E22" s="156"/>
      <c r="F22" s="156"/>
      <c r="I22" s="164"/>
    </row>
    <row r="23" spans="1:9" s="155" customFormat="1" x14ac:dyDescent="0.15">
      <c r="A23" s="114" t="s">
        <v>1312</v>
      </c>
      <c r="B23" s="157" t="s">
        <v>626</v>
      </c>
      <c r="C23" s="114" t="s">
        <v>337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92">
        <f t="shared" ref="I23:I31" si="2">SUM(G23+H23)</f>
        <v>0</v>
      </c>
    </row>
    <row r="24" spans="1:9" s="155" customFormat="1" x14ac:dyDescent="0.15">
      <c r="A24" s="114" t="s">
        <v>1313</v>
      </c>
      <c r="B24" s="171" t="s">
        <v>627</v>
      </c>
      <c r="C24" s="114" t="s">
        <v>342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92">
        <f t="shared" si="2"/>
        <v>0</v>
      </c>
    </row>
    <row r="25" spans="1:9" s="155" customFormat="1" x14ac:dyDescent="0.15">
      <c r="A25" s="114" t="s">
        <v>1314</v>
      </c>
      <c r="B25" s="171" t="s">
        <v>628</v>
      </c>
      <c r="C25" s="114" t="s">
        <v>643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92">
        <f t="shared" si="2"/>
        <v>0</v>
      </c>
    </row>
    <row r="26" spans="1:9" s="155" customFormat="1" x14ac:dyDescent="0.15">
      <c r="A26" s="114" t="s">
        <v>1315</v>
      </c>
      <c r="B26" s="171" t="s">
        <v>629</v>
      </c>
      <c r="C26" s="114" t="s">
        <v>1059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92">
        <f t="shared" si="2"/>
        <v>0</v>
      </c>
    </row>
    <row r="27" spans="1:9" s="155" customFormat="1" x14ac:dyDescent="0.15">
      <c r="A27" s="114" t="s">
        <v>1316</v>
      </c>
      <c r="B27" s="171" t="s">
        <v>637</v>
      </c>
      <c r="C27" s="114" t="s">
        <v>1064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92">
        <f t="shared" si="2"/>
        <v>0</v>
      </c>
    </row>
    <row r="28" spans="1:9" s="155" customFormat="1" x14ac:dyDescent="0.15">
      <c r="A28" s="114" t="s">
        <v>1317</v>
      </c>
      <c r="B28" s="171" t="s">
        <v>641</v>
      </c>
      <c r="C28" s="114" t="s">
        <v>1096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92">
        <f t="shared" si="2"/>
        <v>0</v>
      </c>
    </row>
    <row r="29" spans="1:9" s="155" customFormat="1" x14ac:dyDescent="0.15">
      <c r="A29" s="107" t="s">
        <v>1020</v>
      </c>
      <c r="B29" s="171" t="s">
        <v>642</v>
      </c>
      <c r="C29" s="1" t="s">
        <v>1021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92">
        <f t="shared" si="2"/>
        <v>0</v>
      </c>
    </row>
    <row r="30" spans="1:9" s="155" customFormat="1" x14ac:dyDescent="0.15">
      <c r="A30" s="107" t="s">
        <v>113</v>
      </c>
      <c r="B30" s="171" t="s">
        <v>638</v>
      </c>
      <c r="C30" s="1" t="s">
        <v>1111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92">
        <f t="shared" si="2"/>
        <v>0</v>
      </c>
    </row>
    <row r="31" spans="1:9" s="155" customFormat="1" x14ac:dyDescent="0.15">
      <c r="A31" s="114" t="s">
        <v>1318</v>
      </c>
      <c r="B31" s="171" t="s">
        <v>639</v>
      </c>
      <c r="C31" s="114" t="s">
        <v>877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92">
        <f t="shared" si="2"/>
        <v>0</v>
      </c>
    </row>
    <row r="32" spans="1:9" s="155" customFormat="1" ht="11.25" thickBot="1" x14ac:dyDescent="0.2">
      <c r="A32" s="114"/>
      <c r="C32" s="114"/>
      <c r="D32" s="14"/>
      <c r="E32" s="156"/>
      <c r="F32" s="156"/>
      <c r="I32" s="164"/>
    </row>
    <row r="33" spans="1:9" s="155" customFormat="1" ht="12" thickTop="1" thickBot="1" x14ac:dyDescent="0.2">
      <c r="B33" s="171" t="s">
        <v>644</v>
      </c>
      <c r="C33" s="114" t="s">
        <v>598</v>
      </c>
      <c r="D33" s="166">
        <f t="shared" ref="D33:I33" si="3">SUM(D23:D31)</f>
        <v>0</v>
      </c>
      <c r="E33" s="166">
        <f t="shared" si="3"/>
        <v>0</v>
      </c>
      <c r="F33" s="166">
        <f t="shared" si="3"/>
        <v>0</v>
      </c>
      <c r="G33" s="166">
        <f t="shared" si="3"/>
        <v>0</v>
      </c>
      <c r="H33" s="166">
        <f t="shared" si="3"/>
        <v>0</v>
      </c>
      <c r="I33" s="166">
        <f t="shared" si="3"/>
        <v>0</v>
      </c>
    </row>
    <row r="34" spans="1:9" s="155" customFormat="1" ht="11.25" thickTop="1" x14ac:dyDescent="0.15">
      <c r="A34" s="35"/>
      <c r="C34" s="39"/>
      <c r="D34" s="156"/>
      <c r="E34" s="156"/>
      <c r="F34" s="156"/>
      <c r="I34" s="164"/>
    </row>
    <row r="35" spans="1:9" s="155" customFormat="1" x14ac:dyDescent="0.15">
      <c r="A35" s="35"/>
      <c r="C35" s="169" t="s">
        <v>1153</v>
      </c>
      <c r="D35" s="156"/>
      <c r="E35" s="156"/>
      <c r="F35" s="156"/>
      <c r="I35" s="164"/>
    </row>
    <row r="36" spans="1:9" s="155" customFormat="1" x14ac:dyDescent="0.15">
      <c r="A36" s="114" t="s">
        <v>1312</v>
      </c>
      <c r="B36" s="157" t="s">
        <v>645</v>
      </c>
      <c r="C36" s="114" t="s">
        <v>337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92">
        <f t="shared" ref="I36:I45" si="4">SUM(G36+H36)</f>
        <v>0</v>
      </c>
    </row>
    <row r="37" spans="1:9" s="155" customFormat="1" x14ac:dyDescent="0.15">
      <c r="A37" s="114" t="s">
        <v>1313</v>
      </c>
      <c r="B37" s="171" t="s">
        <v>646</v>
      </c>
      <c r="C37" s="114" t="s">
        <v>342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92">
        <f t="shared" si="4"/>
        <v>0</v>
      </c>
    </row>
    <row r="38" spans="1:9" s="155" customFormat="1" x14ac:dyDescent="0.15">
      <c r="A38" s="114" t="s">
        <v>1314</v>
      </c>
      <c r="B38" s="171" t="s">
        <v>647</v>
      </c>
      <c r="C38" s="114" t="s">
        <v>643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92">
        <f t="shared" si="4"/>
        <v>0</v>
      </c>
    </row>
    <row r="39" spans="1:9" s="155" customFormat="1" x14ac:dyDescent="0.15">
      <c r="A39" s="114" t="s">
        <v>1315</v>
      </c>
      <c r="B39" s="171" t="s">
        <v>648</v>
      </c>
      <c r="C39" s="114" t="s">
        <v>1059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92">
        <f t="shared" si="4"/>
        <v>0</v>
      </c>
    </row>
    <row r="40" spans="1:9" s="155" customFormat="1" x14ac:dyDescent="0.15">
      <c r="A40" s="114" t="s">
        <v>1316</v>
      </c>
      <c r="B40" s="171" t="s">
        <v>649</v>
      </c>
      <c r="C40" s="114" t="s">
        <v>1064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92">
        <f t="shared" si="4"/>
        <v>0</v>
      </c>
    </row>
    <row r="41" spans="1:9" s="155" customFormat="1" x14ac:dyDescent="0.15">
      <c r="A41" s="114" t="s">
        <v>1317</v>
      </c>
      <c r="B41" s="171" t="s">
        <v>650</v>
      </c>
      <c r="C41" s="114" t="s">
        <v>1096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92">
        <f t="shared" si="4"/>
        <v>0</v>
      </c>
    </row>
    <row r="42" spans="1:9" s="155" customFormat="1" x14ac:dyDescent="0.15">
      <c r="A42" s="107" t="s">
        <v>1020</v>
      </c>
      <c r="B42" s="171" t="s">
        <v>651</v>
      </c>
      <c r="C42" s="1" t="s">
        <v>1021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92">
        <f t="shared" si="4"/>
        <v>0</v>
      </c>
    </row>
    <row r="43" spans="1:9" s="155" customFormat="1" x14ac:dyDescent="0.15">
      <c r="A43" s="107" t="s">
        <v>113</v>
      </c>
      <c r="B43" s="171" t="s">
        <v>652</v>
      </c>
      <c r="C43" s="1" t="s">
        <v>1111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92">
        <f t="shared" si="4"/>
        <v>0</v>
      </c>
    </row>
    <row r="44" spans="1:9" x14ac:dyDescent="0.15">
      <c r="A44" s="149"/>
      <c r="B44" s="149"/>
      <c r="C44" s="568" t="s">
        <v>344</v>
      </c>
      <c r="D44" s="459">
        <f t="shared" ref="D44:I44" si="5">+D18</f>
        <v>0</v>
      </c>
      <c r="E44" s="459">
        <f t="shared" si="5"/>
        <v>0</v>
      </c>
      <c r="F44" s="459">
        <f t="shared" si="5"/>
        <v>0</v>
      </c>
      <c r="G44" s="459">
        <f t="shared" si="5"/>
        <v>0</v>
      </c>
      <c r="H44" s="459">
        <f t="shared" si="5"/>
        <v>0</v>
      </c>
      <c r="I44" s="459">
        <f t="shared" si="5"/>
        <v>0</v>
      </c>
    </row>
    <row r="45" spans="1:9" s="155" customFormat="1" x14ac:dyDescent="0.15">
      <c r="A45" s="114" t="s">
        <v>1318</v>
      </c>
      <c r="B45" s="171" t="s">
        <v>657</v>
      </c>
      <c r="C45" s="114" t="s">
        <v>877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92">
        <f t="shared" si="4"/>
        <v>0</v>
      </c>
    </row>
    <row r="46" spans="1:9" ht="11.25" thickBot="1" x14ac:dyDescent="0.2">
      <c r="A46" s="114"/>
      <c r="B46" s="155"/>
      <c r="C46" s="114"/>
      <c r="D46" s="14"/>
      <c r="E46" s="156"/>
      <c r="F46" s="156"/>
      <c r="G46" s="155"/>
      <c r="H46" s="155"/>
      <c r="I46" s="164"/>
    </row>
    <row r="47" spans="1:9" ht="12" thickTop="1" thickBot="1" x14ac:dyDescent="0.2">
      <c r="A47" s="155"/>
      <c r="B47" s="171" t="s">
        <v>658</v>
      </c>
      <c r="C47" s="169" t="s">
        <v>599</v>
      </c>
      <c r="D47" s="166">
        <f t="shared" ref="D47:I47" si="6">SUM(D36:D45)</f>
        <v>0</v>
      </c>
      <c r="E47" s="166">
        <f t="shared" si="6"/>
        <v>0</v>
      </c>
      <c r="F47" s="166">
        <f t="shared" si="6"/>
        <v>0</v>
      </c>
      <c r="G47" s="166">
        <f t="shared" si="6"/>
        <v>0</v>
      </c>
      <c r="H47" s="166">
        <f t="shared" si="6"/>
        <v>0</v>
      </c>
      <c r="I47" s="166">
        <f t="shared" si="6"/>
        <v>0</v>
      </c>
    </row>
    <row r="48" spans="1:9" ht="12" thickTop="1" thickBot="1" x14ac:dyDescent="0.2">
      <c r="D48" s="5"/>
      <c r="E48" s="5"/>
      <c r="F48" s="5"/>
      <c r="I48" s="6"/>
    </row>
    <row r="49" spans="1:9" ht="12" thickTop="1" thickBot="1" x14ac:dyDescent="0.2">
      <c r="A49" s="155"/>
      <c r="B49" s="171" t="s">
        <v>659</v>
      </c>
      <c r="C49" s="34" t="s">
        <v>600</v>
      </c>
      <c r="D49" s="166">
        <f t="shared" ref="D49:I49" si="7">D33+D47</f>
        <v>0</v>
      </c>
      <c r="E49" s="166">
        <f t="shared" si="7"/>
        <v>0</v>
      </c>
      <c r="F49" s="166">
        <f t="shared" si="7"/>
        <v>0</v>
      </c>
      <c r="G49" s="166">
        <f t="shared" si="7"/>
        <v>0</v>
      </c>
      <c r="H49" s="166">
        <f t="shared" si="7"/>
        <v>0</v>
      </c>
      <c r="I49" s="166">
        <f t="shared" si="7"/>
        <v>0</v>
      </c>
    </row>
    <row r="50" spans="1:9" ht="11.25" thickTop="1" x14ac:dyDescent="0.15">
      <c r="E50" s="5"/>
      <c r="F50" s="5"/>
      <c r="G50" s="5"/>
      <c r="I50" s="6"/>
    </row>
    <row r="51" spans="1:9" x14ac:dyDescent="0.15">
      <c r="A51" s="152" t="s">
        <v>1048</v>
      </c>
      <c r="C51" s="206" t="s">
        <v>211</v>
      </c>
      <c r="D51" s="156"/>
      <c r="E51" s="156"/>
      <c r="F51" s="156"/>
      <c r="G51" s="156"/>
      <c r="I51" s="6"/>
    </row>
    <row r="52" spans="1:9" x14ac:dyDescent="0.15">
      <c r="A52" s="486" t="s">
        <v>827</v>
      </c>
      <c r="B52" s="633" t="s">
        <v>660</v>
      </c>
      <c r="C52" s="135" t="s">
        <v>821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92">
        <f>SUM(G52+H52)</f>
        <v>0</v>
      </c>
    </row>
    <row r="53" spans="1:9" x14ac:dyDescent="0.15">
      <c r="A53" s="627" t="s">
        <v>1395</v>
      </c>
      <c r="B53" s="633" t="s">
        <v>662</v>
      </c>
      <c r="C53" s="135" t="s">
        <v>823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92">
        <f>SUM(G53+H53)</f>
        <v>0</v>
      </c>
    </row>
    <row r="54" spans="1:9" ht="11.25" customHeight="1" x14ac:dyDescent="0.15">
      <c r="A54" s="627" t="s">
        <v>1396</v>
      </c>
      <c r="B54" s="633" t="s">
        <v>663</v>
      </c>
      <c r="C54" s="625" t="s">
        <v>1397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92">
        <f>SUM(G54+H54)</f>
        <v>0</v>
      </c>
    </row>
    <row r="55" spans="1:9" ht="11.25" thickBot="1" x14ac:dyDescent="0.2">
      <c r="A55" s="486" t="s">
        <v>831</v>
      </c>
      <c r="B55" s="633" t="s">
        <v>664</v>
      </c>
      <c r="C55" s="135" t="s">
        <v>825</v>
      </c>
      <c r="D55" s="147">
        <v>0</v>
      </c>
      <c r="E55" s="147">
        <v>0</v>
      </c>
      <c r="F55" s="147">
        <v>0</v>
      </c>
      <c r="G55" s="147">
        <v>0</v>
      </c>
      <c r="H55" s="40">
        <v>0</v>
      </c>
      <c r="I55" s="492">
        <f>SUM(G55+H55)</f>
        <v>0</v>
      </c>
    </row>
    <row r="56" spans="1:9" ht="12" thickTop="1" thickBot="1" x14ac:dyDescent="0.2">
      <c r="A56" s="146"/>
      <c r="B56" s="185" t="s">
        <v>665</v>
      </c>
      <c r="C56" s="114" t="s">
        <v>202</v>
      </c>
      <c r="D56" s="148">
        <f t="shared" ref="D56:I56" si="8">SUM(D52:D55)</f>
        <v>0</v>
      </c>
      <c r="E56" s="148">
        <f t="shared" si="8"/>
        <v>0</v>
      </c>
      <c r="F56" s="148">
        <f t="shared" si="8"/>
        <v>0</v>
      </c>
      <c r="G56" s="148">
        <f t="shared" si="8"/>
        <v>0</v>
      </c>
      <c r="H56" s="148">
        <f t="shared" si="8"/>
        <v>0</v>
      </c>
      <c r="I56" s="166">
        <f t="shared" si="8"/>
        <v>0</v>
      </c>
    </row>
    <row r="57" spans="1:9" ht="12" thickTop="1" thickBot="1" x14ac:dyDescent="0.2">
      <c r="A57" s="146"/>
      <c r="B57" s="155"/>
      <c r="C57" s="114"/>
      <c r="D57" s="156"/>
      <c r="E57" s="156"/>
      <c r="F57" s="156"/>
      <c r="G57" s="156"/>
      <c r="I57" s="6"/>
    </row>
    <row r="58" spans="1:9" ht="11.25" thickBot="1" x14ac:dyDescent="0.2">
      <c r="A58" s="728" t="s">
        <v>1424</v>
      </c>
      <c r="B58" s="728"/>
      <c r="C58" s="729"/>
      <c r="D58" s="208">
        <f t="shared" ref="D58:I58" si="9">D49+D56</f>
        <v>0</v>
      </c>
      <c r="E58" s="208">
        <f t="shared" si="9"/>
        <v>0</v>
      </c>
      <c r="F58" s="208">
        <f t="shared" si="9"/>
        <v>0</v>
      </c>
      <c r="G58" s="208">
        <f t="shared" si="9"/>
        <v>0</v>
      </c>
      <c r="H58" s="208">
        <f t="shared" si="9"/>
        <v>0</v>
      </c>
      <c r="I58" s="208">
        <f t="shared" si="9"/>
        <v>0</v>
      </c>
    </row>
    <row r="59" spans="1:9" x14ac:dyDescent="0.15">
      <c r="A59" s="146"/>
      <c r="B59" s="155"/>
      <c r="C59" s="114" t="s">
        <v>203</v>
      </c>
      <c r="D59" s="156"/>
      <c r="E59" s="156"/>
      <c r="F59" s="156"/>
      <c r="G59" s="156"/>
      <c r="I59" s="6"/>
    </row>
    <row r="60" spans="1:9" ht="11.25" thickBot="1" x14ac:dyDescent="0.2">
      <c r="A60" s="146"/>
      <c r="B60" s="155"/>
      <c r="C60" s="114"/>
      <c r="D60" s="156"/>
      <c r="E60" s="156"/>
      <c r="F60" s="156"/>
      <c r="G60" s="156"/>
      <c r="I60" s="6"/>
    </row>
    <row r="61" spans="1:9" ht="12" thickTop="1" thickBot="1" x14ac:dyDescent="0.2">
      <c r="A61" s="155"/>
      <c r="B61" s="155"/>
      <c r="C61" s="169" t="s">
        <v>204</v>
      </c>
      <c r="D61" s="170">
        <f t="shared" ref="D61:I61" si="10">D15</f>
        <v>0</v>
      </c>
      <c r="E61" s="170">
        <f t="shared" si="10"/>
        <v>0</v>
      </c>
      <c r="F61" s="170">
        <f t="shared" si="10"/>
        <v>0</v>
      </c>
      <c r="G61" s="170">
        <f t="shared" si="10"/>
        <v>0</v>
      </c>
      <c r="H61" s="170">
        <f t="shared" si="10"/>
        <v>0</v>
      </c>
      <c r="I61" s="170">
        <f t="shared" si="10"/>
        <v>0</v>
      </c>
    </row>
    <row r="62" spans="1:9" ht="11.25" thickTop="1" x14ac:dyDescent="0.15">
      <c r="A62" s="155"/>
      <c r="B62" s="155"/>
      <c r="C62" s="155"/>
      <c r="D62" s="155"/>
      <c r="E62" s="155"/>
      <c r="F62" s="155"/>
      <c r="G62" s="155"/>
      <c r="I62" s="6"/>
    </row>
    <row r="63" spans="1:9" x14ac:dyDescent="0.15">
      <c r="A63" s="155"/>
      <c r="B63" s="155"/>
      <c r="C63" s="169" t="s">
        <v>205</v>
      </c>
      <c r="D63" s="155">
        <f t="shared" ref="D63:I63" si="11">D58-D61</f>
        <v>0</v>
      </c>
      <c r="E63" s="155">
        <f t="shared" si="11"/>
        <v>0</v>
      </c>
      <c r="F63" s="155">
        <f t="shared" si="11"/>
        <v>0</v>
      </c>
      <c r="G63" s="155">
        <f t="shared" si="11"/>
        <v>0</v>
      </c>
      <c r="H63" s="155">
        <f t="shared" si="11"/>
        <v>0</v>
      </c>
      <c r="I63" s="164">
        <f t="shared" si="11"/>
        <v>0</v>
      </c>
    </row>
    <row r="64" spans="1:9" x14ac:dyDescent="0.15">
      <c r="I64" s="6"/>
    </row>
  </sheetData>
  <sheetProtection password="CB03" sheet="1" objects="1" scenarios="1" formatCells="0" formatColumns="0" formatRows="0"/>
  <mergeCells count="1">
    <mergeCell ref="A58:C58"/>
  </mergeCells>
  <phoneticPr fontId="15" type="noConversion"/>
  <pageMargins left="0.5" right="0.5" top="0.75" bottom="0.75" header="0.5" footer="0.5"/>
  <pageSetup scale="65" firstPageNumber="47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I69"/>
  <sheetViews>
    <sheetView zoomScaleNormal="100" workbookViewId="0">
      <selection activeCell="A2" sqref="A2"/>
    </sheetView>
  </sheetViews>
  <sheetFormatPr defaultColWidth="12" defaultRowHeight="10.5" x14ac:dyDescent="0.15"/>
  <cols>
    <col min="1" max="1" width="10.33203125" customWidth="1"/>
    <col min="2" max="2" width="3.83203125" customWidth="1"/>
    <col min="3" max="3" width="70.83203125" customWidth="1"/>
    <col min="4" max="4" width="15.83203125" customWidth="1"/>
    <col min="5" max="5" width="19" customWidth="1"/>
    <col min="6" max="6" width="20" customWidth="1"/>
    <col min="7" max="7" width="15.83203125" customWidth="1"/>
    <col min="8" max="8" width="17.83203125" customWidth="1"/>
    <col min="9" max="9" width="16.1640625" customWidth="1"/>
  </cols>
  <sheetData>
    <row r="1" spans="1:9" x14ac:dyDescent="0.15">
      <c r="A1" t="s">
        <v>1044</v>
      </c>
      <c r="C1" s="10">
        <f>+'Page 1 - FY2016-17'!B5</f>
        <v>0</v>
      </c>
      <c r="D1" t="s">
        <v>889</v>
      </c>
      <c r="E1" s="105">
        <f>+'Page 1 - FY2016-17'!F7</f>
        <v>0</v>
      </c>
      <c r="G1" s="37" t="s">
        <v>891</v>
      </c>
    </row>
    <row r="2" spans="1:9" x14ac:dyDescent="0.15">
      <c r="A2" s="15" t="s">
        <v>399</v>
      </c>
      <c r="E2" s="37"/>
      <c r="F2" s="37"/>
    </row>
    <row r="3" spans="1:9" ht="31.5" x14ac:dyDescent="0.15">
      <c r="A3" s="15"/>
      <c r="D3" s="580" t="s">
        <v>1607</v>
      </c>
      <c r="E3" s="580" t="s">
        <v>1606</v>
      </c>
      <c r="F3" s="580" t="s">
        <v>1605</v>
      </c>
      <c r="G3" s="580" t="s">
        <v>1604</v>
      </c>
      <c r="H3" s="580" t="s">
        <v>1603</v>
      </c>
      <c r="I3" s="580" t="s">
        <v>1602</v>
      </c>
    </row>
    <row r="4" spans="1:9" ht="63" x14ac:dyDescent="0.15">
      <c r="A4" s="19"/>
      <c r="D4" s="424"/>
      <c r="E4" s="424"/>
      <c r="F4" s="424"/>
      <c r="G4" s="424"/>
      <c r="H4" s="713" t="s">
        <v>1541</v>
      </c>
      <c r="I4" s="715" t="s">
        <v>1516</v>
      </c>
    </row>
    <row r="5" spans="1:9" ht="11.25" thickBot="1" x14ac:dyDescent="0.2">
      <c r="A5" s="19"/>
      <c r="E5" s="19"/>
      <c r="I5" s="6"/>
    </row>
    <row r="6" spans="1:9" ht="11.25" thickBot="1" x14ac:dyDescent="0.2">
      <c r="A6" s="34" t="s">
        <v>1132</v>
      </c>
      <c r="B6" s="34" t="s">
        <v>892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168">
        <f>SUM(G6+H6)</f>
        <v>0</v>
      </c>
    </row>
    <row r="7" spans="1:9" x14ac:dyDescent="0.15">
      <c r="A7" s="34"/>
      <c r="B7" s="34"/>
      <c r="D7" s="14"/>
      <c r="E7" s="14"/>
      <c r="F7" s="14"/>
      <c r="G7" s="14"/>
      <c r="I7" s="6"/>
    </row>
    <row r="8" spans="1:9" x14ac:dyDescent="0.15">
      <c r="A8" s="35" t="s">
        <v>895</v>
      </c>
      <c r="C8" s="206" t="s">
        <v>1133</v>
      </c>
      <c r="E8" s="5"/>
      <c r="F8" s="5"/>
      <c r="G8" s="5"/>
      <c r="I8" s="6"/>
    </row>
    <row r="9" spans="1:9" x14ac:dyDescent="0.15">
      <c r="A9" s="1" t="s">
        <v>905</v>
      </c>
      <c r="B9" s="207" t="s">
        <v>560</v>
      </c>
      <c r="C9" s="1" t="s">
        <v>1332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2">
        <f>SUM(G9+H9)</f>
        <v>0</v>
      </c>
    </row>
    <row r="10" spans="1:9" x14ac:dyDescent="0.15">
      <c r="A10" s="1" t="s">
        <v>1043</v>
      </c>
      <c r="B10" s="207" t="s">
        <v>561</v>
      </c>
      <c r="C10" s="2" t="s">
        <v>972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2">
        <f>SUM(G10+H10)</f>
        <v>0</v>
      </c>
    </row>
    <row r="11" spans="1:9" x14ac:dyDescent="0.15">
      <c r="B11" s="207" t="s">
        <v>562</v>
      </c>
      <c r="C11" s="1" t="s">
        <v>400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2">
        <f>SUM(G11+H11)</f>
        <v>0</v>
      </c>
    </row>
    <row r="12" spans="1:9" ht="11.25" thickBot="1" x14ac:dyDescent="0.2">
      <c r="I12" s="6"/>
    </row>
    <row r="13" spans="1:9" ht="12" thickTop="1" thickBot="1" x14ac:dyDescent="0.2">
      <c r="B13" s="207" t="s">
        <v>625</v>
      </c>
      <c r="C13" s="34" t="s">
        <v>1155</v>
      </c>
      <c r="D13" s="41">
        <f t="shared" ref="D13:I13" si="0">SUM(D9:D12)</f>
        <v>0</v>
      </c>
      <c r="E13" s="41">
        <f t="shared" si="0"/>
        <v>0</v>
      </c>
      <c r="F13" s="41">
        <f t="shared" si="0"/>
        <v>0</v>
      </c>
      <c r="G13" s="41">
        <f t="shared" si="0"/>
        <v>0</v>
      </c>
      <c r="H13" s="41">
        <f t="shared" si="0"/>
        <v>0</v>
      </c>
      <c r="I13" s="41">
        <f t="shared" si="0"/>
        <v>0</v>
      </c>
    </row>
    <row r="14" spans="1:9" ht="12" thickTop="1" thickBot="1" x14ac:dyDescent="0.2">
      <c r="C14" s="1"/>
      <c r="I14" s="6"/>
    </row>
    <row r="15" spans="1:9" ht="11.25" thickBot="1" x14ac:dyDescent="0.2">
      <c r="A15" s="34" t="s">
        <v>597</v>
      </c>
      <c r="D15" s="43">
        <f t="shared" ref="D15:I15" si="1">D6+D13</f>
        <v>0</v>
      </c>
      <c r="E15" s="43">
        <f t="shared" si="1"/>
        <v>0</v>
      </c>
      <c r="F15" s="43">
        <f t="shared" si="1"/>
        <v>0</v>
      </c>
      <c r="G15" s="43">
        <f t="shared" si="1"/>
        <v>0</v>
      </c>
      <c r="H15" s="43">
        <f t="shared" si="1"/>
        <v>0</v>
      </c>
      <c r="I15" s="43">
        <f t="shared" si="1"/>
        <v>0</v>
      </c>
    </row>
    <row r="16" spans="1:9" x14ac:dyDescent="0.15">
      <c r="E16" s="5"/>
      <c r="F16" s="5"/>
      <c r="G16" s="5"/>
      <c r="I16" s="6"/>
    </row>
    <row r="17" spans="1:9" x14ac:dyDescent="0.15">
      <c r="A17" s="563" t="s">
        <v>290</v>
      </c>
      <c r="B17" s="413"/>
      <c r="C17" s="427" t="s">
        <v>286</v>
      </c>
      <c r="D17" s="412"/>
      <c r="E17" s="412"/>
      <c r="F17" s="412"/>
      <c r="G17" s="412"/>
      <c r="H17" s="412"/>
      <c r="I17" s="176"/>
    </row>
    <row r="18" spans="1:9" s="155" customFormat="1" x14ac:dyDescent="0.15">
      <c r="A18" s="417" t="s">
        <v>1043</v>
      </c>
      <c r="B18" s="433" t="s">
        <v>1204</v>
      </c>
      <c r="C18" s="2" t="s">
        <v>293</v>
      </c>
      <c r="D18" s="40">
        <v>0</v>
      </c>
      <c r="E18" s="40">
        <v>0</v>
      </c>
      <c r="F18" s="40">
        <v>0</v>
      </c>
      <c r="G18" s="40">
        <v>0</v>
      </c>
      <c r="H18" s="463">
        <v>0</v>
      </c>
      <c r="I18" s="464">
        <f>SUM(G18+H18)</f>
        <v>0</v>
      </c>
    </row>
    <row r="19" spans="1:9" s="155" customFormat="1" x14ac:dyDescent="0.15">
      <c r="A19" s="417"/>
      <c r="B19" s="433"/>
      <c r="C19" s="2"/>
      <c r="D19" s="14"/>
      <c r="E19" s="14"/>
      <c r="F19" s="14"/>
      <c r="G19" s="14"/>
      <c r="H19" s="301"/>
      <c r="I19" s="298"/>
    </row>
    <row r="20" spans="1:9" s="155" customFormat="1" x14ac:dyDescent="0.15">
      <c r="A20"/>
      <c r="B20"/>
      <c r="C20"/>
      <c r="D20"/>
      <c r="E20" s="5"/>
      <c r="F20" s="5"/>
      <c r="G20" s="5"/>
      <c r="H20"/>
      <c r="I20" s="6"/>
    </row>
    <row r="21" spans="1:9" s="155" customFormat="1" x14ac:dyDescent="0.15">
      <c r="A21" s="35" t="s">
        <v>1135</v>
      </c>
      <c r="C21" s="206" t="s">
        <v>1136</v>
      </c>
      <c r="D21" s="156"/>
      <c r="E21" s="156"/>
      <c r="F21" s="156"/>
      <c r="I21" s="164"/>
    </row>
    <row r="22" spans="1:9" s="155" customFormat="1" x14ac:dyDescent="0.15">
      <c r="A22" s="35"/>
      <c r="C22" s="155" t="s">
        <v>591</v>
      </c>
      <c r="D22" s="156"/>
      <c r="E22" s="156"/>
      <c r="F22" s="156"/>
      <c r="I22" s="164"/>
    </row>
    <row r="23" spans="1:9" s="155" customFormat="1" x14ac:dyDescent="0.15">
      <c r="A23" s="114" t="s">
        <v>1312</v>
      </c>
      <c r="B23" s="157" t="s">
        <v>626</v>
      </c>
      <c r="C23" s="114" t="s">
        <v>337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92">
        <f t="shared" ref="I23:I31" si="2">SUM(G23+H23)</f>
        <v>0</v>
      </c>
    </row>
    <row r="24" spans="1:9" s="155" customFormat="1" x14ac:dyDescent="0.15">
      <c r="A24" s="114" t="s">
        <v>1313</v>
      </c>
      <c r="B24" s="171" t="s">
        <v>627</v>
      </c>
      <c r="C24" s="114" t="s">
        <v>342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92">
        <f t="shared" si="2"/>
        <v>0</v>
      </c>
    </row>
    <row r="25" spans="1:9" s="155" customFormat="1" x14ac:dyDescent="0.15">
      <c r="A25" s="114" t="s">
        <v>1314</v>
      </c>
      <c r="B25" s="171" t="s">
        <v>628</v>
      </c>
      <c r="C25" s="114" t="s">
        <v>643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92">
        <f t="shared" si="2"/>
        <v>0</v>
      </c>
    </row>
    <row r="26" spans="1:9" s="155" customFormat="1" x14ac:dyDescent="0.15">
      <c r="A26" s="114" t="s">
        <v>1315</v>
      </c>
      <c r="B26" s="171" t="s">
        <v>629</v>
      </c>
      <c r="C26" s="114" t="s">
        <v>1059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92">
        <f t="shared" si="2"/>
        <v>0</v>
      </c>
    </row>
    <row r="27" spans="1:9" s="155" customFormat="1" x14ac:dyDescent="0.15">
      <c r="A27" s="114" t="s">
        <v>1316</v>
      </c>
      <c r="B27" s="171" t="s">
        <v>637</v>
      </c>
      <c r="C27" s="114" t="s">
        <v>1064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92">
        <f t="shared" si="2"/>
        <v>0</v>
      </c>
    </row>
    <row r="28" spans="1:9" s="155" customFormat="1" x14ac:dyDescent="0.15">
      <c r="A28" s="114" t="s">
        <v>1317</v>
      </c>
      <c r="B28" s="171" t="s">
        <v>641</v>
      </c>
      <c r="C28" s="114" t="s">
        <v>1096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92">
        <f t="shared" si="2"/>
        <v>0</v>
      </c>
    </row>
    <row r="29" spans="1:9" s="155" customFormat="1" x14ac:dyDescent="0.15">
      <c r="A29" s="107" t="s">
        <v>1020</v>
      </c>
      <c r="B29" s="171" t="s">
        <v>642</v>
      </c>
      <c r="C29" s="1" t="s">
        <v>1021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92">
        <f t="shared" si="2"/>
        <v>0</v>
      </c>
    </row>
    <row r="30" spans="1:9" s="155" customFormat="1" x14ac:dyDescent="0.15">
      <c r="A30" s="107" t="s">
        <v>113</v>
      </c>
      <c r="B30" s="171" t="s">
        <v>638</v>
      </c>
      <c r="C30" s="1" t="s">
        <v>1111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92">
        <f t="shared" si="2"/>
        <v>0</v>
      </c>
    </row>
    <row r="31" spans="1:9" s="155" customFormat="1" x14ac:dyDescent="0.15">
      <c r="A31" s="114" t="s">
        <v>1318</v>
      </c>
      <c r="B31" s="171" t="s">
        <v>639</v>
      </c>
      <c r="C31" s="114" t="s">
        <v>877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92">
        <f t="shared" si="2"/>
        <v>0</v>
      </c>
    </row>
    <row r="32" spans="1:9" s="155" customFormat="1" ht="11.25" thickBot="1" x14ac:dyDescent="0.2">
      <c r="A32" s="114"/>
      <c r="C32" s="114"/>
      <c r="D32" s="14"/>
      <c r="E32" s="156"/>
      <c r="F32" s="156"/>
      <c r="I32" s="164"/>
    </row>
    <row r="33" spans="1:9" s="155" customFormat="1" ht="12" thickTop="1" thickBot="1" x14ac:dyDescent="0.2">
      <c r="B33" s="171" t="s">
        <v>644</v>
      </c>
      <c r="C33" s="114" t="s">
        <v>598</v>
      </c>
      <c r="D33" s="166">
        <f t="shared" ref="D33:I33" si="3">SUM(D23:D31)</f>
        <v>0</v>
      </c>
      <c r="E33" s="166">
        <f>SUM(E23:E31)</f>
        <v>0</v>
      </c>
      <c r="F33" s="166">
        <f t="shared" si="3"/>
        <v>0</v>
      </c>
      <c r="G33" s="166">
        <f t="shared" si="3"/>
        <v>0</v>
      </c>
      <c r="H33" s="166">
        <f t="shared" si="3"/>
        <v>0</v>
      </c>
      <c r="I33" s="166">
        <f t="shared" si="3"/>
        <v>0</v>
      </c>
    </row>
    <row r="34" spans="1:9" s="155" customFormat="1" ht="11.25" thickTop="1" x14ac:dyDescent="0.15">
      <c r="A34" s="35"/>
      <c r="C34" s="39"/>
      <c r="D34" s="156"/>
      <c r="E34" s="156"/>
      <c r="F34" s="156"/>
      <c r="I34" s="164"/>
    </row>
    <row r="35" spans="1:9" s="155" customFormat="1" x14ac:dyDescent="0.15">
      <c r="A35" s="35"/>
      <c r="C35" s="169" t="s">
        <v>1153</v>
      </c>
      <c r="D35" s="156"/>
      <c r="E35" s="156"/>
      <c r="F35" s="156"/>
      <c r="I35" s="164"/>
    </row>
    <row r="36" spans="1:9" s="155" customFormat="1" x14ac:dyDescent="0.15">
      <c r="A36" s="114" t="s">
        <v>1312</v>
      </c>
      <c r="B36" s="157" t="s">
        <v>645</v>
      </c>
      <c r="C36" s="114" t="s">
        <v>337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92">
        <f t="shared" ref="I36:I45" si="4">SUM(G36+H36)</f>
        <v>0</v>
      </c>
    </row>
    <row r="37" spans="1:9" s="155" customFormat="1" x14ac:dyDescent="0.15">
      <c r="A37" s="114" t="s">
        <v>1313</v>
      </c>
      <c r="B37" s="171" t="s">
        <v>646</v>
      </c>
      <c r="C37" s="114" t="s">
        <v>342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92">
        <f t="shared" si="4"/>
        <v>0</v>
      </c>
    </row>
    <row r="38" spans="1:9" s="155" customFormat="1" x14ac:dyDescent="0.15">
      <c r="A38" s="114" t="s">
        <v>1314</v>
      </c>
      <c r="B38" s="171" t="s">
        <v>647</v>
      </c>
      <c r="C38" s="114" t="s">
        <v>643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92">
        <f t="shared" si="4"/>
        <v>0</v>
      </c>
    </row>
    <row r="39" spans="1:9" s="155" customFormat="1" x14ac:dyDescent="0.15">
      <c r="A39" s="114" t="s">
        <v>1315</v>
      </c>
      <c r="B39" s="171" t="s">
        <v>648</v>
      </c>
      <c r="C39" s="114" t="s">
        <v>1059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92">
        <f t="shared" si="4"/>
        <v>0</v>
      </c>
    </row>
    <row r="40" spans="1:9" s="155" customFormat="1" x14ac:dyDescent="0.15">
      <c r="A40" s="114" t="s">
        <v>1316</v>
      </c>
      <c r="B40" s="171" t="s">
        <v>649</v>
      </c>
      <c r="C40" s="114" t="s">
        <v>1064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92">
        <f t="shared" si="4"/>
        <v>0</v>
      </c>
    </row>
    <row r="41" spans="1:9" s="155" customFormat="1" x14ac:dyDescent="0.15">
      <c r="A41" s="114" t="s">
        <v>1317</v>
      </c>
      <c r="B41" s="171" t="s">
        <v>650</v>
      </c>
      <c r="C41" s="114" t="s">
        <v>1096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92">
        <f t="shared" si="4"/>
        <v>0</v>
      </c>
    </row>
    <row r="42" spans="1:9" s="155" customFormat="1" x14ac:dyDescent="0.15">
      <c r="A42" s="107" t="s">
        <v>1020</v>
      </c>
      <c r="B42" s="171" t="s">
        <v>651</v>
      </c>
      <c r="C42" s="1" t="s">
        <v>1021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92">
        <f t="shared" si="4"/>
        <v>0</v>
      </c>
    </row>
    <row r="43" spans="1:9" s="155" customFormat="1" x14ac:dyDescent="0.15">
      <c r="A43" s="107" t="s">
        <v>113</v>
      </c>
      <c r="B43" s="171" t="s">
        <v>652</v>
      </c>
      <c r="C43" s="1" t="s">
        <v>1111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92">
        <f t="shared" si="4"/>
        <v>0</v>
      </c>
    </row>
    <row r="44" spans="1:9" x14ac:dyDescent="0.15">
      <c r="A44" s="149"/>
      <c r="B44" s="149"/>
      <c r="C44" s="568" t="s">
        <v>344</v>
      </c>
      <c r="D44" s="459">
        <f t="shared" ref="D44:I44" si="5">+D18</f>
        <v>0</v>
      </c>
      <c r="E44" s="459">
        <f t="shared" si="5"/>
        <v>0</v>
      </c>
      <c r="F44" s="459">
        <f t="shared" si="5"/>
        <v>0</v>
      </c>
      <c r="G44" s="459">
        <f t="shared" si="5"/>
        <v>0</v>
      </c>
      <c r="H44" s="459">
        <f t="shared" si="5"/>
        <v>0</v>
      </c>
      <c r="I44" s="459">
        <f t="shared" si="5"/>
        <v>0</v>
      </c>
    </row>
    <row r="45" spans="1:9" s="155" customFormat="1" x14ac:dyDescent="0.15">
      <c r="A45" s="114" t="s">
        <v>1318</v>
      </c>
      <c r="B45" s="171" t="s">
        <v>657</v>
      </c>
      <c r="C45" s="114" t="s">
        <v>877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92">
        <f t="shared" si="4"/>
        <v>0</v>
      </c>
    </row>
    <row r="46" spans="1:9" ht="11.25" thickBot="1" x14ac:dyDescent="0.2">
      <c r="A46" s="114"/>
      <c r="B46" s="155"/>
      <c r="C46" s="114"/>
      <c r="D46" s="14"/>
      <c r="E46" s="156"/>
      <c r="F46" s="156"/>
      <c r="G46" s="155"/>
      <c r="H46" s="155"/>
      <c r="I46" s="164"/>
    </row>
    <row r="47" spans="1:9" ht="12" thickTop="1" thickBot="1" x14ac:dyDescent="0.2">
      <c r="A47" s="155"/>
      <c r="B47" s="171" t="s">
        <v>658</v>
      </c>
      <c r="C47" s="169" t="s">
        <v>599</v>
      </c>
      <c r="D47" s="166">
        <f t="shared" ref="D47:I47" si="6">SUM(D36:D45)</f>
        <v>0</v>
      </c>
      <c r="E47" s="166">
        <f>SUM(E36:E45)</f>
        <v>0</v>
      </c>
      <c r="F47" s="166">
        <f t="shared" si="6"/>
        <v>0</v>
      </c>
      <c r="G47" s="166">
        <f t="shared" si="6"/>
        <v>0</v>
      </c>
      <c r="H47" s="166">
        <f t="shared" si="6"/>
        <v>0</v>
      </c>
      <c r="I47" s="166">
        <f t="shared" si="6"/>
        <v>0</v>
      </c>
    </row>
    <row r="48" spans="1:9" ht="12" thickTop="1" thickBot="1" x14ac:dyDescent="0.2">
      <c r="D48" s="5"/>
      <c r="E48" s="5"/>
      <c r="F48" s="5"/>
      <c r="I48" s="6"/>
    </row>
    <row r="49" spans="1:9" ht="12" thickTop="1" thickBot="1" x14ac:dyDescent="0.2">
      <c r="A49" s="155"/>
      <c r="B49" s="171" t="s">
        <v>659</v>
      </c>
      <c r="C49" s="34" t="s">
        <v>600</v>
      </c>
      <c r="D49" s="166">
        <f t="shared" ref="D49:I49" si="7">D33+D47</f>
        <v>0</v>
      </c>
      <c r="E49" s="166">
        <f t="shared" si="7"/>
        <v>0</v>
      </c>
      <c r="F49" s="166">
        <f t="shared" si="7"/>
        <v>0</v>
      </c>
      <c r="G49" s="166">
        <f t="shared" si="7"/>
        <v>0</v>
      </c>
      <c r="H49" s="166">
        <f t="shared" si="7"/>
        <v>0</v>
      </c>
      <c r="I49" s="166">
        <f t="shared" si="7"/>
        <v>0</v>
      </c>
    </row>
    <row r="50" spans="1:9" ht="11.25" thickTop="1" x14ac:dyDescent="0.15">
      <c r="E50" s="5"/>
      <c r="F50" s="5"/>
      <c r="G50" s="5"/>
      <c r="I50" s="6"/>
    </row>
    <row r="51" spans="1:9" x14ac:dyDescent="0.15">
      <c r="A51" s="152" t="s">
        <v>1048</v>
      </c>
      <c r="C51" s="206" t="s">
        <v>211</v>
      </c>
      <c r="D51" s="156"/>
      <c r="E51" s="156"/>
      <c r="F51" s="156"/>
      <c r="G51" s="156"/>
      <c r="I51" s="6"/>
    </row>
    <row r="52" spans="1:9" x14ac:dyDescent="0.15">
      <c r="A52" s="486" t="s">
        <v>827</v>
      </c>
      <c r="B52" s="633" t="s">
        <v>660</v>
      </c>
      <c r="C52" s="135" t="s">
        <v>821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92">
        <f>SUM(G52+H52)</f>
        <v>0</v>
      </c>
    </row>
    <row r="53" spans="1:9" x14ac:dyDescent="0.15">
      <c r="A53" s="627" t="s">
        <v>1395</v>
      </c>
      <c r="B53" s="633" t="s">
        <v>662</v>
      </c>
      <c r="C53" s="135" t="s">
        <v>823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92">
        <f>SUM(G53+H53)</f>
        <v>0</v>
      </c>
    </row>
    <row r="54" spans="1:9" ht="10.5" customHeight="1" x14ac:dyDescent="0.15">
      <c r="A54" s="627" t="s">
        <v>1396</v>
      </c>
      <c r="B54" s="633" t="s">
        <v>663</v>
      </c>
      <c r="C54" s="625" t="s">
        <v>1397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92">
        <f>SUM(G54+H54)</f>
        <v>0</v>
      </c>
    </row>
    <row r="55" spans="1:9" ht="11.25" thickBot="1" x14ac:dyDescent="0.2">
      <c r="A55" s="486" t="s">
        <v>831</v>
      </c>
      <c r="B55" s="633" t="s">
        <v>664</v>
      </c>
      <c r="C55" s="135" t="s">
        <v>825</v>
      </c>
      <c r="D55" s="147">
        <v>0</v>
      </c>
      <c r="E55" s="147">
        <v>0</v>
      </c>
      <c r="F55" s="147">
        <v>0</v>
      </c>
      <c r="G55" s="147">
        <v>0</v>
      </c>
      <c r="H55" s="40">
        <v>0</v>
      </c>
      <c r="I55" s="492">
        <f>SUM(G55+H55)</f>
        <v>0</v>
      </c>
    </row>
    <row r="56" spans="1:9" ht="12" thickTop="1" thickBot="1" x14ac:dyDescent="0.2">
      <c r="A56" s="146"/>
      <c r="B56" s="185" t="s">
        <v>665</v>
      </c>
      <c r="C56" s="114" t="s">
        <v>202</v>
      </c>
      <c r="D56" s="148">
        <f t="shared" ref="D56:I56" si="8">SUM(D52:D55)</f>
        <v>0</v>
      </c>
      <c r="E56" s="148">
        <f t="shared" si="8"/>
        <v>0</v>
      </c>
      <c r="F56" s="148">
        <f t="shared" si="8"/>
        <v>0</v>
      </c>
      <c r="G56" s="148">
        <f t="shared" si="8"/>
        <v>0</v>
      </c>
      <c r="H56" s="148">
        <f t="shared" si="8"/>
        <v>0</v>
      </c>
      <c r="I56" s="166">
        <f t="shared" si="8"/>
        <v>0</v>
      </c>
    </row>
    <row r="57" spans="1:9" ht="12" thickTop="1" thickBot="1" x14ac:dyDescent="0.2">
      <c r="A57" s="146"/>
      <c r="B57" s="155"/>
      <c r="C57" s="114"/>
      <c r="D57" s="156"/>
      <c r="E57" s="156"/>
      <c r="F57" s="156"/>
      <c r="G57" s="156"/>
      <c r="I57" s="6"/>
    </row>
    <row r="58" spans="1:9" ht="11.25" thickBot="1" x14ac:dyDescent="0.2">
      <c r="A58" s="728" t="s">
        <v>1425</v>
      </c>
      <c r="B58" s="728"/>
      <c r="C58" s="729"/>
      <c r="D58" s="208">
        <f t="shared" ref="D58:I58" si="9">D49+D56</f>
        <v>0</v>
      </c>
      <c r="E58" s="208">
        <f t="shared" si="9"/>
        <v>0</v>
      </c>
      <c r="F58" s="208">
        <f t="shared" si="9"/>
        <v>0</v>
      </c>
      <c r="G58" s="208">
        <f t="shared" si="9"/>
        <v>0</v>
      </c>
      <c r="H58" s="208">
        <f t="shared" si="9"/>
        <v>0</v>
      </c>
      <c r="I58" s="208">
        <f t="shared" si="9"/>
        <v>0</v>
      </c>
    </row>
    <row r="59" spans="1:9" x14ac:dyDescent="0.15">
      <c r="A59" s="146"/>
      <c r="B59" s="155"/>
      <c r="C59" s="114" t="s">
        <v>203</v>
      </c>
      <c r="D59" s="156"/>
      <c r="E59" s="156"/>
      <c r="F59" s="156"/>
      <c r="G59" s="156"/>
      <c r="I59" s="6"/>
    </row>
    <row r="60" spans="1:9" ht="11.25" thickBot="1" x14ac:dyDescent="0.2">
      <c r="A60" s="146"/>
      <c r="B60" s="155"/>
      <c r="C60" s="114"/>
      <c r="D60" s="156"/>
      <c r="E60" s="156"/>
      <c r="F60" s="156"/>
      <c r="G60" s="156"/>
      <c r="I60" s="6"/>
    </row>
    <row r="61" spans="1:9" ht="12" thickTop="1" thickBot="1" x14ac:dyDescent="0.2">
      <c r="A61" s="155"/>
      <c r="B61" s="155"/>
      <c r="C61" s="169" t="s">
        <v>204</v>
      </c>
      <c r="D61" s="170">
        <f t="shared" ref="D61:I61" si="10">D15</f>
        <v>0</v>
      </c>
      <c r="E61" s="170">
        <f t="shared" si="10"/>
        <v>0</v>
      </c>
      <c r="F61" s="170">
        <f t="shared" si="10"/>
        <v>0</v>
      </c>
      <c r="G61" s="170">
        <f t="shared" si="10"/>
        <v>0</v>
      </c>
      <c r="H61" s="170">
        <f t="shared" si="10"/>
        <v>0</v>
      </c>
      <c r="I61" s="170">
        <f t="shared" si="10"/>
        <v>0</v>
      </c>
    </row>
    <row r="62" spans="1:9" ht="11.25" thickTop="1" x14ac:dyDescent="0.15">
      <c r="A62" s="155"/>
      <c r="B62" s="155"/>
      <c r="C62" s="155"/>
      <c r="D62" s="155"/>
      <c r="E62" s="155"/>
      <c r="F62" s="155"/>
      <c r="G62" s="155"/>
      <c r="I62" s="6"/>
    </row>
    <row r="63" spans="1:9" x14ac:dyDescent="0.15">
      <c r="A63" s="155"/>
      <c r="B63" s="155"/>
      <c r="C63" s="169" t="s">
        <v>205</v>
      </c>
      <c r="D63" s="155">
        <f t="shared" ref="D63:I63" si="11">D58-D61</f>
        <v>0</v>
      </c>
      <c r="E63" s="155">
        <f t="shared" si="11"/>
        <v>0</v>
      </c>
      <c r="F63" s="155">
        <f t="shared" si="11"/>
        <v>0</v>
      </c>
      <c r="G63" s="155">
        <f t="shared" si="11"/>
        <v>0</v>
      </c>
      <c r="H63" s="155">
        <f t="shared" si="11"/>
        <v>0</v>
      </c>
      <c r="I63" s="164">
        <f t="shared" si="11"/>
        <v>0</v>
      </c>
    </row>
    <row r="64" spans="1:9" x14ac:dyDescent="0.15">
      <c r="I64" s="6"/>
    </row>
    <row r="66" spans="1:3" x14ac:dyDescent="0.15">
      <c r="A66" s="486"/>
      <c r="B66" s="441"/>
      <c r="C66" s="135"/>
    </row>
    <row r="67" spans="1:3" x14ac:dyDescent="0.15">
      <c r="A67" s="627"/>
      <c r="B67" s="441"/>
      <c r="C67" s="135"/>
    </row>
    <row r="68" spans="1:3" x14ac:dyDescent="0.15">
      <c r="A68" s="627"/>
      <c r="B68" s="441"/>
      <c r="C68" s="625"/>
    </row>
    <row r="69" spans="1:3" x14ac:dyDescent="0.15">
      <c r="A69" s="486"/>
      <c r="B69" s="441"/>
      <c r="C69" s="135"/>
    </row>
  </sheetData>
  <sheetProtection password="CB03" sheet="1" objects="1" scenarios="1" formatCells="0" formatColumns="0" formatRows="0"/>
  <mergeCells count="1">
    <mergeCell ref="A58:C58"/>
  </mergeCells>
  <phoneticPr fontId="15" type="noConversion"/>
  <pageMargins left="0.5" right="0.5" top="0.75" bottom="0.75" header="0.5" footer="0.5"/>
  <pageSetup scale="64" firstPageNumber="47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A2"/>
  <sheetViews>
    <sheetView workbookViewId="0">
      <selection activeCell="A4" sqref="A4"/>
    </sheetView>
  </sheetViews>
  <sheetFormatPr defaultColWidth="12" defaultRowHeight="10.5" x14ac:dyDescent="0.15"/>
  <sheetData>
    <row r="1" spans="1:1" x14ac:dyDescent="0.15">
      <c r="A1" s="18" t="s">
        <v>791</v>
      </c>
    </row>
    <row r="2" spans="1:1" x14ac:dyDescent="0.15">
      <c r="A2" s="18" t="s">
        <v>135</v>
      </c>
    </row>
  </sheetData>
  <phoneticPr fontId="0" type="noConversion"/>
  <pageMargins left="0.5" right="0.5" top="0.75" bottom="0.75" header="0.5" footer="0.5"/>
  <pageSetup firstPageNumber="48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A5"/>
  <sheetViews>
    <sheetView workbookViewId="0">
      <selection activeCell="C11" sqref="C11"/>
    </sheetView>
  </sheetViews>
  <sheetFormatPr defaultColWidth="12" defaultRowHeight="10.5" x14ac:dyDescent="0.15"/>
  <sheetData>
    <row r="1" spans="1:1" x14ac:dyDescent="0.15">
      <c r="A1" s="18" t="s">
        <v>792</v>
      </c>
    </row>
    <row r="2" spans="1:1" x14ac:dyDescent="0.15">
      <c r="A2" s="18" t="s">
        <v>1576</v>
      </c>
    </row>
    <row r="3" spans="1:1" s="18" customFormat="1" x14ac:dyDescent="0.15">
      <c r="A3" s="18" t="s">
        <v>241</v>
      </c>
    </row>
    <row r="4" spans="1:1" s="18" customFormat="1" x14ac:dyDescent="0.15">
      <c r="A4" s="18" t="s">
        <v>242</v>
      </c>
    </row>
    <row r="5" spans="1:1" x14ac:dyDescent="0.15">
      <c r="A5" s="18" t="s">
        <v>134</v>
      </c>
    </row>
  </sheetData>
  <phoneticPr fontId="0" type="noConversion"/>
  <pageMargins left="0.5" right="0.5" top="0.75" bottom="0.75" header="0.5" footer="0.5"/>
  <pageSetup firstPageNumber="49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I55"/>
  <sheetViews>
    <sheetView workbookViewId="0">
      <selection activeCell="B55" sqref="B55"/>
    </sheetView>
  </sheetViews>
  <sheetFormatPr defaultColWidth="12" defaultRowHeight="10.5" x14ac:dyDescent="0.15"/>
  <cols>
    <col min="1" max="1" width="14" customWidth="1"/>
    <col min="2" max="2" width="74" customWidth="1"/>
    <col min="3" max="3" width="11.33203125" customWidth="1"/>
    <col min="4" max="4" width="15.83203125" customWidth="1"/>
    <col min="5" max="5" width="12" customWidth="1"/>
    <col min="6" max="6" width="15.83203125" customWidth="1"/>
    <col min="7" max="7" width="17" customWidth="1"/>
    <col min="8" max="9" width="15.83203125" customWidth="1"/>
  </cols>
  <sheetData>
    <row r="1" spans="1:9" x14ac:dyDescent="0.15">
      <c r="A1" t="s">
        <v>1044</v>
      </c>
      <c r="B1">
        <f>+'Page 1 - FY2016-17'!B5</f>
        <v>0</v>
      </c>
      <c r="C1" t="s">
        <v>889</v>
      </c>
      <c r="D1" s="106">
        <f>+'Page 1 - FY2016-17'!F7</f>
        <v>0</v>
      </c>
      <c r="E1" s="5"/>
      <c r="F1" s="5"/>
      <c r="G1" s="5"/>
      <c r="H1" s="5"/>
      <c r="I1" s="9"/>
    </row>
    <row r="2" spans="1:9" x14ac:dyDescent="0.15">
      <c r="A2" s="15" t="s">
        <v>217</v>
      </c>
      <c r="D2" s="5"/>
      <c r="E2" s="5"/>
      <c r="F2" s="5"/>
      <c r="G2" s="5"/>
      <c r="H2" s="5"/>
      <c r="I2" s="5"/>
    </row>
    <row r="3" spans="1:9" x14ac:dyDescent="0.15">
      <c r="B3" s="39" t="s">
        <v>121</v>
      </c>
      <c r="D3" s="5"/>
      <c r="E3" s="5"/>
      <c r="F3" s="5"/>
      <c r="G3" s="5"/>
      <c r="H3" s="5"/>
      <c r="I3" s="5"/>
    </row>
    <row r="4" spans="1:9" x14ac:dyDescent="0.15">
      <c r="B4" s="1" t="s">
        <v>218</v>
      </c>
      <c r="C4" s="6">
        <v>1</v>
      </c>
      <c r="D4" s="40">
        <v>0</v>
      </c>
      <c r="E4" s="5"/>
      <c r="F4" s="5"/>
      <c r="G4" s="5"/>
      <c r="H4" s="5"/>
      <c r="I4" s="5"/>
    </row>
    <row r="5" spans="1:9" x14ac:dyDescent="0.15">
      <c r="B5" s="1" t="s">
        <v>219</v>
      </c>
      <c r="C5" s="6">
        <v>2</v>
      </c>
      <c r="D5" s="40">
        <v>0</v>
      </c>
      <c r="E5" s="5"/>
      <c r="F5" s="5"/>
    </row>
    <row r="6" spans="1:9" x14ac:dyDescent="0.15">
      <c r="B6" s="1" t="s">
        <v>220</v>
      </c>
      <c r="C6" s="6">
        <v>3</v>
      </c>
      <c r="D6" s="40">
        <v>0</v>
      </c>
      <c r="E6" s="5"/>
      <c r="F6" s="8"/>
    </row>
    <row r="7" spans="1:9" ht="11.25" thickBot="1" x14ac:dyDescent="0.2">
      <c r="B7" s="2" t="s">
        <v>415</v>
      </c>
      <c r="C7" s="6">
        <v>4</v>
      </c>
      <c r="D7" s="40">
        <v>0</v>
      </c>
      <c r="E7" s="5"/>
      <c r="F7" s="8"/>
    </row>
    <row r="8" spans="1:9" ht="12" thickTop="1" thickBot="1" x14ac:dyDescent="0.2">
      <c r="B8" s="1" t="s">
        <v>221</v>
      </c>
      <c r="D8" s="5"/>
      <c r="E8" s="5">
        <v>5</v>
      </c>
      <c r="F8" s="41">
        <f>SUM(D4:D7)</f>
        <v>0</v>
      </c>
    </row>
    <row r="9" spans="1:9" ht="11.25" thickTop="1" x14ac:dyDescent="0.15">
      <c r="A9" s="20"/>
      <c r="B9" s="20"/>
      <c r="C9" s="20"/>
      <c r="D9" s="20"/>
      <c r="E9" s="20"/>
      <c r="F9" s="20"/>
      <c r="G9" s="20"/>
      <c r="H9" s="20"/>
      <c r="I9" s="20"/>
    </row>
    <row r="11" spans="1:9" ht="11.25" thickBot="1" x14ac:dyDescent="0.2">
      <c r="A11" s="15" t="s">
        <v>222</v>
      </c>
      <c r="G11" s="37" t="s">
        <v>891</v>
      </c>
    </row>
    <row r="12" spans="1:9" ht="11.25" thickBot="1" x14ac:dyDescent="0.2">
      <c r="B12" s="34" t="s">
        <v>892</v>
      </c>
      <c r="G12" s="5"/>
      <c r="H12" s="9" t="s">
        <v>894</v>
      </c>
      <c r="I12" s="38">
        <v>0</v>
      </c>
    </row>
    <row r="13" spans="1:9" x14ac:dyDescent="0.15">
      <c r="B13" s="39" t="s">
        <v>1133</v>
      </c>
      <c r="G13" s="5"/>
      <c r="H13" s="5"/>
      <c r="I13" s="5"/>
    </row>
    <row r="14" spans="1:9" x14ac:dyDescent="0.15">
      <c r="B14" s="39"/>
      <c r="G14" s="5"/>
      <c r="H14" s="5"/>
      <c r="I14" s="5"/>
    </row>
    <row r="15" spans="1:9" x14ac:dyDescent="0.15">
      <c r="B15" s="1" t="s">
        <v>223</v>
      </c>
      <c r="F15" s="6">
        <v>1</v>
      </c>
      <c r="G15" s="40">
        <v>0</v>
      </c>
      <c r="H15" s="5"/>
      <c r="I15" s="5"/>
    </row>
    <row r="16" spans="1:9" x14ac:dyDescent="0.15">
      <c r="B16" s="1" t="s">
        <v>224</v>
      </c>
      <c r="F16" s="6">
        <v>2</v>
      </c>
      <c r="G16" s="40">
        <v>0</v>
      </c>
      <c r="H16" s="5"/>
      <c r="I16" s="5"/>
    </row>
    <row r="17" spans="1:9" x14ac:dyDescent="0.15">
      <c r="B17" s="1" t="s">
        <v>226</v>
      </c>
      <c r="F17" s="6">
        <v>3</v>
      </c>
      <c r="G17" s="40">
        <v>0</v>
      </c>
      <c r="H17" s="5"/>
      <c r="I17" s="5"/>
    </row>
    <row r="18" spans="1:9" x14ac:dyDescent="0.15">
      <c r="B18" s="1" t="s">
        <v>227</v>
      </c>
      <c r="F18" s="6">
        <v>4</v>
      </c>
      <c r="G18" s="40">
        <v>0</v>
      </c>
    </row>
    <row r="19" spans="1:9" x14ac:dyDescent="0.15">
      <c r="B19" s="1" t="s">
        <v>1087</v>
      </c>
      <c r="F19" s="222">
        <v>5</v>
      </c>
      <c r="G19" s="40">
        <v>0</v>
      </c>
    </row>
    <row r="20" spans="1:9" ht="11.25" thickBot="1" x14ac:dyDescent="0.2">
      <c r="B20" s="2" t="s">
        <v>345</v>
      </c>
      <c r="F20" s="6">
        <v>6</v>
      </c>
      <c r="G20" s="40">
        <v>0</v>
      </c>
      <c r="H20" s="5"/>
      <c r="I20" s="5"/>
    </row>
    <row r="21" spans="1:9" ht="12" thickTop="1" thickBot="1" x14ac:dyDescent="0.2">
      <c r="B21" s="1" t="s">
        <v>1088</v>
      </c>
      <c r="G21" s="5">
        <v>7</v>
      </c>
      <c r="H21" s="41">
        <f>SUM(G15:G20)</f>
        <v>0</v>
      </c>
      <c r="I21" s="5"/>
    </row>
    <row r="22" spans="1:9" ht="12" thickTop="1" thickBot="1" x14ac:dyDescent="0.2">
      <c r="B22" s="1" t="s">
        <v>1089</v>
      </c>
      <c r="G22" s="5"/>
      <c r="H22" s="5">
        <v>8</v>
      </c>
      <c r="I22" s="43">
        <f>I12+H21</f>
        <v>0</v>
      </c>
    </row>
    <row r="23" spans="1:9" x14ac:dyDescent="0.15">
      <c r="B23" s="1"/>
      <c r="G23" s="5"/>
      <c r="H23" s="5"/>
      <c r="I23" s="13"/>
    </row>
    <row r="24" spans="1:9" x14ac:dyDescent="0.15">
      <c r="A24" s="563" t="s">
        <v>290</v>
      </c>
      <c r="B24" s="427" t="s">
        <v>286</v>
      </c>
      <c r="F24" s="5"/>
      <c r="H24" s="5"/>
      <c r="I24" s="13"/>
    </row>
    <row r="25" spans="1:9" x14ac:dyDescent="0.15">
      <c r="A25" s="417" t="s">
        <v>1043</v>
      </c>
      <c r="B25" s="2" t="s">
        <v>293</v>
      </c>
      <c r="F25" s="7" t="s">
        <v>767</v>
      </c>
      <c r="G25" s="40">
        <v>0</v>
      </c>
      <c r="H25" s="5"/>
      <c r="I25" s="13"/>
    </row>
    <row r="26" spans="1:9" x14ac:dyDescent="0.15">
      <c r="B26" s="1"/>
      <c r="G26" s="5"/>
      <c r="H26" s="5"/>
      <c r="I26" s="13"/>
    </row>
    <row r="27" spans="1:9" x14ac:dyDescent="0.15">
      <c r="B27" s="39" t="s">
        <v>228</v>
      </c>
      <c r="G27" s="5"/>
      <c r="H27" s="5"/>
    </row>
    <row r="28" spans="1:9" x14ac:dyDescent="0.15">
      <c r="B28" s="1" t="s">
        <v>1090</v>
      </c>
      <c r="F28" s="6">
        <v>9</v>
      </c>
      <c r="G28" s="40">
        <v>0</v>
      </c>
      <c r="H28" s="5"/>
      <c r="I28" s="5"/>
    </row>
    <row r="29" spans="1:9" ht="11.25" thickBot="1" x14ac:dyDescent="0.2">
      <c r="B29" s="2"/>
      <c r="F29" s="6"/>
      <c r="G29" s="14"/>
      <c r="H29" s="5"/>
      <c r="I29" s="5"/>
    </row>
    <row r="30" spans="1:9" ht="12" thickTop="1" thickBot="1" x14ac:dyDescent="0.2">
      <c r="B30" s="1" t="s">
        <v>229</v>
      </c>
      <c r="G30" s="5">
        <v>10</v>
      </c>
      <c r="H30" s="41">
        <f>SUM(G25:G28)</f>
        <v>0</v>
      </c>
      <c r="I30" s="5"/>
    </row>
    <row r="31" spans="1:9" ht="11.25" thickTop="1" x14ac:dyDescent="0.15">
      <c r="B31" s="39" t="s">
        <v>1295</v>
      </c>
      <c r="G31" s="5"/>
      <c r="H31" s="5"/>
      <c r="I31" s="5"/>
    </row>
    <row r="32" spans="1:9" ht="11.25" thickBot="1" x14ac:dyDescent="0.2">
      <c r="A32" s="105">
        <v>9100</v>
      </c>
      <c r="B32" s="1" t="s">
        <v>258</v>
      </c>
      <c r="F32" s="6">
        <v>11</v>
      </c>
      <c r="G32" s="40">
        <v>0</v>
      </c>
      <c r="H32" s="5"/>
      <c r="I32" s="5"/>
    </row>
    <row r="33" spans="1:9" ht="12" thickTop="1" thickBot="1" x14ac:dyDescent="0.2">
      <c r="A33" s="105"/>
      <c r="B33" s="1" t="s">
        <v>259</v>
      </c>
      <c r="G33" s="5">
        <v>12</v>
      </c>
      <c r="H33" s="41">
        <f>H30+G32</f>
        <v>0</v>
      </c>
      <c r="I33" s="5"/>
    </row>
    <row r="34" spans="1:9" ht="11.25" thickTop="1" x14ac:dyDescent="0.15">
      <c r="B34" s="1" t="s">
        <v>260</v>
      </c>
      <c r="I34" s="5"/>
    </row>
    <row r="35" spans="1:9" ht="11.25" thickBot="1" x14ac:dyDescent="0.2">
      <c r="A35" s="105">
        <v>9200</v>
      </c>
      <c r="B35" s="1" t="s">
        <v>261</v>
      </c>
      <c r="F35" s="6">
        <v>13</v>
      </c>
      <c r="G35" s="40">
        <v>0</v>
      </c>
      <c r="H35" s="5"/>
      <c r="I35" s="5"/>
    </row>
    <row r="36" spans="1:9" ht="11.25" thickBot="1" x14ac:dyDescent="0.2">
      <c r="B36" s="1" t="s">
        <v>262</v>
      </c>
      <c r="G36" s="5">
        <v>14</v>
      </c>
      <c r="H36" s="43">
        <f>H33+G35</f>
        <v>0</v>
      </c>
      <c r="I36" s="5"/>
    </row>
    <row r="37" spans="1:9" ht="12" thickTop="1" thickBot="1" x14ac:dyDescent="0.2">
      <c r="B37" s="1" t="s">
        <v>1091</v>
      </c>
      <c r="G37" s="107" t="s">
        <v>1092</v>
      </c>
      <c r="H37" s="123">
        <f>+I22</f>
        <v>0</v>
      </c>
      <c r="I37" s="5"/>
    </row>
    <row r="38" spans="1:9" ht="12" thickTop="1" thickBot="1" x14ac:dyDescent="0.2">
      <c r="G38" s="109" t="s">
        <v>1296</v>
      </c>
      <c r="H38" s="110">
        <f>+H37-H36</f>
        <v>0</v>
      </c>
      <c r="I38" s="5"/>
    </row>
    <row r="39" spans="1:9" ht="11.25" thickTop="1" x14ac:dyDescent="0.15">
      <c r="B39" s="34"/>
    </row>
    <row r="40" spans="1:9" x14ac:dyDescent="0.15">
      <c r="A40" s="20"/>
      <c r="B40" s="20"/>
      <c r="C40" s="20"/>
      <c r="D40" s="20"/>
      <c r="E40" s="20"/>
      <c r="F40" s="20"/>
      <c r="G40" s="20"/>
      <c r="H40" s="20"/>
      <c r="I40" s="20"/>
    </row>
    <row r="42" spans="1:9" x14ac:dyDescent="0.15">
      <c r="A42" s="15" t="s">
        <v>263</v>
      </c>
    </row>
    <row r="43" spans="1:9" x14ac:dyDescent="0.15">
      <c r="B43" s="1" t="s">
        <v>121</v>
      </c>
    </row>
    <row r="44" spans="1:9" x14ac:dyDescent="0.15">
      <c r="B44" s="1" t="s">
        <v>264</v>
      </c>
      <c r="C44" s="6">
        <v>1</v>
      </c>
      <c r="D44" s="492">
        <f>GenFundExp2!I665+CharterFundExp2!I665</f>
        <v>0</v>
      </c>
      <c r="F44" s="1" t="s">
        <v>1256</v>
      </c>
      <c r="I44" s="492">
        <f>BuildFund!I46</f>
        <v>0</v>
      </c>
    </row>
    <row r="45" spans="1:9" x14ac:dyDescent="0.15">
      <c r="B45" s="1" t="s">
        <v>1243</v>
      </c>
      <c r="C45" s="7" t="s">
        <v>1242</v>
      </c>
      <c r="D45" s="492">
        <f>InsResv!I43</f>
        <v>0</v>
      </c>
      <c r="F45" s="1" t="s">
        <v>1267</v>
      </c>
      <c r="I45" s="492">
        <f>SpecBuild!I34</f>
        <v>0</v>
      </c>
    </row>
    <row r="46" spans="1:9" x14ac:dyDescent="0.15">
      <c r="B46" s="1" t="s">
        <v>1244</v>
      </c>
      <c r="C46" s="7" t="s">
        <v>1245</v>
      </c>
      <c r="D46" s="492">
        <f>'CPP Fund'!I123</f>
        <v>0</v>
      </c>
      <c r="F46" s="1" t="s">
        <v>1258</v>
      </c>
      <c r="I46" s="492">
        <f>CapResCapPrj!I82</f>
        <v>0</v>
      </c>
    </row>
    <row r="47" spans="1:9" x14ac:dyDescent="0.15">
      <c r="B47" s="1" t="s">
        <v>1508</v>
      </c>
      <c r="C47" s="6">
        <v>3</v>
      </c>
      <c r="D47" s="492">
        <f>FoodServiceSRF!I76</f>
        <v>0</v>
      </c>
      <c r="F47" s="1" t="s">
        <v>1564</v>
      </c>
      <c r="I47" s="492">
        <f>'DO NOT USE'!I51</f>
        <v>0</v>
      </c>
    </row>
    <row r="48" spans="1:9" x14ac:dyDescent="0.15">
      <c r="B48" s="1" t="s">
        <v>1247</v>
      </c>
      <c r="C48" s="6">
        <v>4</v>
      </c>
      <c r="D48" s="492">
        <f>GovGrants!J175</f>
        <v>0</v>
      </c>
      <c r="F48" s="1" t="s">
        <v>1259</v>
      </c>
      <c r="I48" s="492">
        <f>OtherEnterprise!I41</f>
        <v>0</v>
      </c>
    </row>
    <row r="49" spans="2:9" x14ac:dyDescent="0.15">
      <c r="B49" s="1" t="s">
        <v>1248</v>
      </c>
      <c r="C49" s="6">
        <v>5</v>
      </c>
      <c r="D49" s="492">
        <f>PupActiv!I59</f>
        <v>0</v>
      </c>
      <c r="F49" s="1" t="s">
        <v>1260</v>
      </c>
      <c r="I49" s="492">
        <f>RiskRelated!I39</f>
        <v>0</v>
      </c>
    </row>
    <row r="50" spans="2:9" x14ac:dyDescent="0.15">
      <c r="B50" s="1" t="s">
        <v>1266</v>
      </c>
      <c r="C50" s="6">
        <v>6</v>
      </c>
      <c r="D50" s="492">
        <f>FullDayKOverride!I41</f>
        <v>0</v>
      </c>
      <c r="F50" s="1" t="s">
        <v>1261</v>
      </c>
      <c r="I50" s="495">
        <f>OtherInternal!I43</f>
        <v>0</v>
      </c>
    </row>
    <row r="51" spans="2:9" x14ac:dyDescent="0.15">
      <c r="B51" s="1" t="s">
        <v>1249</v>
      </c>
      <c r="C51" s="6">
        <v>7</v>
      </c>
      <c r="D51" s="492">
        <f>Transp!I42</f>
        <v>0</v>
      </c>
      <c r="F51" s="1" t="s">
        <v>1268</v>
      </c>
      <c r="I51" s="546" t="s">
        <v>225</v>
      </c>
    </row>
    <row r="52" spans="2:9" x14ac:dyDescent="0.15">
      <c r="B52" s="1" t="s">
        <v>1255</v>
      </c>
      <c r="C52" s="6">
        <v>8</v>
      </c>
      <c r="D52" s="492">
        <f>OthSpecRev!I61</f>
        <v>0</v>
      </c>
      <c r="F52" s="1" t="s">
        <v>1269</v>
      </c>
      <c r="I52" s="546" t="s">
        <v>225</v>
      </c>
    </row>
    <row r="53" spans="2:9" ht="11.25" thickBot="1" x14ac:dyDescent="0.2">
      <c r="B53" s="1" t="s">
        <v>1406</v>
      </c>
      <c r="C53" s="6">
        <v>9</v>
      </c>
      <c r="D53" s="40" t="s">
        <v>225</v>
      </c>
      <c r="F53" s="1" t="s">
        <v>1271</v>
      </c>
      <c r="I53" s="546" t="s">
        <v>1272</v>
      </c>
    </row>
    <row r="54" spans="2:9" ht="12" thickTop="1" thickBot="1" x14ac:dyDescent="0.2">
      <c r="B54" s="1" t="s">
        <v>1583</v>
      </c>
      <c r="C54" s="6">
        <v>9</v>
      </c>
      <c r="D54" s="40" t="s">
        <v>1272</v>
      </c>
      <c r="F54" s="1" t="s">
        <v>1270</v>
      </c>
      <c r="I54" s="41">
        <f>SUM(D44:D53)+SUM(I44:I53)</f>
        <v>0</v>
      </c>
    </row>
    <row r="55" spans="2:9" ht="11.25" thickTop="1" x14ac:dyDescent="0.15">
      <c r="B55" s="1" t="s">
        <v>383</v>
      </c>
    </row>
  </sheetData>
  <sheetProtection password="CB03" sheet="1" objects="1" scenarios="1" formatCells="0" formatColumns="0" formatRows="0"/>
  <phoneticPr fontId="15" type="noConversion"/>
  <pageMargins left="0.5" right="0.5" top="0.75" bottom="0.75" header="0.5" footer="0.5"/>
  <pageSetup scale="63" firstPageNumber="50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I60"/>
  <sheetViews>
    <sheetView zoomScaleNormal="100" workbookViewId="0">
      <selection activeCell="E7" sqref="E7"/>
    </sheetView>
  </sheetViews>
  <sheetFormatPr defaultColWidth="12" defaultRowHeight="12.75" x14ac:dyDescent="0.2"/>
  <cols>
    <col min="1" max="1" width="4.83203125" style="604" customWidth="1"/>
    <col min="2" max="2" width="99.83203125" style="604" customWidth="1"/>
    <col min="3" max="3" width="18.5" customWidth="1"/>
    <col min="4" max="4" width="5.6640625" customWidth="1"/>
    <col min="5" max="5" width="10.33203125" style="604" customWidth="1"/>
    <col min="6" max="6" width="59" style="604" customWidth="1"/>
    <col min="7" max="7" width="6.6640625" style="604" customWidth="1"/>
    <col min="8" max="8" width="30.1640625" style="604" customWidth="1"/>
    <col min="9" max="9" width="5.6640625" customWidth="1"/>
  </cols>
  <sheetData>
    <row r="1" spans="1:9" ht="15" x14ac:dyDescent="0.2">
      <c r="D1" s="688"/>
      <c r="E1" s="736" t="s">
        <v>879</v>
      </c>
      <c r="F1" s="736"/>
      <c r="G1" s="736"/>
      <c r="H1" s="736"/>
      <c r="I1" s="682"/>
    </row>
    <row r="2" spans="1:9" x14ac:dyDescent="0.2">
      <c r="A2" s="605"/>
      <c r="D2" s="689"/>
      <c r="E2" s="614"/>
      <c r="F2" s="614"/>
      <c r="G2" s="654"/>
      <c r="H2" s="614"/>
      <c r="I2" s="683"/>
    </row>
    <row r="3" spans="1:9" x14ac:dyDescent="0.2">
      <c r="D3" s="689"/>
      <c r="E3" s="650" t="s">
        <v>1372</v>
      </c>
      <c r="F3" s="614"/>
      <c r="G3" s="614"/>
      <c r="H3" s="614"/>
      <c r="I3" s="683"/>
    </row>
    <row r="4" spans="1:9" x14ac:dyDescent="0.2">
      <c r="A4" s="606" t="s">
        <v>1308</v>
      </c>
      <c r="B4" s="607" t="s">
        <v>384</v>
      </c>
      <c r="C4" s="1"/>
      <c r="D4" s="689"/>
      <c r="E4" s="650" t="s">
        <v>1373</v>
      </c>
      <c r="F4" s="614"/>
      <c r="G4" s="614"/>
      <c r="H4" s="614"/>
      <c r="I4" s="683"/>
    </row>
    <row r="5" spans="1:9" x14ac:dyDescent="0.2">
      <c r="B5" s="607" t="s">
        <v>285</v>
      </c>
      <c r="C5" s="1"/>
      <c r="D5" s="689"/>
      <c r="E5" s="650" t="s">
        <v>1598</v>
      </c>
      <c r="F5" s="614"/>
      <c r="G5" s="614"/>
      <c r="H5" s="614"/>
      <c r="I5" s="683"/>
    </row>
    <row r="6" spans="1:9" x14ac:dyDescent="0.2">
      <c r="B6" s="607" t="s">
        <v>306</v>
      </c>
      <c r="C6" s="1"/>
      <c r="D6" s="689"/>
      <c r="E6" s="614" t="s">
        <v>1599</v>
      </c>
      <c r="F6" s="614"/>
      <c r="G6" s="614"/>
      <c r="H6" s="614"/>
      <c r="I6" s="683"/>
    </row>
    <row r="7" spans="1:9" x14ac:dyDescent="0.2">
      <c r="B7" s="607" t="s">
        <v>388</v>
      </c>
      <c r="C7" s="1"/>
      <c r="D7" s="689"/>
      <c r="E7" s="650"/>
      <c r="F7" s="614"/>
      <c r="G7" s="614"/>
      <c r="H7" s="614"/>
      <c r="I7" s="683"/>
    </row>
    <row r="8" spans="1:9" x14ac:dyDescent="0.2">
      <c r="B8" s="607" t="s">
        <v>389</v>
      </c>
      <c r="C8" s="1"/>
      <c r="D8" s="689"/>
      <c r="E8" s="614"/>
      <c r="F8" s="614"/>
      <c r="G8" s="614"/>
      <c r="H8" s="614"/>
      <c r="I8" s="683"/>
    </row>
    <row r="9" spans="1:9" x14ac:dyDescent="0.2">
      <c r="B9" s="607" t="s">
        <v>390</v>
      </c>
      <c r="C9" s="1"/>
      <c r="D9" s="689"/>
      <c r="E9" s="614"/>
      <c r="F9" s="614"/>
      <c r="G9" s="614"/>
      <c r="H9" s="614"/>
      <c r="I9" s="683"/>
    </row>
    <row r="10" spans="1:9" x14ac:dyDescent="0.2">
      <c r="D10" s="689"/>
      <c r="E10" s="614"/>
      <c r="F10" s="614"/>
      <c r="G10" s="614"/>
      <c r="H10" s="684" t="s">
        <v>391</v>
      </c>
      <c r="I10" s="683"/>
    </row>
    <row r="11" spans="1:9" x14ac:dyDescent="0.2">
      <c r="D11" s="689"/>
      <c r="E11" s="650" t="s">
        <v>121</v>
      </c>
      <c r="F11" s="614"/>
      <c r="G11" s="614"/>
      <c r="H11" s="684" t="s">
        <v>392</v>
      </c>
      <c r="I11" s="683"/>
    </row>
    <row r="12" spans="1:9" x14ac:dyDescent="0.2">
      <c r="A12" s="606" t="s">
        <v>1309</v>
      </c>
      <c r="B12" s="607" t="s">
        <v>393</v>
      </c>
      <c r="C12" s="1"/>
      <c r="D12" s="689"/>
      <c r="E12" s="614"/>
      <c r="F12" s="614"/>
      <c r="G12" s="614"/>
      <c r="H12" s="651"/>
      <c r="I12" s="683"/>
    </row>
    <row r="13" spans="1:9" x14ac:dyDescent="0.2">
      <c r="B13" s="607" t="s">
        <v>915</v>
      </c>
      <c r="C13" s="1"/>
      <c r="D13" s="689"/>
      <c r="E13" s="690" t="s">
        <v>183</v>
      </c>
      <c r="F13" s="614"/>
      <c r="G13" s="651">
        <v>1</v>
      </c>
      <c r="H13" s="609">
        <f>GenFundExp2!I672</f>
        <v>0</v>
      </c>
      <c r="I13" s="683"/>
    </row>
    <row r="14" spans="1:9" x14ac:dyDescent="0.2">
      <c r="C14" s="1"/>
      <c r="D14" s="689"/>
      <c r="E14" s="690"/>
      <c r="F14" s="650" t="s">
        <v>944</v>
      </c>
      <c r="G14" s="652" t="s">
        <v>255</v>
      </c>
      <c r="H14" s="609">
        <f>CharterFundExp2!I671</f>
        <v>0</v>
      </c>
      <c r="I14" s="683"/>
    </row>
    <row r="15" spans="1:9" x14ac:dyDescent="0.2">
      <c r="C15" s="1"/>
      <c r="D15" s="689"/>
      <c r="E15" s="614"/>
      <c r="F15" s="650" t="s">
        <v>945</v>
      </c>
      <c r="G15" s="652" t="s">
        <v>529</v>
      </c>
      <c r="H15" s="609">
        <f>InsResv!I49</f>
        <v>0</v>
      </c>
      <c r="I15" s="683"/>
    </row>
    <row r="16" spans="1:9" x14ac:dyDescent="0.2">
      <c r="B16" s="607" t="s">
        <v>394</v>
      </c>
      <c r="D16" s="689"/>
      <c r="E16" s="650"/>
      <c r="F16" s="614" t="s">
        <v>946</v>
      </c>
      <c r="G16" s="653" t="s">
        <v>947</v>
      </c>
      <c r="H16" s="609">
        <f>'CPP Fund'!I129</f>
        <v>0</v>
      </c>
      <c r="I16" s="683"/>
    </row>
    <row r="17" spans="1:9" x14ac:dyDescent="0.2">
      <c r="B17" s="607" t="s">
        <v>395</v>
      </c>
      <c r="D17" s="689"/>
      <c r="E17" s="650" t="s">
        <v>914</v>
      </c>
      <c r="F17" s="614"/>
      <c r="G17" s="614"/>
      <c r="H17" s="685"/>
      <c r="I17" s="683"/>
    </row>
    <row r="18" spans="1:9" hidden="1" x14ac:dyDescent="0.2">
      <c r="B18" s="607" t="s">
        <v>59</v>
      </c>
      <c r="C18" s="1"/>
      <c r="D18" s="689"/>
      <c r="E18" s="614"/>
      <c r="F18" s="650" t="s">
        <v>1246</v>
      </c>
      <c r="G18" s="652">
        <v>2</v>
      </c>
      <c r="H18" s="609">
        <f>ARRAGrants!J181</f>
        <v>0</v>
      </c>
      <c r="I18" s="683"/>
    </row>
    <row r="19" spans="1:9" x14ac:dyDescent="0.2">
      <c r="B19" s="604" t="s">
        <v>59</v>
      </c>
      <c r="C19" s="1"/>
      <c r="D19" s="689"/>
      <c r="E19" s="614"/>
      <c r="F19" s="650" t="s">
        <v>1508</v>
      </c>
      <c r="G19" s="651">
        <v>3</v>
      </c>
      <c r="H19" s="609">
        <f>FoodServiceSRF!I82</f>
        <v>0</v>
      </c>
      <c r="I19" s="683"/>
    </row>
    <row r="20" spans="1:9" x14ac:dyDescent="0.2">
      <c r="C20" s="1"/>
      <c r="D20" s="689"/>
      <c r="E20" s="614"/>
      <c r="F20" s="650" t="s">
        <v>1247</v>
      </c>
      <c r="G20" s="651">
        <v>4</v>
      </c>
      <c r="H20" s="609">
        <f>GovGrants!J181</f>
        <v>0</v>
      </c>
      <c r="I20" s="683"/>
    </row>
    <row r="21" spans="1:9" s="283" customFormat="1" x14ac:dyDescent="0.2">
      <c r="A21" s="608"/>
      <c r="B21" s="604"/>
      <c r="C21" s="382"/>
      <c r="D21" s="677"/>
      <c r="E21" s="691"/>
      <c r="F21" s="650" t="s">
        <v>1248</v>
      </c>
      <c r="G21" s="651">
        <v>5</v>
      </c>
      <c r="H21" s="609">
        <f>PupActiv!I65</f>
        <v>0</v>
      </c>
      <c r="I21" s="673"/>
    </row>
    <row r="22" spans="1:9" x14ac:dyDescent="0.2">
      <c r="D22" s="689"/>
      <c r="E22" s="614"/>
      <c r="F22" s="650" t="s">
        <v>1254</v>
      </c>
      <c r="G22" s="651">
        <v>6</v>
      </c>
      <c r="H22" s="609">
        <f>FullDayKOverride!I47</f>
        <v>0</v>
      </c>
      <c r="I22" s="683"/>
    </row>
    <row r="23" spans="1:9" x14ac:dyDescent="0.2">
      <c r="D23" s="689"/>
      <c r="E23" s="614"/>
      <c r="F23" s="650" t="s">
        <v>1249</v>
      </c>
      <c r="G23" s="651">
        <v>7</v>
      </c>
      <c r="H23" s="609">
        <f>Transp!I48</f>
        <v>0</v>
      </c>
      <c r="I23" s="683"/>
    </row>
    <row r="24" spans="1:9" x14ac:dyDescent="0.2">
      <c r="D24" s="689"/>
      <c r="E24" s="614"/>
      <c r="F24" s="650" t="s">
        <v>1255</v>
      </c>
      <c r="G24" s="651">
        <v>8</v>
      </c>
      <c r="H24" s="609">
        <f>OthSpecRev!I67</f>
        <v>0</v>
      </c>
      <c r="I24" s="683"/>
    </row>
    <row r="25" spans="1:9" x14ac:dyDescent="0.2">
      <c r="D25" s="689"/>
      <c r="E25" s="650" t="s">
        <v>433</v>
      </c>
      <c r="F25" s="614"/>
      <c r="G25" s="651"/>
      <c r="H25" s="609"/>
      <c r="I25" s="683"/>
    </row>
    <row r="26" spans="1:9" x14ac:dyDescent="0.2">
      <c r="D26" s="689"/>
      <c r="E26" s="650"/>
      <c r="F26" s="614" t="s">
        <v>1400</v>
      </c>
      <c r="G26" s="652" t="s">
        <v>1402</v>
      </c>
      <c r="H26" s="609">
        <f>BondRedm!I46</f>
        <v>0</v>
      </c>
      <c r="I26" s="683"/>
    </row>
    <row r="27" spans="1:9" x14ac:dyDescent="0.2">
      <c r="C27" s="122"/>
      <c r="D27" s="689"/>
      <c r="E27" s="650"/>
      <c r="F27" s="614" t="s">
        <v>1401</v>
      </c>
      <c r="G27" s="652" t="s">
        <v>1403</v>
      </c>
      <c r="H27" s="609">
        <f>COPDebt!I46</f>
        <v>0</v>
      </c>
      <c r="I27" s="683"/>
    </row>
    <row r="28" spans="1:9" x14ac:dyDescent="0.2">
      <c r="C28" s="1"/>
      <c r="D28" s="689"/>
      <c r="E28" s="650" t="s">
        <v>969</v>
      </c>
      <c r="F28" s="614"/>
      <c r="G28" s="614"/>
      <c r="H28" s="686"/>
      <c r="I28" s="683"/>
    </row>
    <row r="29" spans="1:9" x14ac:dyDescent="0.2">
      <c r="D29" s="689"/>
      <c r="E29" s="614"/>
      <c r="F29" s="650" t="s">
        <v>1256</v>
      </c>
      <c r="G29" s="651">
        <v>10</v>
      </c>
      <c r="H29" s="609">
        <f>BuildFund!I52</f>
        <v>0</v>
      </c>
      <c r="I29" s="683"/>
    </row>
    <row r="30" spans="1:9" x14ac:dyDescent="0.2">
      <c r="D30" s="689"/>
      <c r="E30" s="614"/>
      <c r="F30" s="650" t="s">
        <v>1257</v>
      </c>
      <c r="G30" s="651">
        <v>11</v>
      </c>
      <c r="H30" s="609">
        <f>SpecBuild!I40</f>
        <v>0</v>
      </c>
      <c r="I30" s="683"/>
    </row>
    <row r="31" spans="1:9" x14ac:dyDescent="0.2">
      <c r="D31" s="689"/>
      <c r="E31" s="614"/>
      <c r="F31" s="650" t="s">
        <v>1258</v>
      </c>
      <c r="G31" s="651">
        <v>12</v>
      </c>
      <c r="H31" s="609">
        <f>CapResCapPrj!I88</f>
        <v>0</v>
      </c>
      <c r="I31" s="683"/>
    </row>
    <row r="32" spans="1:9" x14ac:dyDescent="0.2">
      <c r="C32" s="122"/>
      <c r="D32" s="689"/>
      <c r="E32" s="650" t="s">
        <v>1001</v>
      </c>
      <c r="F32" s="614"/>
      <c r="G32" s="614"/>
      <c r="H32" s="685"/>
      <c r="I32" s="683"/>
    </row>
    <row r="33" spans="3:9" customFormat="1" x14ac:dyDescent="0.2">
      <c r="C33" s="1"/>
      <c r="D33" s="689"/>
      <c r="E33" s="614"/>
      <c r="F33" s="650" t="s">
        <v>1509</v>
      </c>
      <c r="G33" s="651">
        <v>13</v>
      </c>
      <c r="H33" s="610">
        <f>'DO NOT USE'!I57</f>
        <v>0</v>
      </c>
      <c r="I33" s="683"/>
    </row>
    <row r="34" spans="3:9" customFormat="1" x14ac:dyDescent="0.2">
      <c r="D34" s="689"/>
      <c r="E34" s="614"/>
      <c r="F34" s="650" t="s">
        <v>1259</v>
      </c>
      <c r="G34" s="651">
        <v>14</v>
      </c>
      <c r="H34" s="610">
        <f>OtherEnterprise!I47</f>
        <v>0</v>
      </c>
      <c r="I34" s="683"/>
    </row>
    <row r="35" spans="3:9" customFormat="1" x14ac:dyDescent="0.2">
      <c r="D35" s="689"/>
      <c r="E35" s="650" t="s">
        <v>912</v>
      </c>
      <c r="F35" s="614"/>
      <c r="G35" s="614"/>
      <c r="H35" s="686"/>
      <c r="I35" s="683"/>
    </row>
    <row r="36" spans="3:9" customFormat="1" x14ac:dyDescent="0.2">
      <c r="D36" s="689"/>
      <c r="E36" s="614"/>
      <c r="F36" s="650" t="s">
        <v>1260</v>
      </c>
      <c r="G36" s="651">
        <v>15</v>
      </c>
      <c r="H36" s="609">
        <f>RiskRelated!I45</f>
        <v>0</v>
      </c>
      <c r="I36" s="683"/>
    </row>
    <row r="37" spans="3:9" customFormat="1" x14ac:dyDescent="0.2">
      <c r="D37" s="689"/>
      <c r="E37" s="614"/>
      <c r="F37" s="650" t="s">
        <v>1261</v>
      </c>
      <c r="G37" s="651">
        <v>16</v>
      </c>
      <c r="H37" s="609">
        <f>OtherInternal!I49</f>
        <v>0</v>
      </c>
      <c r="I37" s="683"/>
    </row>
    <row r="38" spans="3:9" customFormat="1" x14ac:dyDescent="0.2">
      <c r="D38" s="689"/>
      <c r="E38" s="650" t="s">
        <v>398</v>
      </c>
      <c r="F38" s="614"/>
      <c r="G38" s="614"/>
      <c r="H38" s="686"/>
      <c r="I38" s="683"/>
    </row>
    <row r="39" spans="3:9" customFormat="1" x14ac:dyDescent="0.2">
      <c r="D39" s="689"/>
      <c r="E39" s="614"/>
      <c r="F39" s="650" t="s">
        <v>1262</v>
      </c>
      <c r="G39" s="651">
        <v>17</v>
      </c>
      <c r="H39" s="609">
        <f>PupilActAgency!I59</f>
        <v>0</v>
      </c>
      <c r="I39" s="683"/>
    </row>
    <row r="40" spans="3:9" customFormat="1" x14ac:dyDescent="0.2">
      <c r="D40" s="689"/>
      <c r="E40" s="614"/>
      <c r="F40" s="650" t="s">
        <v>1263</v>
      </c>
      <c r="G40" s="651">
        <v>18</v>
      </c>
      <c r="H40" s="609">
        <f>'Trust&amp;Agency'!I58</f>
        <v>0</v>
      </c>
      <c r="I40" s="683"/>
    </row>
    <row r="41" spans="3:9" customFormat="1" x14ac:dyDescent="0.2">
      <c r="D41" s="689"/>
      <c r="E41" s="614"/>
      <c r="F41" s="650" t="s">
        <v>1264</v>
      </c>
      <c r="G41" s="611">
        <v>19</v>
      </c>
      <c r="H41" s="609">
        <f>'Foundation Fund'!I58</f>
        <v>0</v>
      </c>
      <c r="I41" s="683"/>
    </row>
    <row r="42" spans="3:9" customFormat="1" x14ac:dyDescent="0.2">
      <c r="D42" s="689"/>
      <c r="E42" s="650" t="s">
        <v>1265</v>
      </c>
      <c r="F42" s="614"/>
      <c r="G42" s="651">
        <v>20</v>
      </c>
      <c r="H42" s="609">
        <f>+Arbitrage!H33</f>
        <v>0</v>
      </c>
      <c r="I42" s="683"/>
    </row>
    <row r="43" spans="3:9" customFormat="1" ht="13.5" thickBot="1" x14ac:dyDescent="0.25">
      <c r="D43" s="689"/>
      <c r="E43" s="614"/>
      <c r="F43" s="614"/>
      <c r="G43" s="614"/>
      <c r="H43" s="651"/>
      <c r="I43" s="683"/>
    </row>
    <row r="44" spans="3:9" customFormat="1" ht="13.5" thickBot="1" x14ac:dyDescent="0.25">
      <c r="D44" s="689"/>
      <c r="E44" s="650" t="s">
        <v>403</v>
      </c>
      <c r="F44" s="614"/>
      <c r="G44" s="651">
        <v>21</v>
      </c>
      <c r="H44" s="612">
        <f>SUM(H13:H42)</f>
        <v>0</v>
      </c>
      <c r="I44" s="683"/>
    </row>
    <row r="45" spans="3:9" customFormat="1" x14ac:dyDescent="0.2">
      <c r="D45" s="689"/>
      <c r="E45" s="614"/>
      <c r="F45" s="614"/>
      <c r="G45" s="614"/>
      <c r="H45" s="651"/>
      <c r="I45" s="683"/>
    </row>
    <row r="46" spans="3:9" customFormat="1" x14ac:dyDescent="0.2">
      <c r="D46" s="689"/>
      <c r="E46" s="614"/>
      <c r="F46" s="614"/>
      <c r="G46" s="614"/>
      <c r="H46" s="651"/>
      <c r="I46" s="683"/>
    </row>
    <row r="47" spans="3:9" customFormat="1" x14ac:dyDescent="0.2">
      <c r="D47" s="689"/>
      <c r="E47" s="614"/>
      <c r="F47" s="614"/>
      <c r="G47" s="614"/>
      <c r="H47" s="614"/>
      <c r="I47" s="683"/>
    </row>
    <row r="48" spans="3:9" customFormat="1" x14ac:dyDescent="0.2">
      <c r="D48" s="689"/>
      <c r="E48" s="613"/>
      <c r="F48" s="613"/>
      <c r="G48" s="613"/>
      <c r="H48" s="613"/>
      <c r="I48" s="683"/>
    </row>
    <row r="49" spans="4:9" customFormat="1" x14ac:dyDescent="0.2">
      <c r="D49" s="689"/>
      <c r="E49" s="614"/>
      <c r="F49" s="614"/>
      <c r="G49" s="614"/>
      <c r="H49" s="614"/>
      <c r="I49" s="683"/>
    </row>
    <row r="50" spans="4:9" customFormat="1" x14ac:dyDescent="0.2">
      <c r="D50" s="689"/>
      <c r="E50" s="650" t="s">
        <v>396</v>
      </c>
      <c r="F50" s="614"/>
      <c r="G50" s="614"/>
      <c r="H50" s="614"/>
      <c r="I50" s="683"/>
    </row>
    <row r="51" spans="4:9" customFormat="1" x14ac:dyDescent="0.2">
      <c r="D51" s="689"/>
      <c r="E51" s="614"/>
      <c r="F51" s="614"/>
      <c r="G51" s="614"/>
      <c r="H51" s="614"/>
      <c r="I51" s="683"/>
    </row>
    <row r="52" spans="4:9" customFormat="1" x14ac:dyDescent="0.2">
      <c r="D52" s="689"/>
      <c r="E52" s="613"/>
      <c r="F52" s="614"/>
      <c r="G52" s="614"/>
      <c r="H52" s="614"/>
      <c r="I52" s="683"/>
    </row>
    <row r="53" spans="4:9" customFormat="1" x14ac:dyDescent="0.2">
      <c r="D53" s="689"/>
      <c r="E53" s="614"/>
      <c r="F53" s="615"/>
      <c r="G53" s="614"/>
      <c r="H53" s="614"/>
      <c r="I53" s="683"/>
    </row>
    <row r="54" spans="4:9" customFormat="1" x14ac:dyDescent="0.2">
      <c r="D54" s="689"/>
      <c r="E54" s="650" t="s">
        <v>397</v>
      </c>
      <c r="F54" s="614"/>
      <c r="G54" s="614"/>
      <c r="H54" s="614"/>
      <c r="I54" s="683"/>
    </row>
    <row r="55" spans="4:9" customFormat="1" x14ac:dyDescent="0.2">
      <c r="D55" s="689"/>
      <c r="E55" s="614"/>
      <c r="F55" s="614"/>
      <c r="G55" s="614"/>
      <c r="H55" s="614"/>
      <c r="I55" s="683"/>
    </row>
    <row r="56" spans="4:9" customFormat="1" x14ac:dyDescent="0.2">
      <c r="D56" s="689"/>
      <c r="E56" s="613"/>
      <c r="F56" s="614"/>
      <c r="G56" s="614"/>
      <c r="H56" s="614"/>
      <c r="I56" s="683"/>
    </row>
    <row r="57" spans="4:9" customFormat="1" x14ac:dyDescent="0.2">
      <c r="D57" s="689"/>
      <c r="E57" s="614"/>
      <c r="F57" s="615"/>
      <c r="G57" s="614"/>
      <c r="H57" s="614"/>
      <c r="I57" s="683"/>
    </row>
    <row r="58" spans="4:9" customFormat="1" x14ac:dyDescent="0.2">
      <c r="D58" s="689"/>
      <c r="E58" s="650" t="s">
        <v>1460</v>
      </c>
      <c r="F58" s="614"/>
      <c r="G58" s="614"/>
      <c r="H58" s="614"/>
      <c r="I58" s="683"/>
    </row>
    <row r="59" spans="4:9" customFormat="1" x14ac:dyDescent="0.2">
      <c r="D59" s="689"/>
      <c r="E59" s="614"/>
      <c r="F59" s="614"/>
      <c r="G59" s="614"/>
      <c r="H59" s="614"/>
      <c r="I59" s="683"/>
    </row>
    <row r="60" spans="4:9" customFormat="1" ht="13.5" thickBot="1" x14ac:dyDescent="0.25">
      <c r="D60" s="692"/>
      <c r="E60" s="668"/>
      <c r="F60" s="668"/>
      <c r="G60" s="668"/>
      <c r="H60" s="668"/>
      <c r="I60" s="687"/>
    </row>
  </sheetData>
  <sheetProtection password="CB03" sheet="1" objects="1" scenarios="1" formatCells="0" formatColumns="0" formatRows="0"/>
  <mergeCells count="1">
    <mergeCell ref="E1:H1"/>
  </mergeCells>
  <phoneticPr fontId="15" type="noConversion"/>
  <pageMargins left="1" right="0.5" top="0.75" bottom="0.75" header="0.5" footer="0.5"/>
  <pageSetup scale="91" firstPageNumber="51" fitToWidth="2" orientation="portrait" horizontalDpi="300" verticalDpi="300" r:id="rId1"/>
  <headerFooter alignWithMargins="0">
    <oddFooter>&amp;LCDE, Public Scool Finance Unit&amp;C&amp;P&amp;R&amp;D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zoomScaleNormal="100" workbookViewId="0">
      <selection activeCell="B7" sqref="B7"/>
    </sheetView>
  </sheetViews>
  <sheetFormatPr defaultColWidth="12" defaultRowHeight="12.75" x14ac:dyDescent="0.2"/>
  <cols>
    <col min="1" max="1" width="4.83203125" style="604" customWidth="1"/>
    <col min="2" max="2" width="96.1640625" style="604" customWidth="1"/>
    <col min="3" max="3" width="17.33203125" customWidth="1"/>
    <col min="4" max="4" width="13.83203125" style="604" customWidth="1"/>
    <col min="5" max="5" width="59.6640625" style="604" customWidth="1"/>
    <col min="6" max="6" width="10.1640625" style="604" customWidth="1"/>
    <col min="7" max="7" width="28.5" style="604" customWidth="1"/>
  </cols>
  <sheetData>
    <row r="1" spans="1:7" ht="13.5" thickBot="1" x14ac:dyDescent="0.25"/>
    <row r="2" spans="1:7" ht="15" x14ac:dyDescent="0.2">
      <c r="B2" s="681" t="s">
        <v>1495</v>
      </c>
      <c r="D2" s="737" t="s">
        <v>1426</v>
      </c>
      <c r="E2" s="736"/>
      <c r="F2" s="736"/>
      <c r="G2" s="738"/>
    </row>
    <row r="3" spans="1:7" x14ac:dyDescent="0.2">
      <c r="A3" s="605"/>
      <c r="D3" s="655"/>
      <c r="E3" s="614"/>
      <c r="F3" s="654"/>
      <c r="G3" s="656"/>
    </row>
    <row r="4" spans="1:7" x14ac:dyDescent="0.2">
      <c r="B4" s="604" t="s">
        <v>1496</v>
      </c>
      <c r="D4" s="739" t="s">
        <v>1444</v>
      </c>
      <c r="E4" s="740"/>
      <c r="F4" s="740"/>
      <c r="G4" s="741"/>
    </row>
    <row r="5" spans="1:7" x14ac:dyDescent="0.2">
      <c r="B5" s="604" t="s">
        <v>1497</v>
      </c>
      <c r="C5" s="1"/>
      <c r="D5" s="742"/>
      <c r="E5" s="740"/>
      <c r="F5" s="740"/>
      <c r="G5" s="741"/>
    </row>
    <row r="6" spans="1:7" x14ac:dyDescent="0.2">
      <c r="C6" s="1"/>
      <c r="D6" s="655"/>
      <c r="E6" s="614"/>
      <c r="F6" s="614"/>
      <c r="G6" s="656"/>
    </row>
    <row r="7" spans="1:7" x14ac:dyDescent="0.2">
      <c r="C7" s="1"/>
      <c r="D7" s="655"/>
      <c r="E7" s="614"/>
      <c r="F7" s="614"/>
      <c r="G7" s="656"/>
    </row>
    <row r="8" spans="1:7" x14ac:dyDescent="0.2">
      <c r="C8" s="1"/>
      <c r="D8" s="657"/>
      <c r="E8" s="614" t="s">
        <v>1445</v>
      </c>
      <c r="F8" s="614"/>
      <c r="G8" s="656"/>
    </row>
    <row r="9" spans="1:7" x14ac:dyDescent="0.2">
      <c r="C9" s="1"/>
      <c r="D9" s="655" t="s">
        <v>1446</v>
      </c>
      <c r="E9" s="614"/>
      <c r="F9" s="614"/>
      <c r="G9" s="656"/>
    </row>
    <row r="10" spans="1:7" x14ac:dyDescent="0.2">
      <c r="A10" s="606" t="s">
        <v>1308</v>
      </c>
      <c r="B10" s="607" t="s">
        <v>1427</v>
      </c>
      <c r="C10" s="1"/>
      <c r="D10" s="655" t="s">
        <v>1490</v>
      </c>
      <c r="E10" s="614"/>
      <c r="F10" s="614"/>
      <c r="G10" s="656"/>
    </row>
    <row r="11" spans="1:7" x14ac:dyDescent="0.2">
      <c r="B11" s="607" t="s">
        <v>1428</v>
      </c>
      <c r="D11" s="655"/>
      <c r="E11" s="614"/>
      <c r="F11" s="614"/>
      <c r="G11" s="658"/>
    </row>
    <row r="12" spans="1:7" x14ac:dyDescent="0.2">
      <c r="B12" s="607" t="s">
        <v>1429</v>
      </c>
      <c r="D12" s="657"/>
      <c r="E12" s="614" t="s">
        <v>1447</v>
      </c>
      <c r="F12" s="614"/>
      <c r="G12" s="658"/>
    </row>
    <row r="13" spans="1:7" x14ac:dyDescent="0.2">
      <c r="B13" s="607" t="s">
        <v>1430</v>
      </c>
      <c r="C13" s="1"/>
      <c r="D13" s="655" t="s">
        <v>1448</v>
      </c>
      <c r="E13" s="614"/>
      <c r="F13" s="614"/>
      <c r="G13" s="659"/>
    </row>
    <row r="14" spans="1:7" x14ac:dyDescent="0.2">
      <c r="B14" s="607" t="s">
        <v>1431</v>
      </c>
      <c r="C14" s="1"/>
      <c r="D14" s="660" t="s">
        <v>1449</v>
      </c>
      <c r="E14" s="614"/>
      <c r="F14" s="651"/>
      <c r="G14" s="661"/>
    </row>
    <row r="15" spans="1:7" x14ac:dyDescent="0.2">
      <c r="B15" s="607" t="s">
        <v>1432</v>
      </c>
      <c r="C15" s="1"/>
      <c r="D15" s="660" t="s">
        <v>1491</v>
      </c>
      <c r="E15" s="650"/>
      <c r="F15" s="652"/>
      <c r="G15" s="661"/>
    </row>
    <row r="16" spans="1:7" x14ac:dyDescent="0.2">
      <c r="B16" s="604" t="s">
        <v>1433</v>
      </c>
      <c r="C16" s="1"/>
      <c r="D16" s="655"/>
      <c r="E16" s="650"/>
      <c r="F16" s="652"/>
      <c r="G16" s="661"/>
    </row>
    <row r="17" spans="1:7" x14ac:dyDescent="0.2">
      <c r="B17" s="604" t="s">
        <v>1434</v>
      </c>
      <c r="D17" s="657"/>
      <c r="E17" s="614" t="s">
        <v>1450</v>
      </c>
      <c r="F17" s="653"/>
      <c r="G17" s="661"/>
    </row>
    <row r="18" spans="1:7" x14ac:dyDescent="0.2">
      <c r="B18" s="607" t="s">
        <v>1435</v>
      </c>
      <c r="D18" s="657" t="s">
        <v>1451</v>
      </c>
      <c r="E18" s="614"/>
      <c r="F18" s="614"/>
      <c r="G18" s="661"/>
    </row>
    <row r="19" spans="1:7" hidden="1" x14ac:dyDescent="0.2">
      <c r="B19" s="607"/>
      <c r="C19" s="1"/>
      <c r="D19" s="655"/>
      <c r="E19" s="650"/>
      <c r="F19" s="652"/>
      <c r="G19" s="661"/>
    </row>
    <row r="20" spans="1:7" x14ac:dyDescent="0.2">
      <c r="A20" s="606" t="s">
        <v>1309</v>
      </c>
      <c r="B20" s="604" t="s">
        <v>1436</v>
      </c>
      <c r="C20" s="1"/>
      <c r="D20" s="655" t="s">
        <v>1452</v>
      </c>
      <c r="E20" s="650"/>
      <c r="F20" s="651"/>
      <c r="G20" s="661"/>
    </row>
    <row r="21" spans="1:7" x14ac:dyDescent="0.2">
      <c r="B21" s="604" t="s">
        <v>1437</v>
      </c>
      <c r="C21" s="1"/>
      <c r="D21" s="655" t="s">
        <v>1453</v>
      </c>
      <c r="E21" s="650"/>
      <c r="F21" s="651"/>
      <c r="G21" s="661"/>
    </row>
    <row r="22" spans="1:7" s="283" customFormat="1" x14ac:dyDescent="0.2">
      <c r="A22" s="604"/>
      <c r="B22" s="604" t="s">
        <v>1438</v>
      </c>
      <c r="C22" s="382"/>
      <c r="D22" s="662"/>
      <c r="E22" s="650"/>
      <c r="F22" s="651"/>
      <c r="G22" s="661"/>
    </row>
    <row r="23" spans="1:7" x14ac:dyDescent="0.2">
      <c r="B23" s="604" t="s">
        <v>1439</v>
      </c>
      <c r="D23" s="655"/>
      <c r="E23" s="650" t="s">
        <v>1454</v>
      </c>
      <c r="F23" s="651"/>
      <c r="G23" s="661"/>
    </row>
    <row r="24" spans="1:7" x14ac:dyDescent="0.2">
      <c r="D24" s="655"/>
      <c r="E24" s="650"/>
      <c r="F24" s="651"/>
      <c r="G24" s="661"/>
    </row>
    <row r="25" spans="1:7" x14ac:dyDescent="0.2">
      <c r="B25" s="604" t="s">
        <v>1440</v>
      </c>
      <c r="D25" s="655"/>
      <c r="E25" s="650" t="s">
        <v>1455</v>
      </c>
      <c r="F25" s="651"/>
      <c r="G25" s="661"/>
    </row>
    <row r="26" spans="1:7" x14ac:dyDescent="0.2">
      <c r="D26" s="657" t="s">
        <v>1456</v>
      </c>
      <c r="E26" s="614"/>
      <c r="F26" s="651"/>
      <c r="G26" s="661"/>
    </row>
    <row r="27" spans="1:7" x14ac:dyDescent="0.2">
      <c r="A27" s="608"/>
      <c r="D27" s="657" t="s">
        <v>1492</v>
      </c>
      <c r="E27" s="614"/>
      <c r="F27" s="652"/>
      <c r="G27" s="661"/>
    </row>
    <row r="28" spans="1:7" x14ac:dyDescent="0.2">
      <c r="B28" s="607" t="s">
        <v>1441</v>
      </c>
      <c r="C28" s="122"/>
      <c r="D28" s="657"/>
      <c r="E28" s="614"/>
      <c r="F28" s="652"/>
      <c r="G28" s="661"/>
    </row>
    <row r="29" spans="1:7" x14ac:dyDescent="0.2">
      <c r="B29" s="607" t="s">
        <v>1442</v>
      </c>
      <c r="C29" s="1"/>
      <c r="D29" s="657"/>
      <c r="E29" s="614"/>
      <c r="F29" s="614"/>
      <c r="G29" s="663"/>
    </row>
    <row r="30" spans="1:7" x14ac:dyDescent="0.2">
      <c r="B30" s="607" t="s">
        <v>1443</v>
      </c>
      <c r="D30" s="655"/>
      <c r="E30" s="650" t="s">
        <v>1493</v>
      </c>
      <c r="F30" s="651"/>
      <c r="G30" s="661"/>
    </row>
    <row r="31" spans="1:7" x14ac:dyDescent="0.2">
      <c r="D31" s="655" t="s">
        <v>1457</v>
      </c>
      <c r="E31" s="650"/>
      <c r="F31" s="651"/>
      <c r="G31" s="661"/>
    </row>
    <row r="32" spans="1:7" x14ac:dyDescent="0.2">
      <c r="D32" s="655"/>
      <c r="E32" s="650"/>
      <c r="F32" s="651"/>
      <c r="G32" s="661"/>
    </row>
    <row r="33" spans="3:7" x14ac:dyDescent="0.2">
      <c r="C33" s="122"/>
      <c r="D33" s="657"/>
      <c r="E33" s="614" t="s">
        <v>1458</v>
      </c>
      <c r="F33" s="614"/>
      <c r="G33" s="661"/>
    </row>
    <row r="34" spans="3:7" x14ac:dyDescent="0.2">
      <c r="C34" s="1"/>
      <c r="D34" s="655"/>
      <c r="E34" s="650"/>
      <c r="F34" s="651"/>
      <c r="G34" s="664"/>
    </row>
    <row r="35" spans="3:7" x14ac:dyDescent="0.2">
      <c r="D35" s="655" t="s">
        <v>1459</v>
      </c>
      <c r="E35" s="650"/>
      <c r="F35" s="651"/>
      <c r="G35" s="664"/>
    </row>
    <row r="36" spans="3:7" x14ac:dyDescent="0.2">
      <c r="D36" s="657"/>
      <c r="E36" s="614"/>
      <c r="F36" s="614"/>
      <c r="G36" s="663"/>
    </row>
    <row r="37" spans="3:7" x14ac:dyDescent="0.2">
      <c r="D37" s="655"/>
      <c r="E37" s="650"/>
      <c r="F37" s="651"/>
      <c r="G37" s="661"/>
    </row>
    <row r="38" spans="3:7" x14ac:dyDescent="0.2">
      <c r="D38" s="665"/>
      <c r="E38" s="613"/>
      <c r="F38" s="613"/>
      <c r="G38" s="666"/>
    </row>
    <row r="39" spans="3:7" x14ac:dyDescent="0.2">
      <c r="D39" s="655"/>
      <c r="E39" s="614"/>
      <c r="F39" s="614"/>
      <c r="G39" s="656"/>
    </row>
    <row r="40" spans="3:7" x14ac:dyDescent="0.2">
      <c r="D40" s="657" t="s">
        <v>396</v>
      </c>
      <c r="E40" s="614"/>
      <c r="F40" s="614"/>
      <c r="G40" s="656"/>
    </row>
    <row r="41" spans="3:7" x14ac:dyDescent="0.2">
      <c r="D41" s="655"/>
      <c r="E41" s="614"/>
      <c r="F41" s="614"/>
      <c r="G41" s="656"/>
    </row>
    <row r="42" spans="3:7" x14ac:dyDescent="0.2">
      <c r="D42" s="655"/>
      <c r="E42" s="614"/>
      <c r="F42" s="614"/>
      <c r="G42" s="656"/>
    </row>
    <row r="43" spans="3:7" x14ac:dyDescent="0.2">
      <c r="D43" s="655"/>
      <c r="E43" s="614"/>
      <c r="F43" s="614"/>
      <c r="G43" s="656"/>
    </row>
    <row r="44" spans="3:7" x14ac:dyDescent="0.2">
      <c r="D44" s="665"/>
      <c r="E44" s="614"/>
      <c r="F44" s="614"/>
      <c r="G44" s="656"/>
    </row>
    <row r="45" spans="3:7" x14ac:dyDescent="0.2">
      <c r="D45" s="655"/>
      <c r="E45" s="615"/>
      <c r="F45" s="614"/>
      <c r="G45" s="656"/>
    </row>
    <row r="46" spans="3:7" x14ac:dyDescent="0.2">
      <c r="D46" s="657" t="s">
        <v>1460</v>
      </c>
      <c r="E46" s="614"/>
      <c r="F46" s="614"/>
      <c r="G46" s="659"/>
    </row>
    <row r="47" spans="3:7" x14ac:dyDescent="0.2">
      <c r="D47" s="655"/>
      <c r="E47" s="614"/>
      <c r="F47" s="614"/>
      <c r="G47" s="659"/>
    </row>
    <row r="48" spans="3:7" ht="13.5" thickBot="1" x14ac:dyDescent="0.25">
      <c r="D48" s="667"/>
      <c r="E48" s="668"/>
      <c r="F48" s="668"/>
      <c r="G48" s="669"/>
    </row>
  </sheetData>
  <sheetProtection formatCells="0" formatColumns="0" formatRows="0"/>
  <mergeCells count="2">
    <mergeCell ref="D2:G2"/>
    <mergeCell ref="D4:G5"/>
  </mergeCells>
  <pageMargins left="1" right="0.5" top="0.75" bottom="0.75" header="0.5" footer="0.5"/>
  <pageSetup scale="95" firstPageNumber="51" fitToWidth="2" orientation="portrait" horizontalDpi="300" verticalDpi="300" r:id="rId1"/>
  <headerFooter alignWithMargins="0">
    <oddFooter>&amp;LCDE, Public School Finance Unit&amp;C&amp;P&amp;R&amp;D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zoomScaleNormal="100" workbookViewId="0">
      <selection activeCell="D2" sqref="D2"/>
    </sheetView>
  </sheetViews>
  <sheetFormatPr defaultColWidth="12" defaultRowHeight="12.75" x14ac:dyDescent="0.2"/>
  <cols>
    <col min="1" max="1" width="4.83203125" style="604" customWidth="1"/>
    <col min="2" max="2" width="96.33203125" style="604" customWidth="1"/>
    <col min="3" max="3" width="18" customWidth="1"/>
    <col min="4" max="4" width="9.6640625" style="604" customWidth="1"/>
    <col min="5" max="5" width="60.83203125" style="604" customWidth="1"/>
    <col min="6" max="6" width="7.5" style="604" customWidth="1"/>
    <col min="7" max="7" width="28.83203125" style="604" customWidth="1"/>
  </cols>
  <sheetData>
    <row r="1" spans="1:7" ht="13.5" thickBot="1" x14ac:dyDescent="0.25"/>
    <row r="2" spans="1:7" x14ac:dyDescent="0.2">
      <c r="A2" s="605"/>
      <c r="B2" s="681" t="s">
        <v>1498</v>
      </c>
      <c r="D2" s="676"/>
      <c r="E2" s="670"/>
      <c r="F2" s="670"/>
      <c r="G2" s="671"/>
    </row>
    <row r="3" spans="1:7" x14ac:dyDescent="0.2">
      <c r="D3" s="655" t="s">
        <v>1476</v>
      </c>
      <c r="E3" s="614"/>
      <c r="F3" s="614"/>
      <c r="G3" s="656"/>
    </row>
    <row r="4" spans="1:7" x14ac:dyDescent="0.2">
      <c r="B4" s="604" t="s">
        <v>1496</v>
      </c>
      <c r="C4" s="1"/>
      <c r="D4" s="655"/>
      <c r="E4" s="614"/>
      <c r="F4" s="614"/>
      <c r="G4" s="656"/>
    </row>
    <row r="5" spans="1:7" x14ac:dyDescent="0.2">
      <c r="B5" s="604" t="s">
        <v>1497</v>
      </c>
      <c r="C5" s="1"/>
      <c r="D5" s="739" t="s">
        <v>1477</v>
      </c>
      <c r="E5" s="740"/>
      <c r="F5" s="740"/>
      <c r="G5" s="741"/>
    </row>
    <row r="6" spans="1:7" x14ac:dyDescent="0.2">
      <c r="C6" s="1"/>
      <c r="D6" s="742"/>
      <c r="E6" s="740"/>
      <c r="F6" s="740"/>
      <c r="G6" s="741"/>
    </row>
    <row r="7" spans="1:7" x14ac:dyDescent="0.2">
      <c r="C7" s="1"/>
      <c r="D7" s="655"/>
      <c r="E7" s="614"/>
      <c r="F7" s="614"/>
      <c r="G7" s="656"/>
    </row>
    <row r="8" spans="1:7" x14ac:dyDescent="0.2">
      <c r="C8" s="1"/>
      <c r="D8" s="655" t="s">
        <v>1478</v>
      </c>
      <c r="E8" s="614"/>
      <c r="F8" s="614"/>
      <c r="G8" s="656"/>
    </row>
    <row r="9" spans="1:7" x14ac:dyDescent="0.2">
      <c r="A9" s="606" t="s">
        <v>1308</v>
      </c>
      <c r="B9" s="607" t="s">
        <v>1461</v>
      </c>
      <c r="C9" s="1"/>
      <c r="D9" s="655"/>
      <c r="E9" s="614"/>
      <c r="F9" s="614"/>
      <c r="G9" s="672" t="s">
        <v>1480</v>
      </c>
    </row>
    <row r="10" spans="1:7" x14ac:dyDescent="0.2">
      <c r="B10" s="607" t="s">
        <v>1462</v>
      </c>
      <c r="D10" s="655" t="s">
        <v>1479</v>
      </c>
      <c r="E10" s="614"/>
      <c r="F10" s="614"/>
      <c r="G10" s="656"/>
    </row>
    <row r="11" spans="1:7" x14ac:dyDescent="0.2">
      <c r="B11" s="607" t="s">
        <v>1463</v>
      </c>
      <c r="D11" s="655"/>
      <c r="E11" s="614" t="s">
        <v>1481</v>
      </c>
      <c r="F11" s="614"/>
      <c r="G11" s="656"/>
    </row>
    <row r="12" spans="1:7" x14ac:dyDescent="0.2">
      <c r="B12" s="607" t="s">
        <v>1464</v>
      </c>
      <c r="C12" s="1"/>
      <c r="D12" s="655"/>
      <c r="E12" s="614" t="s">
        <v>1482</v>
      </c>
      <c r="F12" s="614"/>
      <c r="G12" s="656"/>
    </row>
    <row r="13" spans="1:7" x14ac:dyDescent="0.2">
      <c r="B13" s="607" t="s">
        <v>1465</v>
      </c>
      <c r="C13" s="1"/>
      <c r="D13" s="655"/>
      <c r="E13" s="614" t="s">
        <v>1483</v>
      </c>
      <c r="F13" s="614"/>
      <c r="G13" s="666"/>
    </row>
    <row r="14" spans="1:7" x14ac:dyDescent="0.2">
      <c r="B14" s="607"/>
      <c r="C14" s="1"/>
      <c r="D14" s="655"/>
      <c r="E14" s="614"/>
      <c r="F14" s="614"/>
      <c r="G14" s="656"/>
    </row>
    <row r="15" spans="1:7" ht="13.5" thickBot="1" x14ac:dyDescent="0.25">
      <c r="A15" s="606">
        <v>-2</v>
      </c>
      <c r="B15" s="604" t="s">
        <v>1467</v>
      </c>
      <c r="C15" s="1"/>
      <c r="D15" s="655" t="s">
        <v>1484</v>
      </c>
      <c r="E15" s="614"/>
      <c r="F15" s="614"/>
      <c r="G15" s="680"/>
    </row>
    <row r="16" spans="1:7" ht="13.5" thickTop="1" x14ac:dyDescent="0.2">
      <c r="B16" s="604" t="s">
        <v>1468</v>
      </c>
      <c r="D16" s="655"/>
      <c r="E16" s="614"/>
      <c r="F16" s="614"/>
      <c r="G16" s="656"/>
    </row>
    <row r="17" spans="1:7" x14ac:dyDescent="0.2">
      <c r="D17" s="655"/>
      <c r="E17" s="614"/>
      <c r="F17" s="614"/>
      <c r="G17" s="656"/>
    </row>
    <row r="18" spans="1:7" x14ac:dyDescent="0.2">
      <c r="A18" s="606">
        <v>-3</v>
      </c>
      <c r="B18" s="607" t="s">
        <v>1469</v>
      </c>
      <c r="C18" s="1"/>
      <c r="D18" s="655" t="s">
        <v>1485</v>
      </c>
      <c r="E18" s="614"/>
      <c r="F18" s="614"/>
      <c r="G18" s="656"/>
    </row>
    <row r="19" spans="1:7" x14ac:dyDescent="0.2">
      <c r="A19" s="606"/>
      <c r="B19" s="604" t="s">
        <v>1470</v>
      </c>
      <c r="C19" s="1"/>
      <c r="D19" s="655"/>
      <c r="E19" s="614"/>
      <c r="F19" s="614"/>
      <c r="G19" s="656"/>
    </row>
    <row r="20" spans="1:7" x14ac:dyDescent="0.2">
      <c r="B20" s="604" t="s">
        <v>1471</v>
      </c>
      <c r="C20" s="1"/>
      <c r="D20" s="655" t="s">
        <v>1486</v>
      </c>
      <c r="E20" s="614"/>
      <c r="F20" s="614"/>
      <c r="G20" s="656"/>
    </row>
    <row r="21" spans="1:7" s="283" customFormat="1" x14ac:dyDescent="0.2">
      <c r="A21" s="604"/>
      <c r="B21" s="604"/>
      <c r="C21" s="382"/>
      <c r="D21" s="677"/>
      <c r="E21" s="284" t="s">
        <v>337</v>
      </c>
      <c r="F21" s="284"/>
      <c r="G21" s="673"/>
    </row>
    <row r="22" spans="1:7" x14ac:dyDescent="0.2">
      <c r="A22" s="606">
        <v>-4</v>
      </c>
      <c r="B22" s="604" t="s">
        <v>1472</v>
      </c>
      <c r="D22" s="655"/>
      <c r="E22" s="614" t="s">
        <v>1487</v>
      </c>
      <c r="F22" s="614"/>
      <c r="G22" s="656"/>
    </row>
    <row r="23" spans="1:7" x14ac:dyDescent="0.2">
      <c r="B23" s="604" t="s">
        <v>1473</v>
      </c>
      <c r="D23" s="655"/>
      <c r="E23" s="614" t="s">
        <v>1488</v>
      </c>
      <c r="F23" s="614"/>
      <c r="G23" s="656"/>
    </row>
    <row r="24" spans="1:7" x14ac:dyDescent="0.2">
      <c r="B24" s="604" t="s">
        <v>1474</v>
      </c>
      <c r="D24" s="655"/>
      <c r="E24" s="614" t="s">
        <v>1096</v>
      </c>
      <c r="F24" s="614"/>
      <c r="G24" s="666"/>
    </row>
    <row r="25" spans="1:7" x14ac:dyDescent="0.2">
      <c r="B25" s="604" t="s">
        <v>1475</v>
      </c>
      <c r="D25" s="655"/>
      <c r="E25" s="614"/>
      <c r="F25" s="614"/>
      <c r="G25" s="656"/>
    </row>
    <row r="26" spans="1:7" ht="13.5" thickBot="1" x14ac:dyDescent="0.25">
      <c r="A26" s="608"/>
      <c r="D26" s="655" t="s">
        <v>1494</v>
      </c>
      <c r="E26" s="614"/>
      <c r="F26" s="614"/>
      <c r="G26" s="680"/>
    </row>
    <row r="27" spans="1:7" ht="13.5" thickTop="1" x14ac:dyDescent="0.2">
      <c r="C27" s="122"/>
      <c r="D27" s="655"/>
      <c r="E27" s="614"/>
      <c r="F27" s="614"/>
      <c r="G27" s="656"/>
    </row>
    <row r="28" spans="1:7" x14ac:dyDescent="0.2">
      <c r="C28" s="1"/>
      <c r="D28" s="655"/>
      <c r="E28" s="614"/>
      <c r="F28" s="614"/>
      <c r="G28" s="656"/>
    </row>
    <row r="29" spans="1:7" x14ac:dyDescent="0.2">
      <c r="B29" s="607" t="s">
        <v>1441</v>
      </c>
      <c r="D29" s="743" t="s">
        <v>1426</v>
      </c>
      <c r="E29" s="740"/>
      <c r="F29" s="740"/>
      <c r="G29" s="741"/>
    </row>
    <row r="30" spans="1:7" x14ac:dyDescent="0.2">
      <c r="B30" s="607" t="s">
        <v>1466</v>
      </c>
      <c r="D30" s="655"/>
      <c r="E30" s="614"/>
      <c r="F30" s="654"/>
      <c r="G30" s="656"/>
    </row>
    <row r="31" spans="1:7" ht="27.75" customHeight="1" x14ac:dyDescent="0.2">
      <c r="D31" s="739" t="s">
        <v>1499</v>
      </c>
      <c r="E31" s="740"/>
      <c r="F31" s="740"/>
      <c r="G31" s="741"/>
    </row>
    <row r="32" spans="1:7" x14ac:dyDescent="0.2">
      <c r="C32" s="122"/>
      <c r="D32" s="678"/>
      <c r="E32" s="674"/>
      <c r="F32" s="674"/>
      <c r="G32" s="675"/>
    </row>
    <row r="33" spans="4:7" x14ac:dyDescent="0.2">
      <c r="D33" s="657"/>
      <c r="E33" s="614"/>
      <c r="F33" s="614"/>
      <c r="G33" s="663"/>
    </row>
    <row r="34" spans="4:7" x14ac:dyDescent="0.2">
      <c r="D34" s="655"/>
      <c r="E34" s="650" t="s">
        <v>1500</v>
      </c>
      <c r="F34" s="651"/>
      <c r="G34" s="661"/>
    </row>
    <row r="35" spans="4:7" x14ac:dyDescent="0.2">
      <c r="D35" s="655" t="s">
        <v>1489</v>
      </c>
      <c r="E35" s="650"/>
      <c r="F35" s="651"/>
      <c r="G35" s="661"/>
    </row>
    <row r="36" spans="4:7" x14ac:dyDescent="0.2">
      <c r="D36" s="655" t="s">
        <v>1597</v>
      </c>
      <c r="E36" s="650"/>
      <c r="F36" s="651"/>
      <c r="G36" s="661"/>
    </row>
    <row r="37" spans="4:7" x14ac:dyDescent="0.2">
      <c r="D37" s="655"/>
      <c r="E37" s="650"/>
      <c r="F37" s="651"/>
      <c r="G37" s="661"/>
    </row>
    <row r="38" spans="4:7" x14ac:dyDescent="0.2">
      <c r="D38" s="657"/>
      <c r="E38" s="614" t="s">
        <v>1458</v>
      </c>
      <c r="F38" s="614"/>
      <c r="G38" s="661"/>
    </row>
    <row r="39" spans="4:7" x14ac:dyDescent="0.2">
      <c r="D39" s="655"/>
      <c r="E39" s="650"/>
      <c r="F39" s="651"/>
      <c r="G39" s="664"/>
    </row>
    <row r="40" spans="4:7" x14ac:dyDescent="0.2">
      <c r="D40" s="655" t="s">
        <v>1459</v>
      </c>
      <c r="E40" s="650"/>
      <c r="F40" s="651"/>
      <c r="G40" s="664"/>
    </row>
    <row r="41" spans="4:7" x14ac:dyDescent="0.2">
      <c r="D41" s="657"/>
      <c r="E41" s="614"/>
      <c r="F41" s="614"/>
      <c r="G41" s="663"/>
    </row>
    <row r="42" spans="4:7" x14ac:dyDescent="0.2">
      <c r="D42" s="655"/>
      <c r="E42" s="650"/>
      <c r="F42" s="651"/>
      <c r="G42" s="661"/>
    </row>
    <row r="43" spans="4:7" x14ac:dyDescent="0.2">
      <c r="D43" s="665"/>
      <c r="E43" s="613"/>
      <c r="F43" s="614"/>
      <c r="G43" s="656"/>
    </row>
    <row r="44" spans="4:7" x14ac:dyDescent="0.2">
      <c r="D44" s="655"/>
      <c r="E44" s="614"/>
      <c r="F44" s="614"/>
      <c r="G44" s="656"/>
    </row>
    <row r="45" spans="4:7" x14ac:dyDescent="0.2">
      <c r="D45" s="657" t="s">
        <v>396</v>
      </c>
      <c r="E45" s="614"/>
      <c r="F45" s="614"/>
      <c r="G45" s="656"/>
    </row>
    <row r="46" spans="4:7" x14ac:dyDescent="0.2">
      <c r="D46" s="655"/>
      <c r="E46" s="614"/>
      <c r="F46" s="614"/>
      <c r="G46" s="656"/>
    </row>
    <row r="47" spans="4:7" x14ac:dyDescent="0.2">
      <c r="D47" s="655"/>
      <c r="E47" s="614"/>
      <c r="F47" s="614"/>
      <c r="G47" s="656"/>
    </row>
    <row r="48" spans="4:7" x14ac:dyDescent="0.2">
      <c r="D48" s="655"/>
      <c r="E48" s="614"/>
      <c r="F48" s="614"/>
      <c r="G48" s="656"/>
    </row>
    <row r="49" spans="4:7" customFormat="1" x14ac:dyDescent="0.2">
      <c r="D49" s="665"/>
      <c r="E49" s="614"/>
      <c r="F49" s="614"/>
      <c r="G49" s="656"/>
    </row>
    <row r="50" spans="4:7" customFormat="1" x14ac:dyDescent="0.2">
      <c r="D50" s="655"/>
      <c r="E50" s="615"/>
      <c r="F50" s="614"/>
      <c r="G50" s="656"/>
    </row>
    <row r="51" spans="4:7" customFormat="1" x14ac:dyDescent="0.2">
      <c r="D51" s="657" t="s">
        <v>1460</v>
      </c>
      <c r="E51" s="614"/>
      <c r="F51" s="614"/>
      <c r="G51" s="659"/>
    </row>
    <row r="52" spans="4:7" customFormat="1" ht="13.5" thickBot="1" x14ac:dyDescent="0.25">
      <c r="D52" s="667"/>
      <c r="E52" s="668"/>
      <c r="F52" s="668"/>
      <c r="G52" s="679"/>
    </row>
  </sheetData>
  <sheetProtection formatCells="0" formatColumns="0" formatRows="0"/>
  <mergeCells count="3">
    <mergeCell ref="D5:G6"/>
    <mergeCell ref="D31:G31"/>
    <mergeCell ref="D29:G29"/>
  </mergeCells>
  <printOptions horizontalCentered="1"/>
  <pageMargins left="1" right="0.5" top="0.75" bottom="0.75" header="0.5" footer="0.5"/>
  <pageSetup scale="96" firstPageNumber="51" fitToWidth="2" orientation="portrait" horizontalDpi="300" verticalDpi="300" r:id="rId1"/>
  <headerFooter alignWithMargins="0">
    <oddFooter>&amp;LCDE, Public School Finance Unit&amp;C&amp;P&amp;R&amp;D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 enableFormatConditionsCalculation="0">
    <tabColor indexed="14"/>
    <pageSetUpPr fitToPage="1"/>
  </sheetPr>
  <dimension ref="A1:E79"/>
  <sheetViews>
    <sheetView workbookViewId="0">
      <selection activeCell="J62" sqref="J62"/>
    </sheetView>
  </sheetViews>
  <sheetFormatPr defaultColWidth="12" defaultRowHeight="10.5" x14ac:dyDescent="0.15"/>
  <cols>
    <col min="1" max="1" width="79.33203125" customWidth="1"/>
    <col min="2" max="2" width="19" hidden="1" customWidth="1"/>
    <col min="3" max="3" width="22.83203125" customWidth="1"/>
    <col min="4" max="4" width="58.33203125" customWidth="1"/>
    <col min="5" max="5" width="22.83203125" customWidth="1"/>
    <col min="6" max="6" width="12" customWidth="1"/>
    <col min="7" max="7" width="22.6640625" customWidth="1"/>
  </cols>
  <sheetData>
    <row r="1" spans="1:4" x14ac:dyDescent="0.15">
      <c r="A1" s="34" t="s">
        <v>404</v>
      </c>
    </row>
    <row r="3" spans="1:4" ht="12.75" x14ac:dyDescent="0.2">
      <c r="A3" s="115" t="s">
        <v>460</v>
      </c>
    </row>
    <row r="4" spans="1:4" ht="12.75" x14ac:dyDescent="0.2">
      <c r="A4" s="116" t="s">
        <v>368</v>
      </c>
    </row>
    <row r="5" spans="1:4" x14ac:dyDescent="0.15">
      <c r="A5" s="15"/>
    </row>
    <row r="6" spans="1:4" x14ac:dyDescent="0.15">
      <c r="A6" s="1" t="s">
        <v>1310</v>
      </c>
      <c r="C6" s="547" t="str">
        <f>IF(GenFundExp2!I682=0,"ALL IS OK","ERROR YOU MUST FIX")</f>
        <v>ALL IS OK</v>
      </c>
      <c r="D6" t="s">
        <v>485</v>
      </c>
    </row>
    <row r="7" spans="1:4" x14ac:dyDescent="0.15">
      <c r="A7" s="1" t="s">
        <v>937</v>
      </c>
      <c r="C7" s="547" t="str">
        <f>IF(CharterFundExp2!I681=0,"ALL IS OK","ERROR YOU MUST FIX")</f>
        <v>ALL IS OK</v>
      </c>
    </row>
    <row r="8" spans="1:4" x14ac:dyDescent="0.15">
      <c r="A8" s="1" t="s">
        <v>527</v>
      </c>
      <c r="C8" s="139" t="str">
        <f>IF(InsResv!I54=0,"ALL IS OK","ERROR YOU MUST FIX")</f>
        <v>ALL IS OK</v>
      </c>
    </row>
    <row r="9" spans="1:4" x14ac:dyDescent="0.15">
      <c r="A9" s="1" t="s">
        <v>793</v>
      </c>
      <c r="C9" s="139" t="str">
        <f>IF('CPP Fund'!I134=0,"ALL IS OK", "ERROR YOU MUST FIX")</f>
        <v>ALL IS OK</v>
      </c>
    </row>
    <row r="10" spans="1:4" hidden="1" x14ac:dyDescent="0.15">
      <c r="A10" s="1" t="s">
        <v>940</v>
      </c>
      <c r="C10" s="139" t="str">
        <f>IF(ARRAGrants!J186=0,"ALL IS OK","ERROR YOU MUST FIX")</f>
        <v>ALL IS OK</v>
      </c>
    </row>
    <row r="11" spans="1:4" x14ac:dyDescent="0.15">
      <c r="A11" s="1" t="s">
        <v>1511</v>
      </c>
      <c r="C11" s="139" t="str">
        <f>IF(FoodServiceSRF!I87=0,"ALL IS OK","ERROR YOU MUST FIX")</f>
        <v>ALL IS OK</v>
      </c>
    </row>
    <row r="12" spans="1:4" x14ac:dyDescent="0.15">
      <c r="A12" s="1" t="s">
        <v>432</v>
      </c>
      <c r="C12" s="139" t="str">
        <f>IF(GovGrants!J186=0,"ALL IS OK","ERROR YOU MUST FIX")</f>
        <v>ALL IS OK</v>
      </c>
    </row>
    <row r="13" spans="1:4" s="283" customFormat="1" x14ac:dyDescent="0.15">
      <c r="A13" s="1" t="s">
        <v>405</v>
      </c>
      <c r="B13"/>
      <c r="C13" s="139" t="str">
        <f>IF(PupActiv!I70=0,"ALL IS OK","ERROR YOU MUST FIX")</f>
        <v>ALL IS OK</v>
      </c>
    </row>
    <row r="14" spans="1:4" x14ac:dyDescent="0.15">
      <c r="A14" s="1" t="s">
        <v>1273</v>
      </c>
      <c r="C14" s="139" t="str">
        <f>IF(FullDayKOverride!I52=0,"ALL IS OK","ERROR YOU MUST FIX")</f>
        <v>ALL IS OK</v>
      </c>
    </row>
    <row r="15" spans="1:4" x14ac:dyDescent="0.15">
      <c r="A15" s="1" t="s">
        <v>406</v>
      </c>
      <c r="C15" s="139" t="str">
        <f>IF(Transp!I53=0,"ALL IS OK","ERROR YOU MUST FIX")</f>
        <v>ALL IS OK</v>
      </c>
    </row>
    <row r="16" spans="1:4" x14ac:dyDescent="0.15">
      <c r="A16" s="1" t="s">
        <v>407</v>
      </c>
      <c r="C16" s="139" t="str">
        <f>IF(OthSpecRev!I72=0,"ALL IS OK","ERROR YOU MUST FIX")</f>
        <v>ALL IS OK</v>
      </c>
    </row>
    <row r="17" spans="1:3" x14ac:dyDescent="0.15">
      <c r="A17" s="1" t="s">
        <v>408</v>
      </c>
      <c r="C17" s="139" t="str">
        <f>IF(BondRedm!I51=0,"ALL IS OK","ERROR YOU MUST FIX")</f>
        <v>ALL IS OK</v>
      </c>
    </row>
    <row r="18" spans="1:3" x14ac:dyDescent="0.15">
      <c r="A18" s="1" t="s">
        <v>1585</v>
      </c>
      <c r="C18" s="139" t="str">
        <f>IF(COPDebt!I52=0,"ALL IS OK","ERROR YOU MUST FIX")</f>
        <v>ALL IS OK</v>
      </c>
    </row>
    <row r="19" spans="1:3" x14ac:dyDescent="0.15">
      <c r="A19" s="1" t="s">
        <v>409</v>
      </c>
      <c r="C19" s="139" t="str">
        <f>IF(BuildFund!I57=0,"ALL IS OK","ERROR YOU MUST FIX")</f>
        <v>ALL IS OK</v>
      </c>
    </row>
    <row r="20" spans="1:3" x14ac:dyDescent="0.15">
      <c r="A20" s="1" t="s">
        <v>410</v>
      </c>
      <c r="C20" s="139" t="str">
        <f>IF(SpecBuild!I45=0,"ALL IS OK","ERROR YOU MUST FIX")</f>
        <v>ALL IS OK</v>
      </c>
    </row>
    <row r="21" spans="1:3" x14ac:dyDescent="0.15">
      <c r="A21" s="1" t="s">
        <v>414</v>
      </c>
      <c r="C21" s="139" t="str">
        <f>IF(CapResCapPrj!I93=0,"ALL IS OK","ERROR YOU MUST FIX")</f>
        <v>ALL IS OK</v>
      </c>
    </row>
    <row r="22" spans="1:3" x14ac:dyDescent="0.15">
      <c r="A22" s="1" t="s">
        <v>1510</v>
      </c>
      <c r="C22" s="139" t="str">
        <f>IF('DO NOT USE'!I62=0,"ALL IS OK","ERROR YOU MUST FIX")</f>
        <v>ALL IS OK</v>
      </c>
    </row>
    <row r="23" spans="1:3" x14ac:dyDescent="0.15">
      <c r="A23" s="1" t="s">
        <v>362</v>
      </c>
      <c r="C23" s="139" t="str">
        <f>IF(OtherEnterprise!I52=0,"ALL IS OK","ERROR YOU MUST FIX")</f>
        <v>ALL IS OK</v>
      </c>
    </row>
    <row r="24" spans="1:3" x14ac:dyDescent="0.15">
      <c r="A24" s="1" t="s">
        <v>363</v>
      </c>
      <c r="C24" s="139" t="str">
        <f>IF(RiskRelated!I50=0,"ALL IS OK","ERROR YOU MUST FIX")</f>
        <v>ALL IS OK</v>
      </c>
    </row>
    <row r="25" spans="1:3" x14ac:dyDescent="0.15">
      <c r="A25" s="1" t="s">
        <v>364</v>
      </c>
      <c r="C25" s="139" t="str">
        <f>IF(OtherInternal!I54=0,"ALL IS OK","ERROR YOU MUST FIX")</f>
        <v>ALL IS OK</v>
      </c>
    </row>
    <row r="26" spans="1:3" x14ac:dyDescent="0.15">
      <c r="A26" s="1" t="s">
        <v>365</v>
      </c>
      <c r="C26" s="139" t="str">
        <f>IF(PupilActAgency!I64=0,"ALL IS OK","ERROR YOU MUST FIX")</f>
        <v>ALL IS OK</v>
      </c>
    </row>
    <row r="27" spans="1:3" x14ac:dyDescent="0.15">
      <c r="A27" s="1" t="s">
        <v>366</v>
      </c>
      <c r="C27" s="139" t="str">
        <f>IF('Trust&amp;Agency'!I63=0,"ALL IS OK","ERROR YOU MUST FIX")</f>
        <v>ALL IS OK</v>
      </c>
    </row>
    <row r="28" spans="1:3" x14ac:dyDescent="0.15">
      <c r="A28" s="1" t="s">
        <v>402</v>
      </c>
      <c r="C28" s="139" t="str">
        <f>IF('Foundation Fund'!I63=0,"ALL IS OK","ERROR YOU MUST FIX")</f>
        <v>ALL IS OK</v>
      </c>
    </row>
    <row r="29" spans="1:3" x14ac:dyDescent="0.15">
      <c r="A29" s="1" t="s">
        <v>1274</v>
      </c>
      <c r="C29" s="139" t="str">
        <f>IF(Arbitrage!H38=0,"ALL IS OK","ERROR YOU MUST FIX")</f>
        <v>ALL IS OK</v>
      </c>
    </row>
    <row r="30" spans="1:3" x14ac:dyDescent="0.15">
      <c r="A30" s="1"/>
    </row>
    <row r="31" spans="1:3" x14ac:dyDescent="0.15">
      <c r="A31" s="1"/>
    </row>
    <row r="32" spans="1:3" x14ac:dyDescent="0.15">
      <c r="A32" s="1"/>
    </row>
    <row r="33" spans="1:5" x14ac:dyDescent="0.15">
      <c r="A33" s="18" t="s">
        <v>1378</v>
      </c>
    </row>
    <row r="34" spans="1:5" x14ac:dyDescent="0.15">
      <c r="A34" s="21" t="s">
        <v>990</v>
      </c>
      <c r="C34" s="545" t="str">
        <f>IF(GenFundREV!I109=SUM(Arbitrage!G19-CharterFundRev!I104),"ALL IS OK","ERROR--YOU MUST FIX")</f>
        <v>ALL IS OK</v>
      </c>
    </row>
    <row r="35" spans="1:5" x14ac:dyDescent="0.15">
      <c r="A35" s="21" t="s">
        <v>52</v>
      </c>
    </row>
    <row r="36" spans="1:5" x14ac:dyDescent="0.15">
      <c r="A36" s="21"/>
    </row>
    <row r="38" spans="1:5" x14ac:dyDescent="0.15">
      <c r="A38" s="18" t="s">
        <v>1379</v>
      </c>
    </row>
    <row r="39" spans="1:5" x14ac:dyDescent="0.15">
      <c r="C39" s="545" t="str">
        <f>IF(GenFundREV!I110='CPP Fund'!I14,"ALL IS OK","ERROR--YOU MUST FIX")</f>
        <v>ALL IS OK</v>
      </c>
    </row>
    <row r="42" spans="1:5" x14ac:dyDescent="0.15">
      <c r="D42" s="107"/>
    </row>
    <row r="43" spans="1:5" ht="12.75" x14ac:dyDescent="0.2">
      <c r="A43" s="104" t="s">
        <v>1380</v>
      </c>
      <c r="D43" s="1"/>
      <c r="E43" s="122"/>
    </row>
    <row r="44" spans="1:5" x14ac:dyDescent="0.15">
      <c r="A44" s="107"/>
      <c r="D44" s="1"/>
      <c r="E44" s="122"/>
    </row>
    <row r="45" spans="1:5" x14ac:dyDescent="0.15">
      <c r="A45" s="1" t="s">
        <v>1310</v>
      </c>
      <c r="C45" s="108">
        <f>+GenFundREV!I96-GenFundREV!I117</f>
        <v>0</v>
      </c>
      <c r="D45" s="1"/>
      <c r="E45" s="122"/>
    </row>
    <row r="46" spans="1:5" x14ac:dyDescent="0.15">
      <c r="A46" s="1" t="s">
        <v>937</v>
      </c>
      <c r="C46" s="108">
        <f>+CharterFundRev!I93-CharterFundRev!I112</f>
        <v>0</v>
      </c>
      <c r="D46" s="1"/>
      <c r="E46" s="122"/>
    </row>
    <row r="47" spans="1:5" x14ac:dyDescent="0.15">
      <c r="A47" s="1" t="s">
        <v>527</v>
      </c>
      <c r="C47" s="108">
        <f>+InsResv!I12-InsResv!I21</f>
        <v>0</v>
      </c>
      <c r="D47" s="1" t="s">
        <v>1377</v>
      </c>
      <c r="E47" s="122"/>
    </row>
    <row r="48" spans="1:5" x14ac:dyDescent="0.15">
      <c r="A48" s="1" t="s">
        <v>793</v>
      </c>
      <c r="C48" s="108">
        <f>+'CPP Fund'!I13+'CPP Fund'!I22</f>
        <v>0</v>
      </c>
      <c r="D48" s="1"/>
      <c r="E48" s="122"/>
    </row>
    <row r="49" spans="1:5" hidden="1" x14ac:dyDescent="0.15">
      <c r="A49" s="382" t="s">
        <v>943</v>
      </c>
      <c r="B49" s="283"/>
      <c r="C49" s="384">
        <f>+ARRAGrants!J71-ARRAGrants!J91</f>
        <v>0</v>
      </c>
      <c r="D49" s="1"/>
      <c r="E49" s="122"/>
    </row>
    <row r="50" spans="1:5" s="283" customFormat="1" x14ac:dyDescent="0.15">
      <c r="A50" s="1" t="s">
        <v>525</v>
      </c>
      <c r="B50"/>
      <c r="C50" s="384">
        <f>+FoodServiceSRF!I20-FoodServiceSRF!I32</f>
        <v>0</v>
      </c>
      <c r="D50" s="382"/>
      <c r="E50" s="284"/>
    </row>
    <row r="51" spans="1:5" x14ac:dyDescent="0.15">
      <c r="A51" s="1" t="s">
        <v>432</v>
      </c>
      <c r="C51" s="108">
        <f>+GovGrants!J71-GovGrants!J91</f>
        <v>0</v>
      </c>
      <c r="D51" s="1"/>
      <c r="E51" s="122"/>
    </row>
    <row r="52" spans="1:5" x14ac:dyDescent="0.15">
      <c r="A52" s="1" t="s">
        <v>405</v>
      </c>
      <c r="C52" s="108">
        <f>+PupActiv!I14-PupActiv!I22</f>
        <v>0</v>
      </c>
      <c r="D52" s="1"/>
      <c r="E52" s="122"/>
    </row>
    <row r="53" spans="1:5" x14ac:dyDescent="0.15">
      <c r="A53" s="382" t="s">
        <v>1273</v>
      </c>
      <c r="B53" s="283"/>
      <c r="C53" s="384">
        <f>FullDayKOverride!I17</f>
        <v>0</v>
      </c>
      <c r="D53" s="1"/>
      <c r="E53" s="122"/>
    </row>
    <row r="54" spans="1:5" x14ac:dyDescent="0.15">
      <c r="A54" s="1" t="s">
        <v>406</v>
      </c>
      <c r="C54" s="108">
        <f>Transp!I17</f>
        <v>0</v>
      </c>
      <c r="D54" s="1"/>
      <c r="E54" s="122"/>
    </row>
    <row r="55" spans="1:5" x14ac:dyDescent="0.15">
      <c r="A55" s="1" t="s">
        <v>407</v>
      </c>
      <c r="C55" s="108">
        <f>+OthSpecRev!I13-OthSpecRev!I21</f>
        <v>0</v>
      </c>
      <c r="D55" s="1"/>
      <c r="E55" s="122"/>
    </row>
    <row r="56" spans="1:5" x14ac:dyDescent="0.15">
      <c r="A56" s="1" t="s">
        <v>408</v>
      </c>
      <c r="C56" s="108">
        <f>+BondRedm!I19-BondRedm!I27</f>
        <v>0</v>
      </c>
      <c r="D56" s="1"/>
      <c r="E56" s="122"/>
    </row>
    <row r="57" spans="1:5" x14ac:dyDescent="0.15">
      <c r="A57" s="1" t="s">
        <v>1585</v>
      </c>
      <c r="C57" s="108">
        <f>+COPDebt!I20-COPDebt!I28</f>
        <v>0</v>
      </c>
      <c r="D57" s="1"/>
      <c r="E57" s="122"/>
    </row>
    <row r="58" spans="1:5" x14ac:dyDescent="0.15">
      <c r="A58" s="1" t="s">
        <v>409</v>
      </c>
      <c r="C58" s="108">
        <f>+BuildFund!I15-BuildFund!I23</f>
        <v>0</v>
      </c>
      <c r="D58" s="1"/>
      <c r="E58" s="122"/>
    </row>
    <row r="59" spans="1:5" x14ac:dyDescent="0.15">
      <c r="A59" s="1" t="s">
        <v>410</v>
      </c>
      <c r="C59" s="108">
        <f>SpecBuild!I12</f>
        <v>0</v>
      </c>
      <c r="D59" s="1"/>
      <c r="E59" s="122"/>
    </row>
    <row r="60" spans="1:5" x14ac:dyDescent="0.15">
      <c r="A60" s="1" t="s">
        <v>414</v>
      </c>
      <c r="C60" s="108">
        <f>+CapResCapPrj!I19-CapResCapPrj!I30</f>
        <v>0</v>
      </c>
      <c r="D60" s="1"/>
      <c r="E60" s="122"/>
    </row>
    <row r="61" spans="1:5" x14ac:dyDescent="0.15">
      <c r="A61" s="1" t="s">
        <v>1510</v>
      </c>
      <c r="C61" s="108">
        <f>+'DO NOT USE'!I19-'DO NOT USE'!I27</f>
        <v>0</v>
      </c>
      <c r="D61" s="1"/>
      <c r="E61" s="122"/>
    </row>
    <row r="62" spans="1:5" x14ac:dyDescent="0.15">
      <c r="A62" s="1" t="s">
        <v>362</v>
      </c>
      <c r="C62" s="108">
        <f>+OtherEnterprise!I14-OtherEnterprise!I22</f>
        <v>0</v>
      </c>
      <c r="D62" s="1"/>
      <c r="E62" s="122"/>
    </row>
    <row r="63" spans="1:5" x14ac:dyDescent="0.15">
      <c r="A63" s="1" t="s">
        <v>363</v>
      </c>
      <c r="C63" s="108">
        <f>+RiskRelated!I12-RiskRelated!I20</f>
        <v>0</v>
      </c>
      <c r="D63" s="1"/>
      <c r="E63" s="122"/>
    </row>
    <row r="64" spans="1:5" x14ac:dyDescent="0.15">
      <c r="A64" s="1" t="s">
        <v>364</v>
      </c>
      <c r="C64" s="108">
        <f>+OtherInternal!I16-OtherInternal!I24</f>
        <v>0</v>
      </c>
      <c r="D64" s="1"/>
      <c r="E64" s="122"/>
    </row>
    <row r="65" spans="1:5" x14ac:dyDescent="0.15">
      <c r="A65" s="1" t="s">
        <v>365</v>
      </c>
      <c r="C65" s="108">
        <f>+PupilActAgency!I11-PupilActAgency!I19</f>
        <v>0</v>
      </c>
      <c r="D65" s="1"/>
      <c r="E65" s="122"/>
    </row>
    <row r="66" spans="1:5" x14ac:dyDescent="0.15">
      <c r="A66" s="1" t="s">
        <v>366</v>
      </c>
      <c r="C66" s="108">
        <f>+'Trust&amp;Agency'!I10-'Trust&amp;Agency'!I18</f>
        <v>0</v>
      </c>
      <c r="E66" s="129"/>
    </row>
    <row r="67" spans="1:5" x14ac:dyDescent="0.15">
      <c r="A67" s="1" t="s">
        <v>402</v>
      </c>
      <c r="C67" s="108">
        <f>+'Foundation Fund'!I10-'Foundation Fund'!I18</f>
        <v>0</v>
      </c>
      <c r="E67" s="122"/>
    </row>
    <row r="68" spans="1:5" x14ac:dyDescent="0.15">
      <c r="A68" s="1" t="s">
        <v>367</v>
      </c>
      <c r="C68" s="108">
        <f>+Arbitrage!G20-Arbitrage!G25</f>
        <v>0</v>
      </c>
    </row>
    <row r="70" spans="1:5" x14ac:dyDescent="0.15">
      <c r="C70" s="121">
        <f>SUM(C45:C69)</f>
        <v>0</v>
      </c>
    </row>
    <row r="71" spans="1:5" ht="12.75" x14ac:dyDescent="0.2">
      <c r="A71" s="104" t="s">
        <v>910</v>
      </c>
      <c r="C71" s="138" t="str">
        <f>IF(C70=0, "ALL IS OK", "ERROR YOU MUST FIX")</f>
        <v>ALL IS OK</v>
      </c>
    </row>
    <row r="72" spans="1:5" x14ac:dyDescent="0.15">
      <c r="A72" s="6"/>
      <c r="C72" s="129"/>
    </row>
    <row r="73" spans="1:5" ht="12.75" x14ac:dyDescent="0.2">
      <c r="A73" s="104" t="s">
        <v>1381</v>
      </c>
    </row>
    <row r="74" spans="1:5" ht="12.75" x14ac:dyDescent="0.2">
      <c r="A74" s="36" t="s">
        <v>540</v>
      </c>
    </row>
    <row r="75" spans="1:5" ht="12.75" x14ac:dyDescent="0.2">
      <c r="A75" s="36" t="s">
        <v>541</v>
      </c>
      <c r="C75" s="108">
        <f>GenFundExp2!I678*0.15</f>
        <v>0</v>
      </c>
    </row>
    <row r="76" spans="1:5" ht="12.75" x14ac:dyDescent="0.2">
      <c r="A76" s="125" t="s">
        <v>542</v>
      </c>
      <c r="C76" s="108">
        <f>GenFundExp2!I676</f>
        <v>0</v>
      </c>
    </row>
    <row r="77" spans="1:5" ht="12.75" x14ac:dyDescent="0.2">
      <c r="A77" s="124"/>
      <c r="C77" s="139" t="str">
        <f>IF(C76&lt;=0.15*(GenFundExp2!I661+GenFundExp2!I670+GenFundExp2!I676),"ALL IS OK","ERROR YOU MUST FIX")</f>
        <v>ALL IS OK</v>
      </c>
    </row>
    <row r="78" spans="1:5" x14ac:dyDescent="0.15">
      <c r="A78" s="6"/>
    </row>
    <row r="79" spans="1:5" x14ac:dyDescent="0.15">
      <c r="A79" s="6"/>
    </row>
  </sheetData>
  <sheetProtection password="CB03" sheet="1" objects="1" scenarios="1"/>
  <phoneticPr fontId="15" type="noConversion"/>
  <pageMargins left="0.5" right="0.5" top="0.75" bottom="0.75" header="0.5" footer="0.5"/>
  <pageSetup scale="75" firstPageNumber="52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H55"/>
  <sheetViews>
    <sheetView workbookViewId="0">
      <selection activeCell="G8" sqref="G8"/>
    </sheetView>
  </sheetViews>
  <sheetFormatPr defaultColWidth="12" defaultRowHeight="10.5" x14ac:dyDescent="0.15"/>
  <cols>
    <col min="1" max="1" width="23.6640625" customWidth="1"/>
    <col min="2" max="2" width="52.6640625" customWidth="1"/>
    <col min="3" max="3" width="11.6640625" customWidth="1"/>
    <col min="4" max="7" width="22.83203125" customWidth="1"/>
  </cols>
  <sheetData>
    <row r="1" spans="1:7" x14ac:dyDescent="0.15">
      <c r="A1" t="s">
        <v>1044</v>
      </c>
      <c r="B1">
        <f>+'Page 1 - FY2016-17'!B5</f>
        <v>0</v>
      </c>
      <c r="C1" t="s">
        <v>889</v>
      </c>
      <c r="D1" s="106">
        <f>+'Page 1 - FY2016-17'!F7</f>
        <v>0</v>
      </c>
      <c r="E1" s="17"/>
      <c r="F1" s="17"/>
      <c r="G1" s="12"/>
    </row>
    <row r="2" spans="1:7" x14ac:dyDescent="0.15">
      <c r="A2" s="34" t="s">
        <v>168</v>
      </c>
      <c r="B2" s="17"/>
      <c r="C2" s="17"/>
      <c r="D2" s="17"/>
      <c r="E2" s="17"/>
      <c r="F2" s="17"/>
      <c r="G2" s="17"/>
    </row>
    <row r="4" spans="1:7" x14ac:dyDescent="0.15">
      <c r="A4" s="111" t="s">
        <v>169</v>
      </c>
      <c r="D4" s="4" t="s">
        <v>1293</v>
      </c>
      <c r="E4" s="4" t="s">
        <v>434</v>
      </c>
      <c r="F4" s="4" t="s">
        <v>120</v>
      </c>
      <c r="G4" s="4" t="s">
        <v>435</v>
      </c>
    </row>
    <row r="5" spans="1:7" x14ac:dyDescent="0.15">
      <c r="A5" s="1" t="s">
        <v>436</v>
      </c>
      <c r="B5" s="1" t="s">
        <v>437</v>
      </c>
      <c r="C5" s="7" t="s">
        <v>436</v>
      </c>
      <c r="D5" s="119">
        <v>0</v>
      </c>
      <c r="E5" s="119">
        <v>0</v>
      </c>
      <c r="F5" s="119">
        <v>0</v>
      </c>
      <c r="G5" s="46">
        <f t="shared" ref="G5:G11" si="0">D5+E5-F5</f>
        <v>0</v>
      </c>
    </row>
    <row r="6" spans="1:7" x14ac:dyDescent="0.15">
      <c r="A6" s="1" t="s">
        <v>938</v>
      </c>
      <c r="B6" s="1" t="s">
        <v>939</v>
      </c>
      <c r="C6" s="7" t="s">
        <v>938</v>
      </c>
      <c r="D6" s="119">
        <v>0</v>
      </c>
      <c r="E6" s="119">
        <v>0</v>
      </c>
      <c r="F6" s="119">
        <v>0</v>
      </c>
      <c r="G6" s="46">
        <f t="shared" si="0"/>
        <v>0</v>
      </c>
    </row>
    <row r="7" spans="1:7" x14ac:dyDescent="0.15">
      <c r="A7" s="1" t="s">
        <v>1357</v>
      </c>
      <c r="B7" s="1" t="s">
        <v>444</v>
      </c>
      <c r="C7" s="7" t="s">
        <v>1357</v>
      </c>
      <c r="D7" s="119">
        <v>0</v>
      </c>
      <c r="E7" s="119">
        <v>0</v>
      </c>
      <c r="F7" s="119">
        <v>0</v>
      </c>
      <c r="G7" s="46">
        <f t="shared" si="0"/>
        <v>0</v>
      </c>
    </row>
    <row r="8" spans="1:7" x14ac:dyDescent="0.15">
      <c r="A8" s="1" t="s">
        <v>1358</v>
      </c>
      <c r="B8" s="1" t="s">
        <v>253</v>
      </c>
      <c r="C8" s="7" t="s">
        <v>1358</v>
      </c>
      <c r="D8" s="119">
        <v>0</v>
      </c>
      <c r="E8" s="119">
        <v>0</v>
      </c>
      <c r="F8" s="119">
        <v>0</v>
      </c>
      <c r="G8" s="46">
        <f t="shared" si="0"/>
        <v>0</v>
      </c>
    </row>
    <row r="9" spans="1:7" hidden="1" x14ac:dyDescent="0.15">
      <c r="A9" s="382" t="s">
        <v>438</v>
      </c>
      <c r="B9" s="382" t="s">
        <v>941</v>
      </c>
      <c r="C9" s="383" t="s">
        <v>438</v>
      </c>
      <c r="D9" s="119">
        <v>0</v>
      </c>
      <c r="E9" s="119">
        <v>0</v>
      </c>
      <c r="F9" s="119">
        <v>0</v>
      </c>
      <c r="G9" s="46">
        <f>D9+E9-F9</f>
        <v>0</v>
      </c>
    </row>
    <row r="10" spans="1:7" x14ac:dyDescent="0.15">
      <c r="A10" s="1" t="s">
        <v>439</v>
      </c>
      <c r="B10" s="1" t="s">
        <v>1565</v>
      </c>
      <c r="C10" s="7" t="s">
        <v>439</v>
      </c>
      <c r="D10" s="119">
        <v>0</v>
      </c>
      <c r="E10" s="119">
        <v>0</v>
      </c>
      <c r="F10" s="119">
        <v>0</v>
      </c>
      <c r="G10" s="46">
        <f t="shared" si="0"/>
        <v>0</v>
      </c>
    </row>
    <row r="11" spans="1:7" x14ac:dyDescent="0.15">
      <c r="A11" s="1" t="s">
        <v>441</v>
      </c>
      <c r="B11" s="1" t="s">
        <v>440</v>
      </c>
      <c r="C11" s="7" t="s">
        <v>441</v>
      </c>
      <c r="D11" s="119">
        <v>0</v>
      </c>
      <c r="E11" s="119">
        <v>0</v>
      </c>
      <c r="F11" s="119">
        <v>0</v>
      </c>
      <c r="G11" s="46">
        <f t="shared" si="0"/>
        <v>0</v>
      </c>
    </row>
    <row r="12" spans="1:7" s="283" customFormat="1" x14ac:dyDescent="0.15">
      <c r="A12" s="1" t="s">
        <v>443</v>
      </c>
      <c r="B12" s="1" t="s">
        <v>442</v>
      </c>
      <c r="C12" s="7" t="s">
        <v>443</v>
      </c>
      <c r="D12" s="119">
        <v>0</v>
      </c>
      <c r="E12" s="119">
        <v>0</v>
      </c>
      <c r="F12" s="119">
        <v>0</v>
      </c>
      <c r="G12" s="46">
        <f t="shared" ref="G12:G24" si="1">D12+E12-F12</f>
        <v>0</v>
      </c>
    </row>
    <row r="13" spans="1:7" x14ac:dyDescent="0.15">
      <c r="A13" s="382" t="s">
        <v>445</v>
      </c>
      <c r="B13" s="382" t="s">
        <v>1359</v>
      </c>
      <c r="C13" s="383" t="s">
        <v>445</v>
      </c>
      <c r="D13" s="119">
        <v>0</v>
      </c>
      <c r="E13" s="119">
        <v>0</v>
      </c>
      <c r="F13" s="119">
        <v>0</v>
      </c>
      <c r="G13" s="46">
        <f>D13+E13-F13</f>
        <v>0</v>
      </c>
    </row>
    <row r="14" spans="1:7" x14ac:dyDescent="0.15">
      <c r="A14" s="1" t="s">
        <v>447</v>
      </c>
      <c r="B14" s="1" t="s">
        <v>446</v>
      </c>
      <c r="C14" s="7" t="s">
        <v>447</v>
      </c>
      <c r="D14" s="119">
        <v>0</v>
      </c>
      <c r="E14" s="119">
        <v>0</v>
      </c>
      <c r="F14" s="119">
        <v>0</v>
      </c>
      <c r="G14" s="46">
        <f t="shared" si="1"/>
        <v>0</v>
      </c>
    </row>
    <row r="15" spans="1:7" x14ac:dyDescent="0.15">
      <c r="A15" s="1" t="s">
        <v>449</v>
      </c>
      <c r="B15" s="1" t="s">
        <v>448</v>
      </c>
      <c r="C15" s="7" t="s">
        <v>449</v>
      </c>
      <c r="D15" s="119">
        <v>0</v>
      </c>
      <c r="E15" s="119">
        <v>0</v>
      </c>
      <c r="F15" s="119">
        <v>0</v>
      </c>
      <c r="G15" s="46">
        <f t="shared" si="1"/>
        <v>0</v>
      </c>
    </row>
    <row r="16" spans="1:7" x14ac:dyDescent="0.15">
      <c r="A16" s="1" t="s">
        <v>1405</v>
      </c>
      <c r="B16" s="1" t="s">
        <v>433</v>
      </c>
      <c r="C16" s="7" t="s">
        <v>1405</v>
      </c>
      <c r="D16" s="119">
        <v>0</v>
      </c>
      <c r="E16" s="119">
        <v>0</v>
      </c>
      <c r="F16" s="119">
        <v>0</v>
      </c>
      <c r="G16" s="46">
        <f t="shared" si="1"/>
        <v>0</v>
      </c>
    </row>
    <row r="17" spans="1:7" x14ac:dyDescent="0.15">
      <c r="A17" s="1" t="s">
        <v>1404</v>
      </c>
      <c r="B17" s="1" t="s">
        <v>1584</v>
      </c>
      <c r="C17" s="7" t="s">
        <v>1404</v>
      </c>
      <c r="D17" s="119">
        <v>0</v>
      </c>
      <c r="E17" s="119">
        <v>0</v>
      </c>
      <c r="F17" s="119">
        <v>0</v>
      </c>
      <c r="G17" s="46">
        <f>D17+E17-F17</f>
        <v>0</v>
      </c>
    </row>
    <row r="18" spans="1:7" x14ac:dyDescent="0.15">
      <c r="A18" s="1" t="s">
        <v>452</v>
      </c>
      <c r="B18" s="107" t="s">
        <v>451</v>
      </c>
      <c r="C18" s="7" t="s">
        <v>452</v>
      </c>
      <c r="D18" s="119">
        <v>0</v>
      </c>
      <c r="E18" s="119">
        <v>0</v>
      </c>
      <c r="F18" s="119">
        <v>0</v>
      </c>
      <c r="G18" s="46">
        <f t="shared" si="1"/>
        <v>0</v>
      </c>
    </row>
    <row r="19" spans="1:7" x14ac:dyDescent="0.15">
      <c r="A19" s="1" t="s">
        <v>454</v>
      </c>
      <c r="B19" s="107" t="s">
        <v>453</v>
      </c>
      <c r="C19" s="7" t="s">
        <v>454</v>
      </c>
      <c r="D19" s="119">
        <v>0</v>
      </c>
      <c r="E19" s="119">
        <v>0</v>
      </c>
      <c r="F19" s="119">
        <v>0</v>
      </c>
      <c r="G19" s="46">
        <f t="shared" si="1"/>
        <v>0</v>
      </c>
    </row>
    <row r="20" spans="1:7" x14ac:dyDescent="0.15">
      <c r="A20" s="1" t="s">
        <v>455</v>
      </c>
      <c r="B20" s="1" t="s">
        <v>1510</v>
      </c>
      <c r="C20" s="7" t="s">
        <v>455</v>
      </c>
      <c r="D20" s="119">
        <v>0</v>
      </c>
      <c r="E20" s="119">
        <v>0</v>
      </c>
      <c r="F20" s="119">
        <v>0</v>
      </c>
      <c r="G20" s="46">
        <f>D20+E20-F20</f>
        <v>0</v>
      </c>
    </row>
    <row r="21" spans="1:7" x14ac:dyDescent="0.15">
      <c r="A21" s="1" t="s">
        <v>457</v>
      </c>
      <c r="B21" s="1" t="s">
        <v>456</v>
      </c>
      <c r="C21" s="7" t="s">
        <v>457</v>
      </c>
      <c r="D21" s="119">
        <v>0</v>
      </c>
      <c r="E21" s="119">
        <v>0</v>
      </c>
      <c r="F21" s="119">
        <v>0</v>
      </c>
      <c r="G21" s="46">
        <f>D21+E21-F21</f>
        <v>0</v>
      </c>
    </row>
    <row r="22" spans="1:7" x14ac:dyDescent="0.15">
      <c r="A22" s="1" t="s">
        <v>459</v>
      </c>
      <c r="B22" s="1" t="s">
        <v>458</v>
      </c>
      <c r="C22" s="7" t="s">
        <v>459</v>
      </c>
      <c r="D22" s="120">
        <v>0</v>
      </c>
      <c r="E22" s="120">
        <v>0</v>
      </c>
      <c r="F22" s="120">
        <v>0</v>
      </c>
      <c r="G22" s="46">
        <f t="shared" si="1"/>
        <v>0</v>
      </c>
    </row>
    <row r="23" spans="1:7" x14ac:dyDescent="0.15">
      <c r="A23" s="1" t="s">
        <v>417</v>
      </c>
      <c r="B23" s="1" t="s">
        <v>416</v>
      </c>
      <c r="C23" s="7" t="s">
        <v>417</v>
      </c>
      <c r="D23" s="119">
        <v>0</v>
      </c>
      <c r="E23" s="119">
        <v>0</v>
      </c>
      <c r="F23" s="119">
        <v>0</v>
      </c>
      <c r="G23" s="46">
        <f>D23+E23-F23</f>
        <v>0</v>
      </c>
    </row>
    <row r="24" spans="1:7" x14ac:dyDescent="0.15">
      <c r="A24" s="1" t="s">
        <v>254</v>
      </c>
      <c r="B24" s="1" t="s">
        <v>1361</v>
      </c>
      <c r="C24" s="7" t="s">
        <v>254</v>
      </c>
      <c r="D24" s="119">
        <v>0</v>
      </c>
      <c r="E24" s="119">
        <v>0</v>
      </c>
      <c r="F24" s="119">
        <v>0</v>
      </c>
      <c r="G24" s="46">
        <f t="shared" si="1"/>
        <v>0</v>
      </c>
    </row>
    <row r="25" spans="1:7" ht="11.25" thickBot="1" x14ac:dyDescent="0.2">
      <c r="A25" s="1" t="s">
        <v>1360</v>
      </c>
      <c r="B25" s="1" t="s">
        <v>418</v>
      </c>
      <c r="C25" s="7" t="s">
        <v>1360</v>
      </c>
      <c r="D25" s="119">
        <v>0</v>
      </c>
      <c r="E25" s="119">
        <v>0</v>
      </c>
      <c r="F25" s="119">
        <v>0</v>
      </c>
      <c r="G25" s="46">
        <f>D25+E25-F25</f>
        <v>0</v>
      </c>
    </row>
    <row r="26" spans="1:7" ht="12" thickTop="1" thickBot="1" x14ac:dyDescent="0.2">
      <c r="B26" s="111" t="s">
        <v>170</v>
      </c>
      <c r="F26" s="6">
        <v>1</v>
      </c>
      <c r="G26" s="41">
        <f>SUM(G5:G25)</f>
        <v>0</v>
      </c>
    </row>
    <row r="27" spans="1:7" ht="11.25" thickTop="1" x14ac:dyDescent="0.15">
      <c r="A27" s="34" t="s">
        <v>419</v>
      </c>
    </row>
    <row r="28" spans="1:7" x14ac:dyDescent="0.15">
      <c r="A28" s="1" t="s">
        <v>436</v>
      </c>
      <c r="B28" s="1" t="s">
        <v>420</v>
      </c>
      <c r="E28" s="7" t="s">
        <v>421</v>
      </c>
      <c r="F28" s="40">
        <v>0</v>
      </c>
    </row>
    <row r="29" spans="1:7" x14ac:dyDescent="0.15">
      <c r="A29" s="1" t="s">
        <v>438</v>
      </c>
      <c r="B29" s="1" t="s">
        <v>422</v>
      </c>
      <c r="E29" s="7" t="s">
        <v>423</v>
      </c>
      <c r="F29" s="40">
        <v>0</v>
      </c>
    </row>
    <row r="30" spans="1:7" x14ac:dyDescent="0.15">
      <c r="A30" s="1" t="s">
        <v>439</v>
      </c>
      <c r="B30" s="1" t="s">
        <v>424</v>
      </c>
      <c r="E30" s="7" t="s">
        <v>425</v>
      </c>
      <c r="F30" s="40">
        <v>0</v>
      </c>
    </row>
    <row r="31" spans="1:7" x14ac:dyDescent="0.15">
      <c r="A31" s="1" t="s">
        <v>441</v>
      </c>
      <c r="B31" s="1" t="s">
        <v>426</v>
      </c>
      <c r="E31" s="7" t="s">
        <v>427</v>
      </c>
      <c r="F31" s="40">
        <v>0</v>
      </c>
    </row>
    <row r="32" spans="1:7" x14ac:dyDescent="0.15">
      <c r="A32" s="1" t="s">
        <v>443</v>
      </c>
      <c r="B32" s="1" t="s">
        <v>428</v>
      </c>
      <c r="E32" s="7" t="s">
        <v>429</v>
      </c>
      <c r="F32" s="40">
        <v>0</v>
      </c>
    </row>
    <row r="33" spans="1:8" x14ac:dyDescent="0.15">
      <c r="A33" s="1" t="s">
        <v>445</v>
      </c>
      <c r="B33" s="1" t="s">
        <v>430</v>
      </c>
      <c r="E33" s="7" t="s">
        <v>431</v>
      </c>
      <c r="F33" s="40">
        <v>0</v>
      </c>
    </row>
    <row r="34" spans="1:8" x14ac:dyDescent="0.15">
      <c r="A34" s="1" t="s">
        <v>447</v>
      </c>
      <c r="B34" s="1" t="s">
        <v>481</v>
      </c>
      <c r="E34" s="7" t="s">
        <v>450</v>
      </c>
      <c r="F34" s="40">
        <v>0</v>
      </c>
    </row>
    <row r="35" spans="1:8" ht="11.25" thickBot="1" x14ac:dyDescent="0.2">
      <c r="A35" s="1" t="s">
        <v>449</v>
      </c>
      <c r="B35" s="1" t="s">
        <v>482</v>
      </c>
      <c r="E35" s="7" t="s">
        <v>452</v>
      </c>
      <c r="F35" s="40">
        <v>0</v>
      </c>
    </row>
    <row r="36" spans="1:8" ht="12" thickTop="1" thickBot="1" x14ac:dyDescent="0.2">
      <c r="B36" s="111" t="s">
        <v>171</v>
      </c>
      <c r="F36" s="6">
        <v>2</v>
      </c>
      <c r="G36" s="44">
        <f>SUM(F28:F35)</f>
        <v>0</v>
      </c>
    </row>
    <row r="37" spans="1:8" ht="12" thickTop="1" thickBot="1" x14ac:dyDescent="0.2">
      <c r="A37" s="111" t="s">
        <v>1368</v>
      </c>
      <c r="F37" s="6">
        <v>3</v>
      </c>
      <c r="G37" s="44">
        <f>G26-G36</f>
        <v>0</v>
      </c>
    </row>
    <row r="38" spans="1:8" ht="11.25" thickTop="1" x14ac:dyDescent="0.15">
      <c r="A38" s="34" t="s">
        <v>483</v>
      </c>
    </row>
    <row r="39" spans="1:8" ht="12" customHeight="1" x14ac:dyDescent="0.15">
      <c r="A39" s="1" t="s">
        <v>436</v>
      </c>
      <c r="B39" s="616" t="s">
        <v>484</v>
      </c>
      <c r="E39" s="7" t="s">
        <v>436</v>
      </c>
      <c r="F39" s="40">
        <v>0</v>
      </c>
    </row>
    <row r="40" spans="1:8" ht="15" customHeight="1" thickBot="1" x14ac:dyDescent="0.2">
      <c r="A40" s="1" t="s">
        <v>438</v>
      </c>
      <c r="B40" s="617" t="s">
        <v>1374</v>
      </c>
      <c r="E40" s="7" t="s">
        <v>438</v>
      </c>
      <c r="F40" s="40">
        <v>0</v>
      </c>
    </row>
    <row r="41" spans="1:8" ht="12" thickTop="1" thickBot="1" x14ac:dyDescent="0.2">
      <c r="B41" s="34" t="s">
        <v>486</v>
      </c>
      <c r="F41" s="6">
        <v>4</v>
      </c>
      <c r="G41" s="90">
        <f>SUM(F39:F40)</f>
        <v>0</v>
      </c>
    </row>
    <row r="42" spans="1:8" ht="12" thickTop="1" thickBot="1" x14ac:dyDescent="0.2">
      <c r="A42" s="34" t="s">
        <v>487</v>
      </c>
      <c r="F42" s="6">
        <v>5</v>
      </c>
      <c r="G42" s="44">
        <f>G37-G41</f>
        <v>0</v>
      </c>
      <c r="H42" t="s">
        <v>1375</v>
      </c>
    </row>
    <row r="43" spans="1:8" ht="12" thickTop="1" thickBot="1" x14ac:dyDescent="0.2">
      <c r="A43" s="34"/>
      <c r="F43" s="6"/>
      <c r="G43" s="618">
        <f>G42*0.03</f>
        <v>0</v>
      </c>
      <c r="H43" t="s">
        <v>1376</v>
      </c>
    </row>
    <row r="44" spans="1:8" ht="11.25" thickTop="1" x14ac:dyDescent="0.15">
      <c r="A44" s="34" t="s">
        <v>488</v>
      </c>
    </row>
    <row r="45" spans="1:8" x14ac:dyDescent="0.15">
      <c r="A45" s="1" t="s">
        <v>436</v>
      </c>
      <c r="B45" s="107" t="s">
        <v>1369</v>
      </c>
      <c r="D45" s="7" t="s">
        <v>436</v>
      </c>
      <c r="E45" s="91">
        <v>0</v>
      </c>
    </row>
    <row r="46" spans="1:8" ht="11.25" thickBot="1" x14ac:dyDescent="0.2">
      <c r="A46" s="1" t="s">
        <v>438</v>
      </c>
      <c r="B46" s="1" t="s">
        <v>489</v>
      </c>
      <c r="D46" s="7" t="s">
        <v>438</v>
      </c>
      <c r="E46" s="92">
        <v>0</v>
      </c>
    </row>
    <row r="47" spans="1:8" ht="12" thickTop="1" thickBot="1" x14ac:dyDescent="0.2">
      <c r="A47" s="1" t="s">
        <v>439</v>
      </c>
      <c r="B47" s="1" t="s">
        <v>490</v>
      </c>
      <c r="D47" s="7" t="s">
        <v>439</v>
      </c>
      <c r="E47" s="93">
        <f>SUM(E45:E46)</f>
        <v>0</v>
      </c>
    </row>
    <row r="48" spans="1:8" ht="12" thickTop="1" thickBot="1" x14ac:dyDescent="0.2">
      <c r="A48" s="1" t="s">
        <v>441</v>
      </c>
      <c r="B48" s="1" t="s">
        <v>491</v>
      </c>
      <c r="D48" s="7" t="s">
        <v>441</v>
      </c>
      <c r="E48" s="46">
        <f>G42</f>
        <v>0</v>
      </c>
      <c r="G48" s="5"/>
    </row>
    <row r="49" spans="1:7" ht="12" thickTop="1" thickBot="1" x14ac:dyDescent="0.2">
      <c r="A49" s="1" t="s">
        <v>443</v>
      </c>
      <c r="B49" s="1" t="s">
        <v>492</v>
      </c>
      <c r="E49" s="7" t="s">
        <v>443</v>
      </c>
      <c r="F49" s="44">
        <f>E48*E47</f>
        <v>0</v>
      </c>
    </row>
    <row r="50" spans="1:7" ht="11.25" thickTop="1" x14ac:dyDescent="0.15">
      <c r="A50" s="1" t="s">
        <v>445</v>
      </c>
      <c r="B50" s="107" t="s">
        <v>493</v>
      </c>
      <c r="E50" s="7" t="s">
        <v>445</v>
      </c>
      <c r="F50" s="82">
        <f>F39</f>
        <v>0</v>
      </c>
    </row>
    <row r="51" spans="1:7" ht="11.25" thickBot="1" x14ac:dyDescent="0.2">
      <c r="A51" s="1" t="s">
        <v>447</v>
      </c>
      <c r="B51" s="1" t="s">
        <v>494</v>
      </c>
      <c r="E51" s="7" t="s">
        <v>447</v>
      </c>
      <c r="F51" s="82">
        <f>F40</f>
        <v>0</v>
      </c>
    </row>
    <row r="52" spans="1:7" ht="12" thickTop="1" thickBot="1" x14ac:dyDescent="0.2">
      <c r="B52" s="34" t="s">
        <v>495</v>
      </c>
      <c r="F52" s="6">
        <v>6</v>
      </c>
      <c r="G52" s="41">
        <f>SUM(F49:F51)</f>
        <v>0</v>
      </c>
    </row>
    <row r="53" spans="1:7" ht="12" thickTop="1" thickBot="1" x14ac:dyDescent="0.2"/>
    <row r="54" spans="1:7" ht="12" thickTop="1" thickBot="1" x14ac:dyDescent="0.2">
      <c r="A54" s="111" t="s">
        <v>172</v>
      </c>
      <c r="F54" s="6">
        <v>7</v>
      </c>
      <c r="G54" s="44">
        <f>G52+G37</f>
        <v>0</v>
      </c>
    </row>
    <row r="55" spans="1:7" ht="11.25" thickTop="1" x14ac:dyDescent="0.15"/>
  </sheetData>
  <sheetProtection formatCells="0" formatColumns="0" formatRows="0"/>
  <phoneticPr fontId="15" type="noConversion"/>
  <pageMargins left="0.5" right="0.5" top="0.75" bottom="0.75" header="0.5" footer="0.5"/>
  <pageSetup scale="67" firstPageNumber="53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1373"/>
  <sheetViews>
    <sheetView zoomScaleNormal="100" workbookViewId="0">
      <pane ySplit="6" topLeftCell="A7" activePane="bottomLeft" state="frozen"/>
      <selection pane="bottomLeft" activeCell="A7" sqref="A7:XFD7"/>
    </sheetView>
  </sheetViews>
  <sheetFormatPr defaultRowHeight="10.5" x14ac:dyDescent="0.15"/>
  <cols>
    <col min="1" max="1" width="4.83203125" style="412" customWidth="1"/>
    <col min="2" max="2" width="21.83203125" style="412" customWidth="1"/>
    <col min="3" max="3" width="58" style="412" bestFit="1" customWidth="1"/>
    <col min="4" max="4" width="15.83203125" style="412" customWidth="1"/>
    <col min="5" max="5" width="17" style="416" customWidth="1"/>
    <col min="6" max="6" width="17.33203125" style="412" customWidth="1"/>
    <col min="7" max="7" width="18.33203125" style="412" customWidth="1"/>
    <col min="8" max="9" width="20.33203125" style="412" customWidth="1"/>
    <col min="10" max="10" width="21.33203125" style="416" customWidth="1"/>
    <col min="11" max="16384" width="9.33203125" style="412"/>
  </cols>
  <sheetData>
    <row r="1" spans="1:10" x14ac:dyDescent="0.15">
      <c r="A1" s="412" t="s">
        <v>1044</v>
      </c>
      <c r="C1" s="135">
        <f>+'Page 1 - FY2016-17'!B5</f>
        <v>0</v>
      </c>
      <c r="D1" s="412" t="s">
        <v>889</v>
      </c>
      <c r="E1" s="646">
        <f>+'Page 1 - FY2016-17'!F7</f>
        <v>0</v>
      </c>
      <c r="G1" s="418" t="s">
        <v>891</v>
      </c>
    </row>
    <row r="2" spans="1:10" ht="12.75" x14ac:dyDescent="0.2">
      <c r="A2" s="444" t="s">
        <v>1047</v>
      </c>
      <c r="B2" s="445"/>
      <c r="H2" s="418"/>
      <c r="I2" s="418"/>
    </row>
    <row r="3" spans="1:10" x14ac:dyDescent="0.15">
      <c r="A3" s="445"/>
      <c r="B3" s="445"/>
      <c r="G3" s="418"/>
      <c r="H3" s="418"/>
      <c r="I3" s="418"/>
    </row>
    <row r="4" spans="1:10" ht="35.25" customHeight="1" x14ac:dyDescent="0.15">
      <c r="A4" s="445"/>
      <c r="B4" s="445"/>
      <c r="D4" s="580" t="s">
        <v>1607</v>
      </c>
      <c r="E4" s="580" t="s">
        <v>1606</v>
      </c>
      <c r="F4" s="580" t="s">
        <v>1605</v>
      </c>
      <c r="G4" s="580" t="s">
        <v>1604</v>
      </c>
      <c r="H4" s="580" t="s">
        <v>1603</v>
      </c>
      <c r="I4" s="580" t="s">
        <v>1602</v>
      </c>
    </row>
    <row r="5" spans="1:10" ht="54.75" customHeight="1" x14ac:dyDescent="0.15">
      <c r="A5" s="445"/>
      <c r="B5" s="445"/>
      <c r="D5" s="424"/>
      <c r="E5" s="424"/>
      <c r="F5" s="424"/>
      <c r="G5" s="424"/>
      <c r="H5" s="713" t="s">
        <v>1541</v>
      </c>
      <c r="I5" s="715" t="s">
        <v>1516</v>
      </c>
    </row>
    <row r="6" spans="1:10" x14ac:dyDescent="0.15">
      <c r="A6" s="445"/>
      <c r="B6" s="445"/>
      <c r="G6" s="418"/>
      <c r="H6" s="418"/>
      <c r="I6" s="418"/>
    </row>
    <row r="7" spans="1:10" x14ac:dyDescent="0.15">
      <c r="A7" s="445"/>
      <c r="B7" s="445"/>
      <c r="G7" s="418"/>
      <c r="H7" s="418"/>
      <c r="I7" s="418"/>
    </row>
    <row r="8" spans="1:10" x14ac:dyDescent="0.15">
      <c r="A8" s="438" t="s">
        <v>1057</v>
      </c>
      <c r="D8" s="446"/>
      <c r="E8" s="647"/>
      <c r="F8" s="447"/>
      <c r="G8" s="446"/>
    </row>
    <row r="9" spans="1:10" s="448" customFormat="1" x14ac:dyDescent="0.15">
      <c r="B9" s="449" t="s">
        <v>213</v>
      </c>
      <c r="E9" s="642"/>
      <c r="F9" s="143"/>
      <c r="G9" s="142"/>
      <c r="I9" s="460"/>
      <c r="J9" s="450"/>
    </row>
    <row r="10" spans="1:10" x14ac:dyDescent="0.15">
      <c r="A10" s="442" t="s">
        <v>1008</v>
      </c>
      <c r="I10" s="164"/>
    </row>
    <row r="11" spans="1:10" s="416" customFormat="1" hidden="1" x14ac:dyDescent="0.15">
      <c r="B11" s="453" t="s">
        <v>880</v>
      </c>
      <c r="C11" s="454" t="s">
        <v>1164</v>
      </c>
      <c r="D11" s="308">
        <v>0</v>
      </c>
      <c r="E11" s="308">
        <v>0</v>
      </c>
      <c r="F11" s="308">
        <v>0</v>
      </c>
      <c r="G11" s="458"/>
      <c r="H11" s="457">
        <v>0</v>
      </c>
      <c r="I11" s="494">
        <f t="shared" ref="I11:I43" si="0">SUM(G11+H11)</f>
        <v>0</v>
      </c>
    </row>
    <row r="12" spans="1:10" s="416" customFormat="1" x14ac:dyDescent="0.15">
      <c r="B12" s="453" t="s">
        <v>880</v>
      </c>
      <c r="C12" s="454" t="s">
        <v>337</v>
      </c>
      <c r="D12" s="308">
        <v>0</v>
      </c>
      <c r="E12" s="308">
        <v>0</v>
      </c>
      <c r="F12" s="308">
        <v>0</v>
      </c>
      <c r="G12" s="308">
        <v>0</v>
      </c>
      <c r="H12" s="457">
        <v>0</v>
      </c>
      <c r="I12" s="494">
        <f>SUM(G12+H12)</f>
        <v>0</v>
      </c>
    </row>
    <row r="13" spans="1:10" s="416" customFormat="1" hidden="1" x14ac:dyDescent="0.15">
      <c r="A13" s="454"/>
      <c r="B13" s="453" t="s">
        <v>881</v>
      </c>
      <c r="C13" s="454" t="s">
        <v>382</v>
      </c>
      <c r="D13" s="308">
        <v>0</v>
      </c>
      <c r="E13" s="308">
        <v>0</v>
      </c>
      <c r="F13" s="308">
        <v>0</v>
      </c>
      <c r="G13" s="459"/>
      <c r="H13" s="457">
        <v>0</v>
      </c>
      <c r="I13" s="494">
        <f t="shared" si="0"/>
        <v>0</v>
      </c>
    </row>
    <row r="14" spans="1:10" x14ac:dyDescent="0.15">
      <c r="A14" s="135"/>
      <c r="B14" s="451" t="s">
        <v>881</v>
      </c>
      <c r="C14" s="135" t="s">
        <v>338</v>
      </c>
      <c r="D14" s="144">
        <v>0</v>
      </c>
      <c r="E14" s="308">
        <v>0</v>
      </c>
      <c r="F14" s="144">
        <v>0</v>
      </c>
      <c r="G14" s="144">
        <v>0</v>
      </c>
      <c r="H14" s="147">
        <v>0</v>
      </c>
      <c r="I14" s="495">
        <f>SUM(G14+H14)</f>
        <v>0</v>
      </c>
    </row>
    <row r="15" spans="1:10" x14ac:dyDescent="0.15">
      <c r="A15" s="135"/>
      <c r="B15" s="451" t="s">
        <v>882</v>
      </c>
      <c r="C15" s="135" t="s">
        <v>1058</v>
      </c>
      <c r="D15" s="144">
        <v>0</v>
      </c>
      <c r="E15" s="308">
        <v>0</v>
      </c>
      <c r="F15" s="144">
        <v>0</v>
      </c>
      <c r="G15" s="144">
        <v>0</v>
      </c>
      <c r="H15" s="147">
        <v>0</v>
      </c>
      <c r="I15" s="495">
        <f t="shared" si="0"/>
        <v>0</v>
      </c>
    </row>
    <row r="16" spans="1:10" x14ac:dyDescent="0.15">
      <c r="A16" s="135"/>
      <c r="B16" s="716" t="s">
        <v>883</v>
      </c>
      <c r="C16" s="135" t="s">
        <v>1059</v>
      </c>
      <c r="D16" s="144">
        <v>0</v>
      </c>
      <c r="E16" s="308">
        <v>0</v>
      </c>
      <c r="F16" s="144">
        <v>0</v>
      </c>
      <c r="G16" s="144">
        <v>0</v>
      </c>
      <c r="H16" s="147">
        <v>0</v>
      </c>
      <c r="I16" s="495">
        <f t="shared" si="0"/>
        <v>0</v>
      </c>
    </row>
    <row r="17" spans="1:9" x14ac:dyDescent="0.15">
      <c r="A17" s="135"/>
      <c r="B17" s="451" t="s">
        <v>1060</v>
      </c>
      <c r="C17" s="135" t="s">
        <v>1061</v>
      </c>
      <c r="D17" s="144">
        <v>0</v>
      </c>
      <c r="E17" s="308">
        <v>0</v>
      </c>
      <c r="F17" s="144">
        <v>0</v>
      </c>
      <c r="G17" s="144">
        <v>0</v>
      </c>
      <c r="H17" s="147">
        <v>0</v>
      </c>
      <c r="I17" s="495">
        <f t="shared" si="0"/>
        <v>0</v>
      </c>
    </row>
    <row r="18" spans="1:9" x14ac:dyDescent="0.15">
      <c r="A18" s="135"/>
      <c r="B18" s="451" t="s">
        <v>1062</v>
      </c>
      <c r="C18" s="135" t="s">
        <v>1063</v>
      </c>
      <c r="D18" s="144">
        <v>0</v>
      </c>
      <c r="E18" s="308">
        <v>0</v>
      </c>
      <c r="F18" s="144">
        <v>0</v>
      </c>
      <c r="G18" s="144">
        <v>0</v>
      </c>
      <c r="H18" s="147">
        <v>0</v>
      </c>
      <c r="I18" s="495">
        <f t="shared" si="0"/>
        <v>0</v>
      </c>
    </row>
    <row r="19" spans="1:9" x14ac:dyDescent="0.15">
      <c r="A19" s="135"/>
      <c r="B19" s="451" t="s">
        <v>884</v>
      </c>
      <c r="C19" s="135" t="s">
        <v>1064</v>
      </c>
      <c r="D19" s="144">
        <v>0</v>
      </c>
      <c r="E19" s="308">
        <v>0</v>
      </c>
      <c r="F19" s="144">
        <v>0</v>
      </c>
      <c r="G19" s="144">
        <v>0</v>
      </c>
      <c r="H19" s="147">
        <v>0</v>
      </c>
      <c r="I19" s="495">
        <f t="shared" si="0"/>
        <v>0</v>
      </c>
    </row>
    <row r="20" spans="1:9" x14ac:dyDescent="0.15">
      <c r="A20" s="135"/>
      <c r="B20" s="451" t="s">
        <v>1067</v>
      </c>
      <c r="C20" s="135" t="s">
        <v>1074</v>
      </c>
      <c r="D20" s="144">
        <v>0</v>
      </c>
      <c r="E20" s="308">
        <v>0</v>
      </c>
      <c r="F20" s="144">
        <v>0</v>
      </c>
      <c r="G20" s="144">
        <v>0</v>
      </c>
      <c r="H20" s="147">
        <v>0</v>
      </c>
      <c r="I20" s="495">
        <f t="shared" si="0"/>
        <v>0</v>
      </c>
    </row>
    <row r="21" spans="1:9" x14ac:dyDescent="0.15">
      <c r="A21" s="135"/>
      <c r="B21" s="451" t="s">
        <v>1072</v>
      </c>
      <c r="C21" s="135" t="s">
        <v>920</v>
      </c>
      <c r="D21" s="144">
        <v>0</v>
      </c>
      <c r="E21" s="308">
        <v>0</v>
      </c>
      <c r="F21" s="144">
        <v>0</v>
      </c>
      <c r="G21" s="144">
        <v>0</v>
      </c>
      <c r="H21" s="147">
        <v>0</v>
      </c>
      <c r="I21" s="495">
        <f t="shared" si="0"/>
        <v>0</v>
      </c>
    </row>
    <row r="22" spans="1:9" x14ac:dyDescent="0.15">
      <c r="A22" s="135"/>
      <c r="B22" s="716" t="s">
        <v>155</v>
      </c>
      <c r="C22" s="703" t="s">
        <v>178</v>
      </c>
      <c r="D22" s="144">
        <v>0</v>
      </c>
      <c r="E22" s="308">
        <v>0</v>
      </c>
      <c r="F22" s="144">
        <v>0</v>
      </c>
      <c r="G22" s="144">
        <v>0</v>
      </c>
      <c r="H22" s="147">
        <v>0</v>
      </c>
      <c r="I22" s="495">
        <f t="shared" ref="I22" si="1">SUM(G22+H22)</f>
        <v>0</v>
      </c>
    </row>
    <row r="23" spans="1:9" x14ac:dyDescent="0.15">
      <c r="A23" s="135"/>
      <c r="B23" s="451" t="s">
        <v>921</v>
      </c>
      <c r="C23" s="135" t="s">
        <v>955</v>
      </c>
      <c r="D23" s="144">
        <v>0</v>
      </c>
      <c r="E23" s="308">
        <v>0</v>
      </c>
      <c r="F23" s="144">
        <v>0</v>
      </c>
      <c r="G23" s="144">
        <v>0</v>
      </c>
      <c r="H23" s="147">
        <v>0</v>
      </c>
      <c r="I23" s="495">
        <f t="shared" si="0"/>
        <v>0</v>
      </c>
    </row>
    <row r="24" spans="1:9" x14ac:dyDescent="0.15">
      <c r="A24" s="135"/>
      <c r="B24" s="451" t="s">
        <v>922</v>
      </c>
      <c r="C24" s="135" t="s">
        <v>1123</v>
      </c>
      <c r="D24" s="144">
        <v>0</v>
      </c>
      <c r="E24" s="308">
        <v>0</v>
      </c>
      <c r="F24" s="144">
        <v>0</v>
      </c>
      <c r="G24" s="144">
        <v>0</v>
      </c>
      <c r="H24" s="147">
        <v>0</v>
      </c>
      <c r="I24" s="495">
        <f t="shared" si="0"/>
        <v>0</v>
      </c>
    </row>
    <row r="25" spans="1:9" x14ac:dyDescent="0.15">
      <c r="A25" s="135"/>
      <c r="B25" s="451" t="s">
        <v>923</v>
      </c>
      <c r="C25" s="135" t="s">
        <v>957</v>
      </c>
      <c r="D25" s="144">
        <v>0</v>
      </c>
      <c r="E25" s="308">
        <v>0</v>
      </c>
      <c r="F25" s="144">
        <v>0</v>
      </c>
      <c r="G25" s="144">
        <v>0</v>
      </c>
      <c r="H25" s="147">
        <v>0</v>
      </c>
      <c r="I25" s="495">
        <f t="shared" si="0"/>
        <v>0</v>
      </c>
    </row>
    <row r="26" spans="1:9" x14ac:dyDescent="0.15">
      <c r="A26" s="135"/>
      <c r="B26" s="451" t="s">
        <v>924</v>
      </c>
      <c r="C26" s="135" t="s">
        <v>958</v>
      </c>
      <c r="D26" s="144">
        <v>0</v>
      </c>
      <c r="E26" s="308">
        <v>0</v>
      </c>
      <c r="F26" s="144">
        <v>0</v>
      </c>
      <c r="G26" s="144">
        <v>0</v>
      </c>
      <c r="H26" s="147">
        <v>0</v>
      </c>
      <c r="I26" s="495">
        <f t="shared" si="0"/>
        <v>0</v>
      </c>
    </row>
    <row r="27" spans="1:9" x14ac:dyDescent="0.15">
      <c r="A27" s="135"/>
      <c r="B27" s="451" t="s">
        <v>925</v>
      </c>
      <c r="C27" s="135" t="s">
        <v>1128</v>
      </c>
      <c r="D27" s="144">
        <v>0</v>
      </c>
      <c r="E27" s="308">
        <v>0</v>
      </c>
      <c r="F27" s="144">
        <v>0</v>
      </c>
      <c r="G27" s="144">
        <v>0</v>
      </c>
      <c r="H27" s="147">
        <v>0</v>
      </c>
      <c r="I27" s="495">
        <f t="shared" si="0"/>
        <v>0</v>
      </c>
    </row>
    <row r="28" spans="1:9" x14ac:dyDescent="0.15">
      <c r="A28" s="135"/>
      <c r="B28" s="451" t="s">
        <v>926</v>
      </c>
      <c r="C28" s="135" t="s">
        <v>1129</v>
      </c>
      <c r="D28" s="144">
        <v>0</v>
      </c>
      <c r="E28" s="308">
        <v>0</v>
      </c>
      <c r="F28" s="144">
        <v>0</v>
      </c>
      <c r="G28" s="144">
        <v>0</v>
      </c>
      <c r="H28" s="147">
        <v>0</v>
      </c>
      <c r="I28" s="495">
        <f t="shared" si="0"/>
        <v>0</v>
      </c>
    </row>
    <row r="29" spans="1:9" x14ac:dyDescent="0.15">
      <c r="A29" s="135"/>
      <c r="B29" s="451" t="s">
        <v>927</v>
      </c>
      <c r="C29" s="135" t="s">
        <v>959</v>
      </c>
      <c r="D29" s="144">
        <v>0</v>
      </c>
      <c r="E29" s="308">
        <v>0</v>
      </c>
      <c r="F29" s="144">
        <v>0</v>
      </c>
      <c r="G29" s="144">
        <v>0</v>
      </c>
      <c r="H29" s="147">
        <v>0</v>
      </c>
      <c r="I29" s="495">
        <f t="shared" si="0"/>
        <v>0</v>
      </c>
    </row>
    <row r="30" spans="1:9" x14ac:dyDescent="0.15">
      <c r="A30" s="135"/>
      <c r="B30" s="451" t="s">
        <v>928</v>
      </c>
      <c r="C30" s="135" t="s">
        <v>961</v>
      </c>
      <c r="D30" s="144">
        <v>0</v>
      </c>
      <c r="E30" s="308">
        <v>0</v>
      </c>
      <c r="F30" s="144">
        <v>0</v>
      </c>
      <c r="G30" s="144">
        <v>0</v>
      </c>
      <c r="H30" s="147">
        <v>0</v>
      </c>
      <c r="I30" s="495">
        <f t="shared" si="0"/>
        <v>0</v>
      </c>
    </row>
    <row r="31" spans="1:9" x14ac:dyDescent="0.15">
      <c r="A31" s="135"/>
      <c r="B31" s="451" t="s">
        <v>962</v>
      </c>
      <c r="C31" s="135" t="s">
        <v>967</v>
      </c>
      <c r="D31" s="144">
        <v>0</v>
      </c>
      <c r="E31" s="308">
        <v>0</v>
      </c>
      <c r="F31" s="144">
        <v>0</v>
      </c>
      <c r="G31" s="144">
        <v>0</v>
      </c>
      <c r="H31" s="147">
        <v>0</v>
      </c>
      <c r="I31" s="495">
        <f t="shared" si="0"/>
        <v>0</v>
      </c>
    </row>
    <row r="32" spans="1:9" x14ac:dyDescent="0.15">
      <c r="A32" s="135"/>
      <c r="B32" s="451" t="s">
        <v>963</v>
      </c>
      <c r="C32" s="135" t="s">
        <v>1124</v>
      </c>
      <c r="D32" s="144">
        <v>0</v>
      </c>
      <c r="E32" s="308">
        <v>0</v>
      </c>
      <c r="F32" s="144">
        <v>0</v>
      </c>
      <c r="G32" s="144">
        <v>0</v>
      </c>
      <c r="H32" s="147">
        <v>0</v>
      </c>
      <c r="I32" s="495">
        <f t="shared" si="0"/>
        <v>0</v>
      </c>
    </row>
    <row r="33" spans="1:9" x14ac:dyDescent="0.15">
      <c r="A33" s="135"/>
      <c r="B33" s="451" t="s">
        <v>964</v>
      </c>
      <c r="C33" s="135" t="s">
        <v>1094</v>
      </c>
      <c r="D33" s="144">
        <v>0</v>
      </c>
      <c r="E33" s="308">
        <v>0</v>
      </c>
      <c r="F33" s="144">
        <v>0</v>
      </c>
      <c r="G33" s="144">
        <v>0</v>
      </c>
      <c r="H33" s="147">
        <v>0</v>
      </c>
      <c r="I33" s="495">
        <f t="shared" si="0"/>
        <v>0</v>
      </c>
    </row>
    <row r="34" spans="1:9" x14ac:dyDescent="0.15">
      <c r="A34" s="135"/>
      <c r="B34" s="451" t="s">
        <v>965</v>
      </c>
      <c r="C34" s="135" t="s">
        <v>1095</v>
      </c>
      <c r="D34" s="144">
        <v>0</v>
      </c>
      <c r="E34" s="308">
        <v>0</v>
      </c>
      <c r="F34" s="144">
        <v>0</v>
      </c>
      <c r="G34" s="144">
        <v>0</v>
      </c>
      <c r="H34" s="147">
        <v>0</v>
      </c>
      <c r="I34" s="495">
        <f t="shared" si="0"/>
        <v>0</v>
      </c>
    </row>
    <row r="35" spans="1:9" x14ac:dyDescent="0.15">
      <c r="A35" s="135"/>
      <c r="B35" s="451" t="s">
        <v>885</v>
      </c>
      <c r="C35" s="135" t="s">
        <v>1096</v>
      </c>
      <c r="D35" s="144">
        <v>0</v>
      </c>
      <c r="E35" s="308">
        <v>0</v>
      </c>
      <c r="F35" s="144">
        <v>0</v>
      </c>
      <c r="G35" s="144">
        <v>0</v>
      </c>
      <c r="H35" s="147">
        <v>0</v>
      </c>
      <c r="I35" s="495">
        <f t="shared" si="0"/>
        <v>0</v>
      </c>
    </row>
    <row r="36" spans="1:9" x14ac:dyDescent="0.15">
      <c r="A36" s="135"/>
      <c r="B36" s="451" t="s">
        <v>966</v>
      </c>
      <c r="C36" s="135" t="s">
        <v>1097</v>
      </c>
      <c r="D36" s="144">
        <v>0</v>
      </c>
      <c r="E36" s="308">
        <v>0</v>
      </c>
      <c r="F36" s="144">
        <v>0</v>
      </c>
      <c r="G36" s="144">
        <v>0</v>
      </c>
      <c r="H36" s="147">
        <v>0</v>
      </c>
      <c r="I36" s="495">
        <f t="shared" si="0"/>
        <v>0</v>
      </c>
    </row>
    <row r="37" spans="1:9" x14ac:dyDescent="0.15">
      <c r="A37" s="135"/>
      <c r="B37" s="451" t="s">
        <v>886</v>
      </c>
      <c r="C37" s="135" t="s">
        <v>1100</v>
      </c>
      <c r="D37" s="144">
        <v>0</v>
      </c>
      <c r="E37" s="308">
        <v>0</v>
      </c>
      <c r="F37" s="144">
        <v>0</v>
      </c>
      <c r="G37" s="144">
        <v>0</v>
      </c>
      <c r="H37" s="147">
        <v>0</v>
      </c>
      <c r="I37" s="495">
        <f t="shared" si="0"/>
        <v>0</v>
      </c>
    </row>
    <row r="38" spans="1:9" x14ac:dyDescent="0.15">
      <c r="A38" s="135"/>
      <c r="B38" s="451" t="s">
        <v>116</v>
      </c>
      <c r="C38" s="135" t="s">
        <v>1105</v>
      </c>
      <c r="D38" s="144">
        <v>0</v>
      </c>
      <c r="E38" s="308">
        <v>0</v>
      </c>
      <c r="F38" s="144">
        <v>0</v>
      </c>
      <c r="G38" s="144">
        <v>0</v>
      </c>
      <c r="H38" s="147">
        <v>0</v>
      </c>
      <c r="I38" s="495">
        <f t="shared" si="0"/>
        <v>0</v>
      </c>
    </row>
    <row r="39" spans="1:9" x14ac:dyDescent="0.15">
      <c r="A39" s="135"/>
      <c r="B39" s="451" t="s">
        <v>112</v>
      </c>
      <c r="C39" s="135" t="s">
        <v>1110</v>
      </c>
      <c r="D39" s="144">
        <v>0</v>
      </c>
      <c r="E39" s="308">
        <v>0</v>
      </c>
      <c r="F39" s="144">
        <v>0</v>
      </c>
      <c r="G39" s="144">
        <v>0</v>
      </c>
      <c r="H39" s="147">
        <v>0</v>
      </c>
      <c r="I39" s="495">
        <f t="shared" si="0"/>
        <v>0</v>
      </c>
    </row>
    <row r="40" spans="1:9" x14ac:dyDescent="0.15">
      <c r="A40" s="135"/>
      <c r="B40" s="451" t="s">
        <v>887</v>
      </c>
      <c r="C40" s="135" t="s">
        <v>1116</v>
      </c>
      <c r="D40" s="144">
        <v>0</v>
      </c>
      <c r="E40" s="308">
        <v>0</v>
      </c>
      <c r="F40" s="144">
        <v>0</v>
      </c>
      <c r="G40" s="144">
        <v>0</v>
      </c>
      <c r="H40" s="147">
        <v>0</v>
      </c>
      <c r="I40" s="495">
        <f t="shared" si="0"/>
        <v>0</v>
      </c>
    </row>
    <row r="41" spans="1:9" x14ac:dyDescent="0.15">
      <c r="A41" s="135"/>
      <c r="B41" s="451" t="s">
        <v>1112</v>
      </c>
      <c r="C41" s="135" t="s">
        <v>1117</v>
      </c>
      <c r="D41" s="144">
        <v>0</v>
      </c>
      <c r="E41" s="308">
        <v>0</v>
      </c>
      <c r="F41" s="144">
        <v>0</v>
      </c>
      <c r="G41" s="144">
        <v>0</v>
      </c>
      <c r="H41" s="147">
        <v>0</v>
      </c>
      <c r="I41" s="495">
        <f t="shared" si="0"/>
        <v>0</v>
      </c>
    </row>
    <row r="42" spans="1:9" x14ac:dyDescent="0.15">
      <c r="A42" s="135"/>
      <c r="B42" s="451" t="s">
        <v>1113</v>
      </c>
      <c r="C42" s="135" t="s">
        <v>1118</v>
      </c>
      <c r="D42" s="144">
        <v>0</v>
      </c>
      <c r="E42" s="308">
        <v>0</v>
      </c>
      <c r="F42" s="144">
        <v>0</v>
      </c>
      <c r="G42" s="144">
        <v>0</v>
      </c>
      <c r="H42" s="147">
        <v>0</v>
      </c>
      <c r="I42" s="495">
        <f t="shared" si="0"/>
        <v>0</v>
      </c>
    </row>
    <row r="43" spans="1:9" ht="11.25" thickBot="1" x14ac:dyDescent="0.2">
      <c r="A43" s="135"/>
      <c r="B43" s="451" t="s">
        <v>1114</v>
      </c>
      <c r="C43" s="135" t="s">
        <v>1119</v>
      </c>
      <c r="D43" s="144">
        <v>0</v>
      </c>
      <c r="E43" s="308">
        <v>0</v>
      </c>
      <c r="F43" s="144">
        <v>0</v>
      </c>
      <c r="G43" s="285">
        <v>0</v>
      </c>
      <c r="H43" s="147">
        <v>0</v>
      </c>
      <c r="I43" s="495">
        <f t="shared" si="0"/>
        <v>0</v>
      </c>
    </row>
    <row r="44" spans="1:9" ht="12" thickTop="1" thickBot="1" x14ac:dyDescent="0.2">
      <c r="A44" s="135"/>
      <c r="B44" s="451"/>
      <c r="C44" s="135" t="s">
        <v>1122</v>
      </c>
      <c r="D44" s="166">
        <f>SUM(D11:D43)</f>
        <v>0</v>
      </c>
      <c r="E44" s="297">
        <f>SUM(E11:E43)</f>
        <v>0</v>
      </c>
      <c r="F44" s="166">
        <f>SUM(F11:F43)</f>
        <v>0</v>
      </c>
      <c r="G44" s="166">
        <f>SUM(G11:G43)</f>
        <v>0</v>
      </c>
      <c r="H44" s="166">
        <f>SUM(H11:H43)</f>
        <v>0</v>
      </c>
      <c r="I44" s="166">
        <f>SUM(G44+H44)</f>
        <v>0</v>
      </c>
    </row>
    <row r="45" spans="1:9" ht="11.25" thickTop="1" x14ac:dyDescent="0.15">
      <c r="A45" s="135"/>
      <c r="B45" s="451"/>
      <c r="C45" s="135"/>
      <c r="D45" s="14"/>
      <c r="E45" s="301"/>
      <c r="F45" s="14"/>
      <c r="G45" s="14"/>
      <c r="H45" s="14"/>
      <c r="I45" s="491"/>
    </row>
    <row r="46" spans="1:9" x14ac:dyDescent="0.15">
      <c r="A46" s="442" t="s">
        <v>1010</v>
      </c>
      <c r="B46" s="135"/>
      <c r="C46" s="135"/>
      <c r="D46" s="14"/>
      <c r="E46" s="301"/>
      <c r="F46" s="14"/>
      <c r="G46" s="14"/>
      <c r="H46" s="14"/>
      <c r="I46" s="491"/>
    </row>
    <row r="47" spans="1:9" hidden="1" x14ac:dyDescent="0.15">
      <c r="A47" s="416"/>
      <c r="B47" s="453" t="s">
        <v>880</v>
      </c>
      <c r="C47" s="454" t="s">
        <v>1164</v>
      </c>
      <c r="D47" s="308">
        <v>0</v>
      </c>
      <c r="E47" s="308">
        <v>0</v>
      </c>
      <c r="F47" s="308">
        <v>0</v>
      </c>
      <c r="G47" s="458"/>
      <c r="H47" s="457">
        <v>0</v>
      </c>
      <c r="I47" s="494">
        <f>SUM(G47+H47)</f>
        <v>0</v>
      </c>
    </row>
    <row r="48" spans="1:9" x14ac:dyDescent="0.15">
      <c r="A48" s="416"/>
      <c r="B48" s="453" t="s">
        <v>880</v>
      </c>
      <c r="C48" s="454" t="s">
        <v>337</v>
      </c>
      <c r="D48" s="308">
        <v>0</v>
      </c>
      <c r="E48" s="308">
        <v>0</v>
      </c>
      <c r="F48" s="308">
        <v>0</v>
      </c>
      <c r="G48" s="308">
        <v>0</v>
      </c>
      <c r="H48" s="457">
        <v>0</v>
      </c>
      <c r="I48" s="494">
        <f>SUM(G48+H48)</f>
        <v>0</v>
      </c>
    </row>
    <row r="49" spans="1:9" hidden="1" x14ac:dyDescent="0.15">
      <c r="A49" s="454"/>
      <c r="B49" s="453" t="s">
        <v>881</v>
      </c>
      <c r="C49" s="454" t="s">
        <v>382</v>
      </c>
      <c r="D49" s="308">
        <v>0</v>
      </c>
      <c r="E49" s="308">
        <v>0</v>
      </c>
      <c r="F49" s="308">
        <v>0</v>
      </c>
      <c r="G49" s="459"/>
      <c r="H49" s="457">
        <v>0</v>
      </c>
      <c r="I49" s="494">
        <f>SUM(G49+H49)</f>
        <v>0</v>
      </c>
    </row>
    <row r="50" spans="1:9" x14ac:dyDescent="0.15">
      <c r="A50" s="135"/>
      <c r="B50" s="451" t="s">
        <v>881</v>
      </c>
      <c r="C50" s="135" t="s">
        <v>338</v>
      </c>
      <c r="D50" s="144">
        <v>0</v>
      </c>
      <c r="E50" s="308">
        <v>0</v>
      </c>
      <c r="F50" s="144">
        <v>0</v>
      </c>
      <c r="G50" s="144">
        <v>0</v>
      </c>
      <c r="H50" s="147">
        <v>0</v>
      </c>
      <c r="I50" s="495">
        <f>SUM(G50+H50)</f>
        <v>0</v>
      </c>
    </row>
    <row r="51" spans="1:9" x14ac:dyDescent="0.15">
      <c r="A51" s="135"/>
      <c r="B51" s="451" t="s">
        <v>882</v>
      </c>
      <c r="C51" s="135" t="s">
        <v>1058</v>
      </c>
      <c r="D51" s="141">
        <v>0</v>
      </c>
      <c r="E51" s="309">
        <v>0</v>
      </c>
      <c r="F51" s="141">
        <v>0</v>
      </c>
      <c r="G51" s="141">
        <v>0</v>
      </c>
      <c r="H51" s="147">
        <v>0</v>
      </c>
      <c r="I51" s="495">
        <f t="shared" ref="I51:I80" si="2">SUM(G51+H51)</f>
        <v>0</v>
      </c>
    </row>
    <row r="52" spans="1:9" x14ac:dyDescent="0.15">
      <c r="A52" s="135"/>
      <c r="B52" s="451" t="s">
        <v>883</v>
      </c>
      <c r="C52" s="135" t="s">
        <v>1059</v>
      </c>
      <c r="D52" s="141">
        <v>0</v>
      </c>
      <c r="E52" s="309">
        <v>0</v>
      </c>
      <c r="F52" s="141">
        <v>0</v>
      </c>
      <c r="G52" s="141">
        <v>0</v>
      </c>
      <c r="H52" s="147">
        <v>0</v>
      </c>
      <c r="I52" s="495">
        <f t="shared" si="2"/>
        <v>0</v>
      </c>
    </row>
    <row r="53" spans="1:9" x14ac:dyDescent="0.15">
      <c r="A53" s="135"/>
      <c r="B53" s="451" t="s">
        <v>1060</v>
      </c>
      <c r="C53" s="135" t="s">
        <v>1061</v>
      </c>
      <c r="D53" s="141">
        <v>0</v>
      </c>
      <c r="E53" s="309">
        <v>0</v>
      </c>
      <c r="F53" s="141">
        <v>0</v>
      </c>
      <c r="G53" s="141">
        <v>0</v>
      </c>
      <c r="H53" s="147">
        <v>0</v>
      </c>
      <c r="I53" s="495">
        <f t="shared" si="2"/>
        <v>0</v>
      </c>
    </row>
    <row r="54" spans="1:9" x14ac:dyDescent="0.15">
      <c r="A54" s="135"/>
      <c r="B54" s="451" t="s">
        <v>1062</v>
      </c>
      <c r="C54" s="135" t="s">
        <v>1063</v>
      </c>
      <c r="D54" s="141">
        <v>0</v>
      </c>
      <c r="E54" s="309">
        <v>0</v>
      </c>
      <c r="F54" s="141">
        <v>0</v>
      </c>
      <c r="G54" s="141">
        <v>0</v>
      </c>
      <c r="H54" s="147">
        <v>0</v>
      </c>
      <c r="I54" s="495">
        <f t="shared" si="2"/>
        <v>0</v>
      </c>
    </row>
    <row r="55" spans="1:9" x14ac:dyDescent="0.15">
      <c r="A55" s="135"/>
      <c r="B55" s="451" t="s">
        <v>884</v>
      </c>
      <c r="C55" s="135" t="s">
        <v>1064</v>
      </c>
      <c r="D55" s="141">
        <v>0</v>
      </c>
      <c r="E55" s="309">
        <v>0</v>
      </c>
      <c r="F55" s="141">
        <v>0</v>
      </c>
      <c r="G55" s="141">
        <v>0</v>
      </c>
      <c r="H55" s="147">
        <v>0</v>
      </c>
      <c r="I55" s="495">
        <f t="shared" si="2"/>
        <v>0</v>
      </c>
    </row>
    <row r="56" spans="1:9" x14ac:dyDescent="0.15">
      <c r="A56" s="135"/>
      <c r="B56" s="451" t="s">
        <v>1067</v>
      </c>
      <c r="C56" s="135" t="s">
        <v>1074</v>
      </c>
      <c r="D56" s="141">
        <v>0</v>
      </c>
      <c r="E56" s="309">
        <v>0</v>
      </c>
      <c r="F56" s="141">
        <v>0</v>
      </c>
      <c r="G56" s="141">
        <v>0</v>
      </c>
      <c r="H56" s="147">
        <v>0</v>
      </c>
      <c r="I56" s="495">
        <f t="shared" si="2"/>
        <v>0</v>
      </c>
    </row>
    <row r="57" spans="1:9" x14ac:dyDescent="0.15">
      <c r="A57" s="135"/>
      <c r="B57" s="451" t="s">
        <v>1072</v>
      </c>
      <c r="C57" s="135" t="s">
        <v>920</v>
      </c>
      <c r="D57" s="141">
        <v>0</v>
      </c>
      <c r="E57" s="309">
        <v>0</v>
      </c>
      <c r="F57" s="141">
        <v>0</v>
      </c>
      <c r="G57" s="141">
        <v>0</v>
      </c>
      <c r="H57" s="147">
        <v>0</v>
      </c>
      <c r="I57" s="495">
        <f t="shared" si="2"/>
        <v>0</v>
      </c>
    </row>
    <row r="58" spans="1:9" x14ac:dyDescent="0.15">
      <c r="A58" s="135"/>
      <c r="B58" s="716" t="s">
        <v>155</v>
      </c>
      <c r="C58" s="703" t="s">
        <v>178</v>
      </c>
      <c r="D58" s="141">
        <v>0</v>
      </c>
      <c r="E58" s="309">
        <v>0</v>
      </c>
      <c r="F58" s="141">
        <v>0</v>
      </c>
      <c r="G58" s="141">
        <v>0</v>
      </c>
      <c r="H58" s="147">
        <v>0</v>
      </c>
      <c r="I58" s="495">
        <f t="shared" ref="I58" si="3">SUM(G58+H58)</f>
        <v>0</v>
      </c>
    </row>
    <row r="59" spans="1:9" x14ac:dyDescent="0.15">
      <c r="A59" s="135"/>
      <c r="B59" s="451" t="s">
        <v>921</v>
      </c>
      <c r="C59" s="135" t="s">
        <v>955</v>
      </c>
      <c r="D59" s="141">
        <v>0</v>
      </c>
      <c r="E59" s="309">
        <v>0</v>
      </c>
      <c r="F59" s="141">
        <v>0</v>
      </c>
      <c r="G59" s="141">
        <v>0</v>
      </c>
      <c r="H59" s="147">
        <v>0</v>
      </c>
      <c r="I59" s="495">
        <f t="shared" si="2"/>
        <v>0</v>
      </c>
    </row>
    <row r="60" spans="1:9" x14ac:dyDescent="0.15">
      <c r="A60" s="135"/>
      <c r="B60" s="451" t="s">
        <v>922</v>
      </c>
      <c r="C60" s="135" t="s">
        <v>1123</v>
      </c>
      <c r="D60" s="141">
        <v>0</v>
      </c>
      <c r="E60" s="309">
        <v>0</v>
      </c>
      <c r="F60" s="141">
        <v>0</v>
      </c>
      <c r="G60" s="141">
        <v>0</v>
      </c>
      <c r="H60" s="147">
        <v>0</v>
      </c>
      <c r="I60" s="495">
        <f t="shared" si="2"/>
        <v>0</v>
      </c>
    </row>
    <row r="61" spans="1:9" x14ac:dyDescent="0.15">
      <c r="A61" s="135"/>
      <c r="B61" s="451" t="s">
        <v>923</v>
      </c>
      <c r="C61" s="135" t="s">
        <v>957</v>
      </c>
      <c r="D61" s="141">
        <v>0</v>
      </c>
      <c r="E61" s="309">
        <v>0</v>
      </c>
      <c r="F61" s="141">
        <v>0</v>
      </c>
      <c r="G61" s="141">
        <v>0</v>
      </c>
      <c r="H61" s="147">
        <v>0</v>
      </c>
      <c r="I61" s="495">
        <f t="shared" si="2"/>
        <v>0</v>
      </c>
    </row>
    <row r="62" spans="1:9" x14ac:dyDescent="0.15">
      <c r="A62" s="135"/>
      <c r="B62" s="451" t="s">
        <v>924</v>
      </c>
      <c r="C62" s="135" t="s">
        <v>958</v>
      </c>
      <c r="D62" s="141">
        <v>0</v>
      </c>
      <c r="E62" s="309">
        <v>0</v>
      </c>
      <c r="F62" s="141">
        <v>0</v>
      </c>
      <c r="G62" s="141">
        <v>0</v>
      </c>
      <c r="H62" s="147">
        <v>0</v>
      </c>
      <c r="I62" s="495">
        <f t="shared" si="2"/>
        <v>0</v>
      </c>
    </row>
    <row r="63" spans="1:9" x14ac:dyDescent="0.15">
      <c r="A63" s="135"/>
      <c r="B63" s="451" t="s">
        <v>925</v>
      </c>
      <c r="C63" s="135" t="s">
        <v>1128</v>
      </c>
      <c r="D63" s="141">
        <v>0</v>
      </c>
      <c r="E63" s="309">
        <v>0</v>
      </c>
      <c r="F63" s="141">
        <v>0</v>
      </c>
      <c r="G63" s="141">
        <v>0</v>
      </c>
      <c r="H63" s="147">
        <v>0</v>
      </c>
      <c r="I63" s="495">
        <f t="shared" si="2"/>
        <v>0</v>
      </c>
    </row>
    <row r="64" spans="1:9" x14ac:dyDescent="0.15">
      <c r="A64" s="135"/>
      <c r="B64" s="451" t="s">
        <v>926</v>
      </c>
      <c r="C64" s="135" t="s">
        <v>1129</v>
      </c>
      <c r="D64" s="141">
        <v>0</v>
      </c>
      <c r="E64" s="309">
        <v>0</v>
      </c>
      <c r="F64" s="141">
        <v>0</v>
      </c>
      <c r="G64" s="141">
        <v>0</v>
      </c>
      <c r="H64" s="147">
        <v>0</v>
      </c>
      <c r="I64" s="495">
        <f t="shared" si="2"/>
        <v>0</v>
      </c>
    </row>
    <row r="65" spans="1:9" x14ac:dyDescent="0.15">
      <c r="A65" s="135"/>
      <c r="B65" s="451" t="s">
        <v>927</v>
      </c>
      <c r="C65" s="135" t="s">
        <v>959</v>
      </c>
      <c r="D65" s="141">
        <v>0</v>
      </c>
      <c r="E65" s="309">
        <v>0</v>
      </c>
      <c r="F65" s="141">
        <v>0</v>
      </c>
      <c r="G65" s="141">
        <v>0</v>
      </c>
      <c r="H65" s="147">
        <v>0</v>
      </c>
      <c r="I65" s="495">
        <f t="shared" si="2"/>
        <v>0</v>
      </c>
    </row>
    <row r="66" spans="1:9" x14ac:dyDescent="0.15">
      <c r="A66" s="135"/>
      <c r="B66" s="451" t="s">
        <v>928</v>
      </c>
      <c r="C66" s="135" t="s">
        <v>961</v>
      </c>
      <c r="D66" s="141">
        <v>0</v>
      </c>
      <c r="E66" s="309">
        <v>0</v>
      </c>
      <c r="F66" s="141">
        <v>0</v>
      </c>
      <c r="G66" s="141">
        <v>0</v>
      </c>
      <c r="H66" s="147">
        <v>0</v>
      </c>
      <c r="I66" s="495">
        <f t="shared" si="2"/>
        <v>0</v>
      </c>
    </row>
    <row r="67" spans="1:9" x14ac:dyDescent="0.15">
      <c r="A67" s="135"/>
      <c r="B67" s="451" t="s">
        <v>962</v>
      </c>
      <c r="C67" s="135" t="s">
        <v>967</v>
      </c>
      <c r="D67" s="141">
        <v>0</v>
      </c>
      <c r="E67" s="309">
        <v>0</v>
      </c>
      <c r="F67" s="141">
        <v>0</v>
      </c>
      <c r="G67" s="141">
        <v>0</v>
      </c>
      <c r="H67" s="147">
        <v>0</v>
      </c>
      <c r="I67" s="495">
        <f t="shared" si="2"/>
        <v>0</v>
      </c>
    </row>
    <row r="68" spans="1:9" x14ac:dyDescent="0.15">
      <c r="A68" s="135"/>
      <c r="B68" s="451" t="s">
        <v>963</v>
      </c>
      <c r="C68" s="135" t="s">
        <v>1124</v>
      </c>
      <c r="D68" s="141">
        <v>0</v>
      </c>
      <c r="E68" s="309">
        <v>0</v>
      </c>
      <c r="F68" s="141">
        <v>0</v>
      </c>
      <c r="G68" s="141">
        <v>0</v>
      </c>
      <c r="H68" s="147">
        <v>0</v>
      </c>
      <c r="I68" s="495">
        <f t="shared" si="2"/>
        <v>0</v>
      </c>
    </row>
    <row r="69" spans="1:9" x14ac:dyDescent="0.15">
      <c r="A69" s="135"/>
      <c r="B69" s="451" t="s">
        <v>964</v>
      </c>
      <c r="C69" s="135" t="s">
        <v>1094</v>
      </c>
      <c r="D69" s="141">
        <v>0</v>
      </c>
      <c r="E69" s="309">
        <v>0</v>
      </c>
      <c r="F69" s="141">
        <v>0</v>
      </c>
      <c r="G69" s="141">
        <v>0</v>
      </c>
      <c r="H69" s="147">
        <v>0</v>
      </c>
      <c r="I69" s="495">
        <f t="shared" si="2"/>
        <v>0</v>
      </c>
    </row>
    <row r="70" spans="1:9" x14ac:dyDescent="0.15">
      <c r="A70" s="135"/>
      <c r="B70" s="451" t="s">
        <v>965</v>
      </c>
      <c r="C70" s="135" t="s">
        <v>1095</v>
      </c>
      <c r="D70" s="141">
        <v>0</v>
      </c>
      <c r="E70" s="309">
        <v>0</v>
      </c>
      <c r="F70" s="141">
        <v>0</v>
      </c>
      <c r="G70" s="141">
        <v>0</v>
      </c>
      <c r="H70" s="147">
        <v>0</v>
      </c>
      <c r="I70" s="495">
        <f t="shared" si="2"/>
        <v>0</v>
      </c>
    </row>
    <row r="71" spans="1:9" x14ac:dyDescent="0.15">
      <c r="A71" s="135"/>
      <c r="B71" s="451" t="s">
        <v>885</v>
      </c>
      <c r="C71" s="135" t="s">
        <v>1096</v>
      </c>
      <c r="D71" s="141">
        <v>0</v>
      </c>
      <c r="E71" s="309">
        <v>0</v>
      </c>
      <c r="F71" s="141">
        <v>0</v>
      </c>
      <c r="G71" s="141">
        <v>0</v>
      </c>
      <c r="H71" s="147">
        <v>0</v>
      </c>
      <c r="I71" s="495">
        <f t="shared" si="2"/>
        <v>0</v>
      </c>
    </row>
    <row r="72" spans="1:9" x14ac:dyDescent="0.15">
      <c r="A72" s="135"/>
      <c r="B72" s="451" t="s">
        <v>966</v>
      </c>
      <c r="C72" s="135" t="s">
        <v>1097</v>
      </c>
      <c r="D72" s="141">
        <v>0</v>
      </c>
      <c r="E72" s="309">
        <v>0</v>
      </c>
      <c r="F72" s="141">
        <v>0</v>
      </c>
      <c r="G72" s="141">
        <v>0</v>
      </c>
      <c r="H72" s="147">
        <v>0</v>
      </c>
      <c r="I72" s="495">
        <f t="shared" si="2"/>
        <v>0</v>
      </c>
    </row>
    <row r="73" spans="1:9" x14ac:dyDescent="0.15">
      <c r="A73" s="135"/>
      <c r="B73" s="451" t="s">
        <v>886</v>
      </c>
      <c r="C73" s="135" t="s">
        <v>1100</v>
      </c>
      <c r="D73" s="141">
        <v>0</v>
      </c>
      <c r="E73" s="309">
        <v>0</v>
      </c>
      <c r="F73" s="141">
        <v>0</v>
      </c>
      <c r="G73" s="141">
        <v>0</v>
      </c>
      <c r="H73" s="147">
        <v>0</v>
      </c>
      <c r="I73" s="495">
        <f t="shared" si="2"/>
        <v>0</v>
      </c>
    </row>
    <row r="74" spans="1:9" x14ac:dyDescent="0.15">
      <c r="A74" s="135"/>
      <c r="B74" s="451" t="s">
        <v>116</v>
      </c>
      <c r="C74" s="135" t="s">
        <v>1105</v>
      </c>
      <c r="D74" s="141">
        <v>0</v>
      </c>
      <c r="E74" s="309">
        <v>0</v>
      </c>
      <c r="F74" s="141">
        <v>0</v>
      </c>
      <c r="G74" s="141">
        <v>0</v>
      </c>
      <c r="H74" s="147">
        <v>0</v>
      </c>
      <c r="I74" s="495">
        <f t="shared" si="2"/>
        <v>0</v>
      </c>
    </row>
    <row r="75" spans="1:9" x14ac:dyDescent="0.15">
      <c r="A75" s="135"/>
      <c r="B75" s="451" t="s">
        <v>112</v>
      </c>
      <c r="C75" s="135" t="s">
        <v>1110</v>
      </c>
      <c r="D75" s="141">
        <v>0</v>
      </c>
      <c r="E75" s="309">
        <v>0</v>
      </c>
      <c r="F75" s="141">
        <v>0</v>
      </c>
      <c r="G75" s="141">
        <v>0</v>
      </c>
      <c r="H75" s="147">
        <v>0</v>
      </c>
      <c r="I75" s="495">
        <f t="shared" si="2"/>
        <v>0</v>
      </c>
    </row>
    <row r="76" spans="1:9" x14ac:dyDescent="0.15">
      <c r="A76" s="135"/>
      <c r="B76" s="451" t="s">
        <v>887</v>
      </c>
      <c r="C76" s="135" t="s">
        <v>1116</v>
      </c>
      <c r="D76" s="141">
        <v>0</v>
      </c>
      <c r="E76" s="309">
        <v>0</v>
      </c>
      <c r="F76" s="141">
        <v>0</v>
      </c>
      <c r="G76" s="141">
        <v>0</v>
      </c>
      <c r="H76" s="147">
        <v>0</v>
      </c>
      <c r="I76" s="495">
        <f t="shared" si="2"/>
        <v>0</v>
      </c>
    </row>
    <row r="77" spans="1:9" x14ac:dyDescent="0.15">
      <c r="A77" s="135"/>
      <c r="B77" s="451" t="s">
        <v>1112</v>
      </c>
      <c r="C77" s="135" t="s">
        <v>1117</v>
      </c>
      <c r="D77" s="141">
        <v>0</v>
      </c>
      <c r="E77" s="309">
        <v>0</v>
      </c>
      <c r="F77" s="141">
        <v>0</v>
      </c>
      <c r="G77" s="141">
        <v>0</v>
      </c>
      <c r="H77" s="147">
        <v>0</v>
      </c>
      <c r="I77" s="495">
        <f t="shared" si="2"/>
        <v>0</v>
      </c>
    </row>
    <row r="78" spans="1:9" x14ac:dyDescent="0.15">
      <c r="A78" s="135"/>
      <c r="B78" s="451" t="s">
        <v>1113</v>
      </c>
      <c r="C78" s="135" t="s">
        <v>1118</v>
      </c>
      <c r="D78" s="141">
        <v>0</v>
      </c>
      <c r="E78" s="309">
        <v>0</v>
      </c>
      <c r="F78" s="141">
        <v>0</v>
      </c>
      <c r="G78" s="141">
        <v>0</v>
      </c>
      <c r="H78" s="147">
        <v>0</v>
      </c>
      <c r="I78" s="495">
        <f t="shared" si="2"/>
        <v>0</v>
      </c>
    </row>
    <row r="79" spans="1:9" ht="11.25" thickBot="1" x14ac:dyDescent="0.2">
      <c r="A79" s="135"/>
      <c r="B79" s="451" t="s">
        <v>1114</v>
      </c>
      <c r="C79" s="135" t="s">
        <v>1119</v>
      </c>
      <c r="D79" s="141">
        <v>0</v>
      </c>
      <c r="E79" s="309">
        <v>0</v>
      </c>
      <c r="F79" s="141">
        <v>0</v>
      </c>
      <c r="G79" s="285">
        <v>0</v>
      </c>
      <c r="H79" s="147">
        <v>0</v>
      </c>
      <c r="I79" s="495">
        <f t="shared" si="2"/>
        <v>0</v>
      </c>
    </row>
    <row r="80" spans="1:9" ht="12" thickTop="1" thickBot="1" x14ac:dyDescent="0.2">
      <c r="A80" s="135"/>
      <c r="B80" s="451"/>
      <c r="C80" s="135" t="s">
        <v>1011</v>
      </c>
      <c r="D80" s="166">
        <f>SUM(D47:D79)</f>
        <v>0</v>
      </c>
      <c r="E80" s="297">
        <f>SUM(E47:E79)</f>
        <v>0</v>
      </c>
      <c r="F80" s="166">
        <f>SUM(F47:F79)</f>
        <v>0</v>
      </c>
      <c r="G80" s="166">
        <f>SUM(G47:G79)</f>
        <v>0</v>
      </c>
      <c r="H80" s="166">
        <f>SUM(H47:H79)</f>
        <v>0</v>
      </c>
      <c r="I80" s="166">
        <f t="shared" si="2"/>
        <v>0</v>
      </c>
    </row>
    <row r="81" spans="1:9" ht="11.25" thickTop="1" x14ac:dyDescent="0.15">
      <c r="A81" s="135"/>
      <c r="B81" s="135"/>
      <c r="C81" s="135"/>
      <c r="D81" s="14"/>
      <c r="E81" s="301"/>
      <c r="F81" s="14"/>
      <c r="G81" s="14"/>
      <c r="H81" s="14"/>
      <c r="I81" s="491"/>
    </row>
    <row r="82" spans="1:9" x14ac:dyDescent="0.15">
      <c r="A82" s="442" t="s">
        <v>1009</v>
      </c>
      <c r="B82" s="442"/>
      <c r="C82" s="442"/>
      <c r="D82" s="14"/>
      <c r="E82" s="301"/>
      <c r="F82" s="14"/>
      <c r="G82" s="14"/>
      <c r="H82" s="14"/>
      <c r="I82" s="491"/>
    </row>
    <row r="83" spans="1:9" hidden="1" x14ac:dyDescent="0.15">
      <c r="A83" s="416"/>
      <c r="B83" s="453" t="s">
        <v>880</v>
      </c>
      <c r="C83" s="454" t="s">
        <v>1164</v>
      </c>
      <c r="D83" s="308">
        <v>0</v>
      </c>
      <c r="E83" s="308">
        <v>0</v>
      </c>
      <c r="F83" s="308">
        <v>0</v>
      </c>
      <c r="G83" s="458"/>
      <c r="H83" s="457">
        <v>0</v>
      </c>
      <c r="I83" s="494">
        <f>SUM(G83+H83)</f>
        <v>0</v>
      </c>
    </row>
    <row r="84" spans="1:9" x14ac:dyDescent="0.15">
      <c r="A84" s="416"/>
      <c r="B84" s="453" t="s">
        <v>880</v>
      </c>
      <c r="C84" s="454" t="s">
        <v>337</v>
      </c>
      <c r="D84" s="308">
        <v>0</v>
      </c>
      <c r="E84" s="308">
        <v>0</v>
      </c>
      <c r="F84" s="308">
        <v>0</v>
      </c>
      <c r="G84" s="308">
        <v>0</v>
      </c>
      <c r="H84" s="457">
        <v>0</v>
      </c>
      <c r="I84" s="494">
        <f>SUM(G84+H84)</f>
        <v>0</v>
      </c>
    </row>
    <row r="85" spans="1:9" hidden="1" x14ac:dyDescent="0.15">
      <c r="A85" s="454"/>
      <c r="B85" s="453" t="s">
        <v>881</v>
      </c>
      <c r="C85" s="454" t="s">
        <v>382</v>
      </c>
      <c r="D85" s="308">
        <v>0</v>
      </c>
      <c r="E85" s="308">
        <v>0</v>
      </c>
      <c r="F85" s="308">
        <v>0</v>
      </c>
      <c r="G85" s="459"/>
      <c r="H85" s="457">
        <v>0</v>
      </c>
      <c r="I85" s="494">
        <f>SUM(G85+H85)</f>
        <v>0</v>
      </c>
    </row>
    <row r="86" spans="1:9" x14ac:dyDescent="0.15">
      <c r="A86" s="135"/>
      <c r="B86" s="451" t="s">
        <v>881</v>
      </c>
      <c r="C86" s="135" t="s">
        <v>338</v>
      </c>
      <c r="D86" s="144">
        <v>0</v>
      </c>
      <c r="E86" s="308">
        <v>0</v>
      </c>
      <c r="F86" s="144">
        <v>0</v>
      </c>
      <c r="G86" s="144">
        <v>0</v>
      </c>
      <c r="H86" s="147">
        <v>0</v>
      </c>
      <c r="I86" s="495">
        <f>SUM(G86+H86)</f>
        <v>0</v>
      </c>
    </row>
    <row r="87" spans="1:9" x14ac:dyDescent="0.15">
      <c r="A87" s="135"/>
      <c r="B87" s="451" t="s">
        <v>882</v>
      </c>
      <c r="C87" s="135" t="s">
        <v>1058</v>
      </c>
      <c r="D87" s="141">
        <v>0</v>
      </c>
      <c r="E87" s="309">
        <v>0</v>
      </c>
      <c r="F87" s="141">
        <v>0</v>
      </c>
      <c r="G87" s="141">
        <v>0</v>
      </c>
      <c r="H87" s="147">
        <v>0</v>
      </c>
      <c r="I87" s="495">
        <f t="shared" ref="I87:I116" si="4">SUM(G87+H87)</f>
        <v>0</v>
      </c>
    </row>
    <row r="88" spans="1:9" x14ac:dyDescent="0.15">
      <c r="A88" s="135"/>
      <c r="B88" s="451" t="s">
        <v>883</v>
      </c>
      <c r="C88" s="135" t="s">
        <v>1059</v>
      </c>
      <c r="D88" s="141">
        <v>0</v>
      </c>
      <c r="E88" s="309">
        <v>0</v>
      </c>
      <c r="F88" s="141">
        <v>0</v>
      </c>
      <c r="G88" s="141">
        <v>0</v>
      </c>
      <c r="H88" s="147">
        <v>0</v>
      </c>
      <c r="I88" s="495">
        <f t="shared" si="4"/>
        <v>0</v>
      </c>
    </row>
    <row r="89" spans="1:9" x14ac:dyDescent="0.15">
      <c r="A89" s="135"/>
      <c r="B89" s="451" t="s">
        <v>1060</v>
      </c>
      <c r="C89" s="135" t="s">
        <v>1061</v>
      </c>
      <c r="D89" s="141">
        <v>0</v>
      </c>
      <c r="E89" s="309">
        <v>0</v>
      </c>
      <c r="F89" s="141">
        <v>0</v>
      </c>
      <c r="G89" s="141">
        <v>0</v>
      </c>
      <c r="H89" s="147">
        <v>0</v>
      </c>
      <c r="I89" s="495">
        <f t="shared" si="4"/>
        <v>0</v>
      </c>
    </row>
    <row r="90" spans="1:9" x14ac:dyDescent="0.15">
      <c r="A90" s="135"/>
      <c r="B90" s="451" t="s">
        <v>1062</v>
      </c>
      <c r="C90" s="135" t="s">
        <v>1063</v>
      </c>
      <c r="D90" s="141">
        <v>0</v>
      </c>
      <c r="E90" s="309">
        <v>0</v>
      </c>
      <c r="F90" s="141">
        <v>0</v>
      </c>
      <c r="G90" s="141">
        <v>0</v>
      </c>
      <c r="H90" s="147">
        <v>0</v>
      </c>
      <c r="I90" s="495">
        <f t="shared" si="4"/>
        <v>0</v>
      </c>
    </row>
    <row r="91" spans="1:9" x14ac:dyDescent="0.15">
      <c r="A91" s="135"/>
      <c r="B91" s="451" t="s">
        <v>884</v>
      </c>
      <c r="C91" s="135" t="s">
        <v>1064</v>
      </c>
      <c r="D91" s="141">
        <v>0</v>
      </c>
      <c r="E91" s="309">
        <v>0</v>
      </c>
      <c r="F91" s="141">
        <v>0</v>
      </c>
      <c r="G91" s="141">
        <v>0</v>
      </c>
      <c r="H91" s="147">
        <v>0</v>
      </c>
      <c r="I91" s="495">
        <f t="shared" si="4"/>
        <v>0</v>
      </c>
    </row>
    <row r="92" spans="1:9" x14ac:dyDescent="0.15">
      <c r="A92" s="135"/>
      <c r="B92" s="451" t="s">
        <v>1067</v>
      </c>
      <c r="C92" s="135" t="s">
        <v>1074</v>
      </c>
      <c r="D92" s="141">
        <v>0</v>
      </c>
      <c r="E92" s="309">
        <v>0</v>
      </c>
      <c r="F92" s="141">
        <v>0</v>
      </c>
      <c r="G92" s="141">
        <v>0</v>
      </c>
      <c r="H92" s="147">
        <v>0</v>
      </c>
      <c r="I92" s="495">
        <f t="shared" si="4"/>
        <v>0</v>
      </c>
    </row>
    <row r="93" spans="1:9" x14ac:dyDescent="0.15">
      <c r="A93" s="135"/>
      <c r="B93" s="451" t="s">
        <v>1072</v>
      </c>
      <c r="C93" s="135" t="s">
        <v>920</v>
      </c>
      <c r="D93" s="141">
        <v>0</v>
      </c>
      <c r="E93" s="309">
        <v>0</v>
      </c>
      <c r="F93" s="141">
        <v>0</v>
      </c>
      <c r="G93" s="141">
        <v>0</v>
      </c>
      <c r="H93" s="147">
        <v>0</v>
      </c>
      <c r="I93" s="495">
        <f t="shared" si="4"/>
        <v>0</v>
      </c>
    </row>
    <row r="94" spans="1:9" x14ac:dyDescent="0.15">
      <c r="A94" s="135"/>
      <c r="B94" s="716" t="s">
        <v>155</v>
      </c>
      <c r="C94" s="703" t="s">
        <v>178</v>
      </c>
      <c r="D94" s="141">
        <v>0</v>
      </c>
      <c r="E94" s="309">
        <v>0</v>
      </c>
      <c r="F94" s="141">
        <v>0</v>
      </c>
      <c r="G94" s="141">
        <v>0</v>
      </c>
      <c r="H94" s="147">
        <v>0</v>
      </c>
      <c r="I94" s="495">
        <f t="shared" ref="I94" si="5">SUM(G94+H94)</f>
        <v>0</v>
      </c>
    </row>
    <row r="95" spans="1:9" x14ac:dyDescent="0.15">
      <c r="A95" s="135"/>
      <c r="B95" s="451" t="s">
        <v>921</v>
      </c>
      <c r="C95" s="135" t="s">
        <v>955</v>
      </c>
      <c r="D95" s="141">
        <v>0</v>
      </c>
      <c r="E95" s="309">
        <v>0</v>
      </c>
      <c r="F95" s="141">
        <v>0</v>
      </c>
      <c r="G95" s="141">
        <v>0</v>
      </c>
      <c r="H95" s="147">
        <v>0</v>
      </c>
      <c r="I95" s="495">
        <f t="shared" si="4"/>
        <v>0</v>
      </c>
    </row>
    <row r="96" spans="1:9" x14ac:dyDescent="0.15">
      <c r="A96" s="135"/>
      <c r="B96" s="451" t="s">
        <v>922</v>
      </c>
      <c r="C96" s="135" t="s">
        <v>1123</v>
      </c>
      <c r="D96" s="141">
        <v>0</v>
      </c>
      <c r="E96" s="309">
        <v>0</v>
      </c>
      <c r="F96" s="141">
        <v>0</v>
      </c>
      <c r="G96" s="141">
        <v>0</v>
      </c>
      <c r="H96" s="147">
        <v>0</v>
      </c>
      <c r="I96" s="495">
        <f t="shared" si="4"/>
        <v>0</v>
      </c>
    </row>
    <row r="97" spans="1:9" x14ac:dyDescent="0.15">
      <c r="A97" s="135"/>
      <c r="B97" s="451" t="s">
        <v>923</v>
      </c>
      <c r="C97" s="135" t="s">
        <v>957</v>
      </c>
      <c r="D97" s="141">
        <v>0</v>
      </c>
      <c r="E97" s="309">
        <v>0</v>
      </c>
      <c r="F97" s="141">
        <v>0</v>
      </c>
      <c r="G97" s="141">
        <v>0</v>
      </c>
      <c r="H97" s="147">
        <v>0</v>
      </c>
      <c r="I97" s="495">
        <f t="shared" si="4"/>
        <v>0</v>
      </c>
    </row>
    <row r="98" spans="1:9" x14ac:dyDescent="0.15">
      <c r="A98" s="135"/>
      <c r="B98" s="451" t="s">
        <v>924</v>
      </c>
      <c r="C98" s="135" t="s">
        <v>958</v>
      </c>
      <c r="D98" s="141">
        <v>0</v>
      </c>
      <c r="E98" s="309">
        <v>0</v>
      </c>
      <c r="F98" s="141">
        <v>0</v>
      </c>
      <c r="G98" s="141">
        <v>0</v>
      </c>
      <c r="H98" s="147">
        <v>0</v>
      </c>
      <c r="I98" s="495">
        <f t="shared" si="4"/>
        <v>0</v>
      </c>
    </row>
    <row r="99" spans="1:9" x14ac:dyDescent="0.15">
      <c r="A99" s="135"/>
      <c r="B99" s="451" t="s">
        <v>925</v>
      </c>
      <c r="C99" s="135" t="s">
        <v>1128</v>
      </c>
      <c r="D99" s="141">
        <v>0</v>
      </c>
      <c r="E99" s="309">
        <v>0</v>
      </c>
      <c r="F99" s="141">
        <v>0</v>
      </c>
      <c r="G99" s="141">
        <v>0</v>
      </c>
      <c r="H99" s="147">
        <v>0</v>
      </c>
      <c r="I99" s="495">
        <f t="shared" si="4"/>
        <v>0</v>
      </c>
    </row>
    <row r="100" spans="1:9" x14ac:dyDescent="0.15">
      <c r="A100" s="135"/>
      <c r="B100" s="451" t="s">
        <v>926</v>
      </c>
      <c r="C100" s="135" t="s">
        <v>1129</v>
      </c>
      <c r="D100" s="141">
        <v>0</v>
      </c>
      <c r="E100" s="309">
        <v>0</v>
      </c>
      <c r="F100" s="141">
        <v>0</v>
      </c>
      <c r="G100" s="141">
        <v>0</v>
      </c>
      <c r="H100" s="147">
        <v>0</v>
      </c>
      <c r="I100" s="495">
        <f t="shared" si="4"/>
        <v>0</v>
      </c>
    </row>
    <row r="101" spans="1:9" x14ac:dyDescent="0.15">
      <c r="A101" s="135"/>
      <c r="B101" s="451" t="s">
        <v>927</v>
      </c>
      <c r="C101" s="135" t="s">
        <v>959</v>
      </c>
      <c r="D101" s="141">
        <v>0</v>
      </c>
      <c r="E101" s="309">
        <v>0</v>
      </c>
      <c r="F101" s="141">
        <v>0</v>
      </c>
      <c r="G101" s="141">
        <v>0</v>
      </c>
      <c r="H101" s="147">
        <v>0</v>
      </c>
      <c r="I101" s="495">
        <f t="shared" si="4"/>
        <v>0</v>
      </c>
    </row>
    <row r="102" spans="1:9" x14ac:dyDescent="0.15">
      <c r="A102" s="135"/>
      <c r="B102" s="451" t="s">
        <v>928</v>
      </c>
      <c r="C102" s="135" t="s">
        <v>961</v>
      </c>
      <c r="D102" s="141">
        <v>0</v>
      </c>
      <c r="E102" s="309">
        <v>0</v>
      </c>
      <c r="F102" s="141">
        <v>0</v>
      </c>
      <c r="G102" s="141">
        <v>0</v>
      </c>
      <c r="H102" s="147">
        <v>0</v>
      </c>
      <c r="I102" s="495">
        <f t="shared" si="4"/>
        <v>0</v>
      </c>
    </row>
    <row r="103" spans="1:9" x14ac:dyDescent="0.15">
      <c r="A103" s="135"/>
      <c r="B103" s="451" t="s">
        <v>962</v>
      </c>
      <c r="C103" s="135" t="s">
        <v>967</v>
      </c>
      <c r="D103" s="141">
        <v>0</v>
      </c>
      <c r="E103" s="309">
        <v>0</v>
      </c>
      <c r="F103" s="141">
        <v>0</v>
      </c>
      <c r="G103" s="141">
        <v>0</v>
      </c>
      <c r="H103" s="147">
        <v>0</v>
      </c>
      <c r="I103" s="495">
        <f t="shared" si="4"/>
        <v>0</v>
      </c>
    </row>
    <row r="104" spans="1:9" x14ac:dyDescent="0.15">
      <c r="A104" s="135"/>
      <c r="B104" s="451" t="s">
        <v>963</v>
      </c>
      <c r="C104" s="135" t="s">
        <v>1124</v>
      </c>
      <c r="D104" s="141">
        <v>0</v>
      </c>
      <c r="E104" s="309">
        <v>0</v>
      </c>
      <c r="F104" s="141">
        <v>0</v>
      </c>
      <c r="G104" s="141">
        <v>0</v>
      </c>
      <c r="H104" s="147">
        <v>0</v>
      </c>
      <c r="I104" s="495">
        <f t="shared" si="4"/>
        <v>0</v>
      </c>
    </row>
    <row r="105" spans="1:9" x14ac:dyDescent="0.15">
      <c r="A105" s="135"/>
      <c r="B105" s="451" t="s">
        <v>964</v>
      </c>
      <c r="C105" s="135" t="s">
        <v>1094</v>
      </c>
      <c r="D105" s="141">
        <v>0</v>
      </c>
      <c r="E105" s="309">
        <v>0</v>
      </c>
      <c r="F105" s="141">
        <v>0</v>
      </c>
      <c r="G105" s="141">
        <v>0</v>
      </c>
      <c r="H105" s="147">
        <v>0</v>
      </c>
      <c r="I105" s="495">
        <f t="shared" si="4"/>
        <v>0</v>
      </c>
    </row>
    <row r="106" spans="1:9" x14ac:dyDescent="0.15">
      <c r="A106" s="135"/>
      <c r="B106" s="451" t="s">
        <v>965</v>
      </c>
      <c r="C106" s="135" t="s">
        <v>1095</v>
      </c>
      <c r="D106" s="141">
        <v>0</v>
      </c>
      <c r="E106" s="309">
        <v>0</v>
      </c>
      <c r="F106" s="141">
        <v>0</v>
      </c>
      <c r="G106" s="141">
        <v>0</v>
      </c>
      <c r="H106" s="147">
        <v>0</v>
      </c>
      <c r="I106" s="495">
        <f t="shared" si="4"/>
        <v>0</v>
      </c>
    </row>
    <row r="107" spans="1:9" x14ac:dyDescent="0.15">
      <c r="A107" s="135"/>
      <c r="B107" s="451" t="s">
        <v>885</v>
      </c>
      <c r="C107" s="135" t="s">
        <v>1096</v>
      </c>
      <c r="D107" s="141">
        <v>0</v>
      </c>
      <c r="E107" s="309">
        <v>0</v>
      </c>
      <c r="F107" s="141">
        <v>0</v>
      </c>
      <c r="G107" s="141">
        <v>0</v>
      </c>
      <c r="H107" s="147">
        <v>0</v>
      </c>
      <c r="I107" s="495">
        <f t="shared" si="4"/>
        <v>0</v>
      </c>
    </row>
    <row r="108" spans="1:9" x14ac:dyDescent="0.15">
      <c r="A108" s="135"/>
      <c r="B108" s="451" t="s">
        <v>966</v>
      </c>
      <c r="C108" s="135" t="s">
        <v>1097</v>
      </c>
      <c r="D108" s="141">
        <v>0</v>
      </c>
      <c r="E108" s="309">
        <v>0</v>
      </c>
      <c r="F108" s="141">
        <v>0</v>
      </c>
      <c r="G108" s="141">
        <v>0</v>
      </c>
      <c r="H108" s="147">
        <v>0</v>
      </c>
      <c r="I108" s="495">
        <f t="shared" si="4"/>
        <v>0</v>
      </c>
    </row>
    <row r="109" spans="1:9" x14ac:dyDescent="0.15">
      <c r="A109" s="135"/>
      <c r="B109" s="451" t="s">
        <v>886</v>
      </c>
      <c r="C109" s="135" t="s">
        <v>1100</v>
      </c>
      <c r="D109" s="141">
        <v>0</v>
      </c>
      <c r="E109" s="309">
        <v>0</v>
      </c>
      <c r="F109" s="141">
        <v>0</v>
      </c>
      <c r="G109" s="141">
        <v>0</v>
      </c>
      <c r="H109" s="147">
        <v>0</v>
      </c>
      <c r="I109" s="495">
        <f t="shared" si="4"/>
        <v>0</v>
      </c>
    </row>
    <row r="110" spans="1:9" x14ac:dyDescent="0.15">
      <c r="A110" s="135"/>
      <c r="B110" s="451" t="s">
        <v>116</v>
      </c>
      <c r="C110" s="135" t="s">
        <v>1105</v>
      </c>
      <c r="D110" s="141">
        <v>0</v>
      </c>
      <c r="E110" s="309">
        <v>0</v>
      </c>
      <c r="F110" s="141">
        <v>0</v>
      </c>
      <c r="G110" s="141">
        <v>0</v>
      </c>
      <c r="H110" s="147">
        <v>0</v>
      </c>
      <c r="I110" s="495">
        <f t="shared" si="4"/>
        <v>0</v>
      </c>
    </row>
    <row r="111" spans="1:9" x14ac:dyDescent="0.15">
      <c r="A111" s="135"/>
      <c r="B111" s="451" t="s">
        <v>112</v>
      </c>
      <c r="C111" s="135" t="s">
        <v>1110</v>
      </c>
      <c r="D111" s="141">
        <v>0</v>
      </c>
      <c r="E111" s="309">
        <v>0</v>
      </c>
      <c r="F111" s="141">
        <v>0</v>
      </c>
      <c r="G111" s="141">
        <v>0</v>
      </c>
      <c r="H111" s="147">
        <v>0</v>
      </c>
      <c r="I111" s="495">
        <f t="shared" si="4"/>
        <v>0</v>
      </c>
    </row>
    <row r="112" spans="1:9" x14ac:dyDescent="0.15">
      <c r="A112" s="135"/>
      <c r="B112" s="451" t="s">
        <v>887</v>
      </c>
      <c r="C112" s="135" t="s">
        <v>1116</v>
      </c>
      <c r="D112" s="141">
        <v>0</v>
      </c>
      <c r="E112" s="309">
        <v>0</v>
      </c>
      <c r="F112" s="141">
        <v>0</v>
      </c>
      <c r="G112" s="141">
        <v>0</v>
      </c>
      <c r="H112" s="147">
        <v>0</v>
      </c>
      <c r="I112" s="495">
        <f t="shared" si="4"/>
        <v>0</v>
      </c>
    </row>
    <row r="113" spans="1:9" x14ac:dyDescent="0.15">
      <c r="A113" s="135"/>
      <c r="B113" s="451" t="s">
        <v>1112</v>
      </c>
      <c r="C113" s="135" t="s">
        <v>1117</v>
      </c>
      <c r="D113" s="141">
        <v>0</v>
      </c>
      <c r="E113" s="309">
        <v>0</v>
      </c>
      <c r="F113" s="141">
        <v>0</v>
      </c>
      <c r="G113" s="141">
        <v>0</v>
      </c>
      <c r="H113" s="147">
        <v>0</v>
      </c>
      <c r="I113" s="495">
        <f t="shared" si="4"/>
        <v>0</v>
      </c>
    </row>
    <row r="114" spans="1:9" x14ac:dyDescent="0.15">
      <c r="A114" s="135"/>
      <c r="B114" s="451" t="s">
        <v>1113</v>
      </c>
      <c r="C114" s="135" t="s">
        <v>1118</v>
      </c>
      <c r="D114" s="141">
        <v>0</v>
      </c>
      <c r="E114" s="309">
        <v>0</v>
      </c>
      <c r="F114" s="141">
        <v>0</v>
      </c>
      <c r="G114" s="141">
        <v>0</v>
      </c>
      <c r="H114" s="147">
        <v>0</v>
      </c>
      <c r="I114" s="495">
        <f t="shared" si="4"/>
        <v>0</v>
      </c>
    </row>
    <row r="115" spans="1:9" ht="11.25" thickBot="1" x14ac:dyDescent="0.2">
      <c r="A115" s="135"/>
      <c r="B115" s="451" t="s">
        <v>1114</v>
      </c>
      <c r="C115" s="135" t="s">
        <v>1119</v>
      </c>
      <c r="D115" s="141">
        <v>0</v>
      </c>
      <c r="E115" s="309">
        <v>0</v>
      </c>
      <c r="F115" s="141">
        <v>0</v>
      </c>
      <c r="G115" s="141">
        <v>0</v>
      </c>
      <c r="H115" s="147">
        <v>0</v>
      </c>
      <c r="I115" s="495">
        <f t="shared" si="4"/>
        <v>0</v>
      </c>
    </row>
    <row r="116" spans="1:9" ht="12" thickTop="1" thickBot="1" x14ac:dyDescent="0.2">
      <c r="A116" s="135"/>
      <c r="B116" s="451"/>
      <c r="C116" s="135" t="s">
        <v>1006</v>
      </c>
      <c r="D116" s="166">
        <f>SUM(D83:D115)</f>
        <v>0</v>
      </c>
      <c r="E116" s="297">
        <f>SUM(E83:E115)</f>
        <v>0</v>
      </c>
      <c r="F116" s="166">
        <f>SUM(F83:F115)</f>
        <v>0</v>
      </c>
      <c r="G116" s="166">
        <f>SUM(G83:G115)</f>
        <v>0</v>
      </c>
      <c r="H116" s="166">
        <f>SUM(H83:H115)</f>
        <v>0</v>
      </c>
      <c r="I116" s="166">
        <f t="shared" si="4"/>
        <v>0</v>
      </c>
    </row>
    <row r="117" spans="1:9" ht="11.25" thickTop="1" x14ac:dyDescent="0.15">
      <c r="A117" s="442"/>
      <c r="B117" s="442"/>
      <c r="C117" s="442"/>
      <c r="D117" s="14"/>
      <c r="E117" s="301"/>
      <c r="F117" s="14"/>
      <c r="G117" s="14"/>
      <c r="H117" s="14"/>
      <c r="I117" s="491"/>
    </row>
    <row r="118" spans="1:9" x14ac:dyDescent="0.15">
      <c r="A118" s="442" t="s">
        <v>1007</v>
      </c>
      <c r="B118" s="442"/>
      <c r="C118" s="442"/>
      <c r="D118" s="14"/>
      <c r="E118" s="301"/>
      <c r="F118" s="14"/>
      <c r="G118" s="14"/>
      <c r="H118" s="14"/>
      <c r="I118" s="491"/>
    </row>
    <row r="119" spans="1:9" hidden="1" x14ac:dyDescent="0.15">
      <c r="A119" s="416"/>
      <c r="B119" s="453" t="s">
        <v>880</v>
      </c>
      <c r="C119" s="454" t="s">
        <v>1164</v>
      </c>
      <c r="D119" s="308">
        <v>0</v>
      </c>
      <c r="E119" s="308">
        <v>0</v>
      </c>
      <c r="F119" s="308">
        <v>0</v>
      </c>
      <c r="G119" s="458"/>
      <c r="H119" s="457">
        <v>0</v>
      </c>
      <c r="I119" s="494">
        <f>SUM(G119+H119)</f>
        <v>0</v>
      </c>
    </row>
    <row r="120" spans="1:9" x14ac:dyDescent="0.15">
      <c r="A120" s="416"/>
      <c r="B120" s="453" t="s">
        <v>880</v>
      </c>
      <c r="C120" s="454" t="s">
        <v>337</v>
      </c>
      <c r="D120" s="308">
        <v>0</v>
      </c>
      <c r="E120" s="308">
        <v>0</v>
      </c>
      <c r="F120" s="308">
        <v>0</v>
      </c>
      <c r="G120" s="308">
        <v>0</v>
      </c>
      <c r="H120" s="457">
        <v>0</v>
      </c>
      <c r="I120" s="494">
        <f>SUM(G120+H120)</f>
        <v>0</v>
      </c>
    </row>
    <row r="121" spans="1:9" hidden="1" x14ac:dyDescent="0.15">
      <c r="A121" s="454"/>
      <c r="B121" s="453" t="s">
        <v>881</v>
      </c>
      <c r="C121" s="454" t="s">
        <v>382</v>
      </c>
      <c r="D121" s="308">
        <v>0</v>
      </c>
      <c r="E121" s="308">
        <v>0</v>
      </c>
      <c r="F121" s="308">
        <v>0</v>
      </c>
      <c r="G121" s="459"/>
      <c r="H121" s="457">
        <v>0</v>
      </c>
      <c r="I121" s="494">
        <f>SUM(G121+H121)</f>
        <v>0</v>
      </c>
    </row>
    <row r="122" spans="1:9" x14ac:dyDescent="0.15">
      <c r="A122" s="135"/>
      <c r="B122" s="451" t="s">
        <v>881</v>
      </c>
      <c r="C122" s="135" t="s">
        <v>338</v>
      </c>
      <c r="D122" s="144">
        <v>0</v>
      </c>
      <c r="E122" s="308">
        <v>0</v>
      </c>
      <c r="F122" s="144">
        <v>0</v>
      </c>
      <c r="G122" s="144">
        <v>0</v>
      </c>
      <c r="H122" s="147">
        <v>0</v>
      </c>
      <c r="I122" s="495">
        <f>SUM(G122+H122)</f>
        <v>0</v>
      </c>
    </row>
    <row r="123" spans="1:9" x14ac:dyDescent="0.15">
      <c r="A123" s="135"/>
      <c r="B123" s="451" t="s">
        <v>882</v>
      </c>
      <c r="C123" s="135" t="s">
        <v>1058</v>
      </c>
      <c r="D123" s="141">
        <v>0</v>
      </c>
      <c r="E123" s="309">
        <v>0</v>
      </c>
      <c r="F123" s="141">
        <v>0</v>
      </c>
      <c r="G123" s="141">
        <v>0</v>
      </c>
      <c r="H123" s="147">
        <v>0</v>
      </c>
      <c r="I123" s="495">
        <f t="shared" ref="I123:I152" si="6">SUM(G123+H123)</f>
        <v>0</v>
      </c>
    </row>
    <row r="124" spans="1:9" x14ac:dyDescent="0.15">
      <c r="A124" s="135"/>
      <c r="B124" s="451" t="s">
        <v>883</v>
      </c>
      <c r="C124" s="135" t="s">
        <v>1059</v>
      </c>
      <c r="D124" s="141">
        <v>0</v>
      </c>
      <c r="E124" s="309">
        <v>0</v>
      </c>
      <c r="F124" s="141">
        <v>0</v>
      </c>
      <c r="G124" s="141">
        <v>0</v>
      </c>
      <c r="H124" s="147">
        <v>0</v>
      </c>
      <c r="I124" s="495">
        <f t="shared" si="6"/>
        <v>0</v>
      </c>
    </row>
    <row r="125" spans="1:9" x14ac:dyDescent="0.15">
      <c r="A125" s="135"/>
      <c r="B125" s="451" t="s">
        <v>1060</v>
      </c>
      <c r="C125" s="135" t="s">
        <v>1061</v>
      </c>
      <c r="D125" s="141">
        <v>0</v>
      </c>
      <c r="E125" s="309">
        <v>0</v>
      </c>
      <c r="F125" s="141">
        <v>0</v>
      </c>
      <c r="G125" s="141">
        <v>0</v>
      </c>
      <c r="H125" s="147">
        <v>0</v>
      </c>
      <c r="I125" s="495">
        <f t="shared" si="6"/>
        <v>0</v>
      </c>
    </row>
    <row r="126" spans="1:9" x14ac:dyDescent="0.15">
      <c r="A126" s="135"/>
      <c r="B126" s="451" t="s">
        <v>1062</v>
      </c>
      <c r="C126" s="135" t="s">
        <v>1063</v>
      </c>
      <c r="D126" s="141">
        <v>0</v>
      </c>
      <c r="E126" s="309">
        <v>0</v>
      </c>
      <c r="F126" s="141">
        <v>0</v>
      </c>
      <c r="G126" s="141">
        <v>0</v>
      </c>
      <c r="H126" s="147">
        <v>0</v>
      </c>
      <c r="I126" s="495">
        <f t="shared" si="6"/>
        <v>0</v>
      </c>
    </row>
    <row r="127" spans="1:9" x14ac:dyDescent="0.15">
      <c r="A127" s="135"/>
      <c r="B127" s="451" t="s">
        <v>884</v>
      </c>
      <c r="C127" s="135" t="s">
        <v>1064</v>
      </c>
      <c r="D127" s="141">
        <v>0</v>
      </c>
      <c r="E127" s="309">
        <v>0</v>
      </c>
      <c r="F127" s="141">
        <v>0</v>
      </c>
      <c r="G127" s="141">
        <v>0</v>
      </c>
      <c r="H127" s="147">
        <v>0</v>
      </c>
      <c r="I127" s="495">
        <f t="shared" si="6"/>
        <v>0</v>
      </c>
    </row>
    <row r="128" spans="1:9" x14ac:dyDescent="0.15">
      <c r="A128" s="135"/>
      <c r="B128" s="451" t="s">
        <v>1067</v>
      </c>
      <c r="C128" s="135" t="s">
        <v>1074</v>
      </c>
      <c r="D128" s="141">
        <v>0</v>
      </c>
      <c r="E128" s="309">
        <v>0</v>
      </c>
      <c r="F128" s="141">
        <v>0</v>
      </c>
      <c r="G128" s="141">
        <v>0</v>
      </c>
      <c r="H128" s="147">
        <v>0</v>
      </c>
      <c r="I128" s="495">
        <f t="shared" si="6"/>
        <v>0</v>
      </c>
    </row>
    <row r="129" spans="1:9" x14ac:dyDescent="0.15">
      <c r="A129" s="135"/>
      <c r="B129" s="451" t="s">
        <v>1072</v>
      </c>
      <c r="C129" s="135" t="s">
        <v>920</v>
      </c>
      <c r="D129" s="141">
        <v>0</v>
      </c>
      <c r="E129" s="309">
        <v>0</v>
      </c>
      <c r="F129" s="141">
        <v>0</v>
      </c>
      <c r="G129" s="141">
        <v>0</v>
      </c>
      <c r="H129" s="147">
        <v>0</v>
      </c>
      <c r="I129" s="495">
        <f t="shared" si="6"/>
        <v>0</v>
      </c>
    </row>
    <row r="130" spans="1:9" x14ac:dyDescent="0.15">
      <c r="A130" s="135"/>
      <c r="B130" s="716" t="s">
        <v>155</v>
      </c>
      <c r="C130" s="703" t="s">
        <v>178</v>
      </c>
      <c r="D130" s="141">
        <v>0</v>
      </c>
      <c r="E130" s="309">
        <v>0</v>
      </c>
      <c r="F130" s="141">
        <v>0</v>
      </c>
      <c r="G130" s="141">
        <v>0</v>
      </c>
      <c r="H130" s="147">
        <v>0</v>
      </c>
      <c r="I130" s="495">
        <f t="shared" ref="I130" si="7">SUM(G130+H130)</f>
        <v>0</v>
      </c>
    </row>
    <row r="131" spans="1:9" x14ac:dyDescent="0.15">
      <c r="A131" s="135"/>
      <c r="B131" s="451" t="s">
        <v>921</v>
      </c>
      <c r="C131" s="135" t="s">
        <v>955</v>
      </c>
      <c r="D131" s="141">
        <v>0</v>
      </c>
      <c r="E131" s="309">
        <v>0</v>
      </c>
      <c r="F131" s="141">
        <v>0</v>
      </c>
      <c r="G131" s="141">
        <v>0</v>
      </c>
      <c r="H131" s="147">
        <v>0</v>
      </c>
      <c r="I131" s="495">
        <f t="shared" si="6"/>
        <v>0</v>
      </c>
    </row>
    <row r="132" spans="1:9" x14ac:dyDescent="0.15">
      <c r="A132" s="135"/>
      <c r="B132" s="451" t="s">
        <v>922</v>
      </c>
      <c r="C132" s="135" t="s">
        <v>1123</v>
      </c>
      <c r="D132" s="141">
        <v>0</v>
      </c>
      <c r="E132" s="309">
        <v>0</v>
      </c>
      <c r="F132" s="141">
        <v>0</v>
      </c>
      <c r="G132" s="141">
        <v>0</v>
      </c>
      <c r="H132" s="147">
        <v>0</v>
      </c>
      <c r="I132" s="495">
        <f t="shared" si="6"/>
        <v>0</v>
      </c>
    </row>
    <row r="133" spans="1:9" x14ac:dyDescent="0.15">
      <c r="A133" s="135"/>
      <c r="B133" s="451" t="s">
        <v>923</v>
      </c>
      <c r="C133" s="135" t="s">
        <v>957</v>
      </c>
      <c r="D133" s="141">
        <v>0</v>
      </c>
      <c r="E133" s="309">
        <v>0</v>
      </c>
      <c r="F133" s="141">
        <v>0</v>
      </c>
      <c r="G133" s="141">
        <v>0</v>
      </c>
      <c r="H133" s="147">
        <v>0</v>
      </c>
      <c r="I133" s="495">
        <f t="shared" si="6"/>
        <v>0</v>
      </c>
    </row>
    <row r="134" spans="1:9" x14ac:dyDescent="0.15">
      <c r="A134" s="135"/>
      <c r="B134" s="451" t="s">
        <v>924</v>
      </c>
      <c r="C134" s="135" t="s">
        <v>958</v>
      </c>
      <c r="D134" s="141">
        <v>0</v>
      </c>
      <c r="E134" s="309">
        <v>0</v>
      </c>
      <c r="F134" s="141">
        <v>0</v>
      </c>
      <c r="G134" s="141">
        <v>0</v>
      </c>
      <c r="H134" s="147">
        <v>0</v>
      </c>
      <c r="I134" s="495">
        <f t="shared" si="6"/>
        <v>0</v>
      </c>
    </row>
    <row r="135" spans="1:9" x14ac:dyDescent="0.15">
      <c r="A135" s="135"/>
      <c r="B135" s="451" t="s">
        <v>925</v>
      </c>
      <c r="C135" s="135" t="s">
        <v>1128</v>
      </c>
      <c r="D135" s="141">
        <v>0</v>
      </c>
      <c r="E135" s="309">
        <v>0</v>
      </c>
      <c r="F135" s="141">
        <v>0</v>
      </c>
      <c r="G135" s="141">
        <v>0</v>
      </c>
      <c r="H135" s="147">
        <v>0</v>
      </c>
      <c r="I135" s="495">
        <f t="shared" si="6"/>
        <v>0</v>
      </c>
    </row>
    <row r="136" spans="1:9" x14ac:dyDescent="0.15">
      <c r="A136" s="135"/>
      <c r="B136" s="451" t="s">
        <v>926</v>
      </c>
      <c r="C136" s="135" t="s">
        <v>1129</v>
      </c>
      <c r="D136" s="141">
        <v>0</v>
      </c>
      <c r="E136" s="309">
        <v>0</v>
      </c>
      <c r="F136" s="141">
        <v>0</v>
      </c>
      <c r="G136" s="141">
        <v>0</v>
      </c>
      <c r="H136" s="147">
        <v>0</v>
      </c>
      <c r="I136" s="495">
        <f t="shared" si="6"/>
        <v>0</v>
      </c>
    </row>
    <row r="137" spans="1:9" x14ac:dyDescent="0.15">
      <c r="A137" s="135"/>
      <c r="B137" s="451" t="s">
        <v>927</v>
      </c>
      <c r="C137" s="135" t="s">
        <v>959</v>
      </c>
      <c r="D137" s="141">
        <v>0</v>
      </c>
      <c r="E137" s="309">
        <v>0</v>
      </c>
      <c r="F137" s="141">
        <v>0</v>
      </c>
      <c r="G137" s="141">
        <v>0</v>
      </c>
      <c r="H137" s="147">
        <v>0</v>
      </c>
      <c r="I137" s="495">
        <f t="shared" si="6"/>
        <v>0</v>
      </c>
    </row>
    <row r="138" spans="1:9" x14ac:dyDescent="0.15">
      <c r="A138" s="135"/>
      <c r="B138" s="451" t="s">
        <v>928</v>
      </c>
      <c r="C138" s="135" t="s">
        <v>961</v>
      </c>
      <c r="D138" s="141">
        <v>0</v>
      </c>
      <c r="E138" s="309">
        <v>0</v>
      </c>
      <c r="F138" s="141">
        <v>0</v>
      </c>
      <c r="G138" s="141">
        <v>0</v>
      </c>
      <c r="H138" s="147">
        <v>0</v>
      </c>
      <c r="I138" s="495">
        <f t="shared" si="6"/>
        <v>0</v>
      </c>
    </row>
    <row r="139" spans="1:9" x14ac:dyDescent="0.15">
      <c r="A139" s="135"/>
      <c r="B139" s="451" t="s">
        <v>962</v>
      </c>
      <c r="C139" s="135" t="s">
        <v>967</v>
      </c>
      <c r="D139" s="141">
        <v>0</v>
      </c>
      <c r="E139" s="309">
        <v>0</v>
      </c>
      <c r="F139" s="141">
        <v>0</v>
      </c>
      <c r="G139" s="141">
        <v>0</v>
      </c>
      <c r="H139" s="147">
        <v>0</v>
      </c>
      <c r="I139" s="495">
        <f t="shared" si="6"/>
        <v>0</v>
      </c>
    </row>
    <row r="140" spans="1:9" x14ac:dyDescent="0.15">
      <c r="A140" s="135"/>
      <c r="B140" s="451" t="s">
        <v>963</v>
      </c>
      <c r="C140" s="135" t="s">
        <v>1124</v>
      </c>
      <c r="D140" s="141">
        <v>0</v>
      </c>
      <c r="E140" s="309">
        <v>0</v>
      </c>
      <c r="F140" s="141">
        <v>0</v>
      </c>
      <c r="G140" s="141">
        <v>0</v>
      </c>
      <c r="H140" s="147">
        <v>0</v>
      </c>
      <c r="I140" s="495">
        <f t="shared" si="6"/>
        <v>0</v>
      </c>
    </row>
    <row r="141" spans="1:9" x14ac:dyDescent="0.15">
      <c r="A141" s="135"/>
      <c r="B141" s="451" t="s">
        <v>964</v>
      </c>
      <c r="C141" s="135" t="s">
        <v>1094</v>
      </c>
      <c r="D141" s="141">
        <v>0</v>
      </c>
      <c r="E141" s="309">
        <v>0</v>
      </c>
      <c r="F141" s="141">
        <v>0</v>
      </c>
      <c r="G141" s="141">
        <v>0</v>
      </c>
      <c r="H141" s="147">
        <v>0</v>
      </c>
      <c r="I141" s="495">
        <f t="shared" si="6"/>
        <v>0</v>
      </c>
    </row>
    <row r="142" spans="1:9" x14ac:dyDescent="0.15">
      <c r="A142" s="135"/>
      <c r="B142" s="451" t="s">
        <v>965</v>
      </c>
      <c r="C142" s="135" t="s">
        <v>1095</v>
      </c>
      <c r="D142" s="141">
        <v>0</v>
      </c>
      <c r="E142" s="309">
        <v>0</v>
      </c>
      <c r="F142" s="141">
        <v>0</v>
      </c>
      <c r="G142" s="141">
        <v>0</v>
      </c>
      <c r="H142" s="147">
        <v>0</v>
      </c>
      <c r="I142" s="495">
        <f t="shared" si="6"/>
        <v>0</v>
      </c>
    </row>
    <row r="143" spans="1:9" x14ac:dyDescent="0.15">
      <c r="A143" s="135"/>
      <c r="B143" s="451" t="s">
        <v>885</v>
      </c>
      <c r="C143" s="135" t="s">
        <v>1096</v>
      </c>
      <c r="D143" s="141">
        <v>0</v>
      </c>
      <c r="E143" s="309">
        <v>0</v>
      </c>
      <c r="F143" s="141">
        <v>0</v>
      </c>
      <c r="G143" s="141">
        <v>0</v>
      </c>
      <c r="H143" s="147">
        <v>0</v>
      </c>
      <c r="I143" s="495">
        <f t="shared" si="6"/>
        <v>0</v>
      </c>
    </row>
    <row r="144" spans="1:9" x14ac:dyDescent="0.15">
      <c r="A144" s="135"/>
      <c r="B144" s="451" t="s">
        <v>966</v>
      </c>
      <c r="C144" s="135" t="s">
        <v>1097</v>
      </c>
      <c r="D144" s="141">
        <v>0</v>
      </c>
      <c r="E144" s="309">
        <v>0</v>
      </c>
      <c r="F144" s="141">
        <v>0</v>
      </c>
      <c r="G144" s="141">
        <v>0</v>
      </c>
      <c r="H144" s="147">
        <v>0</v>
      </c>
      <c r="I144" s="495">
        <f t="shared" si="6"/>
        <v>0</v>
      </c>
    </row>
    <row r="145" spans="1:9" x14ac:dyDescent="0.15">
      <c r="A145" s="135"/>
      <c r="B145" s="451" t="s">
        <v>886</v>
      </c>
      <c r="C145" s="135" t="s">
        <v>1100</v>
      </c>
      <c r="D145" s="141">
        <v>0</v>
      </c>
      <c r="E145" s="309">
        <v>0</v>
      </c>
      <c r="F145" s="141">
        <v>0</v>
      </c>
      <c r="G145" s="141">
        <v>0</v>
      </c>
      <c r="H145" s="147">
        <v>0</v>
      </c>
      <c r="I145" s="495">
        <f t="shared" si="6"/>
        <v>0</v>
      </c>
    </row>
    <row r="146" spans="1:9" x14ac:dyDescent="0.15">
      <c r="A146" s="135"/>
      <c r="B146" s="451" t="s">
        <v>116</v>
      </c>
      <c r="C146" s="135" t="s">
        <v>1105</v>
      </c>
      <c r="D146" s="141">
        <v>0</v>
      </c>
      <c r="E146" s="309">
        <v>0</v>
      </c>
      <c r="F146" s="141">
        <v>0</v>
      </c>
      <c r="G146" s="141">
        <v>0</v>
      </c>
      <c r="H146" s="147">
        <v>0</v>
      </c>
      <c r="I146" s="495">
        <f t="shared" si="6"/>
        <v>0</v>
      </c>
    </row>
    <row r="147" spans="1:9" x14ac:dyDescent="0.15">
      <c r="A147" s="135"/>
      <c r="B147" s="451" t="s">
        <v>112</v>
      </c>
      <c r="C147" s="135" t="s">
        <v>1110</v>
      </c>
      <c r="D147" s="141">
        <v>0</v>
      </c>
      <c r="E147" s="309">
        <v>0</v>
      </c>
      <c r="F147" s="141">
        <v>0</v>
      </c>
      <c r="G147" s="141">
        <v>0</v>
      </c>
      <c r="H147" s="147">
        <v>0</v>
      </c>
      <c r="I147" s="495">
        <f t="shared" si="6"/>
        <v>0</v>
      </c>
    </row>
    <row r="148" spans="1:9" x14ac:dyDescent="0.15">
      <c r="A148" s="135"/>
      <c r="B148" s="451" t="s">
        <v>887</v>
      </c>
      <c r="C148" s="135" t="s">
        <v>1116</v>
      </c>
      <c r="D148" s="141">
        <v>0</v>
      </c>
      <c r="E148" s="309">
        <v>0</v>
      </c>
      <c r="F148" s="141">
        <v>0</v>
      </c>
      <c r="G148" s="141">
        <v>0</v>
      </c>
      <c r="H148" s="147">
        <v>0</v>
      </c>
      <c r="I148" s="495">
        <f t="shared" si="6"/>
        <v>0</v>
      </c>
    </row>
    <row r="149" spans="1:9" x14ac:dyDescent="0.15">
      <c r="A149" s="135"/>
      <c r="B149" s="451" t="s">
        <v>1112</v>
      </c>
      <c r="C149" s="135" t="s">
        <v>1117</v>
      </c>
      <c r="D149" s="141">
        <v>0</v>
      </c>
      <c r="E149" s="309">
        <v>0</v>
      </c>
      <c r="F149" s="141">
        <v>0</v>
      </c>
      <c r="G149" s="141">
        <v>0</v>
      </c>
      <c r="H149" s="147">
        <v>0</v>
      </c>
      <c r="I149" s="495">
        <f t="shared" si="6"/>
        <v>0</v>
      </c>
    </row>
    <row r="150" spans="1:9" x14ac:dyDescent="0.15">
      <c r="A150" s="135"/>
      <c r="B150" s="451" t="s">
        <v>1113</v>
      </c>
      <c r="C150" s="135" t="s">
        <v>1118</v>
      </c>
      <c r="D150" s="141">
        <v>0</v>
      </c>
      <c r="E150" s="309">
        <v>0</v>
      </c>
      <c r="F150" s="141">
        <v>0</v>
      </c>
      <c r="G150" s="141">
        <v>0</v>
      </c>
      <c r="H150" s="147">
        <v>0</v>
      </c>
      <c r="I150" s="495">
        <f t="shared" si="6"/>
        <v>0</v>
      </c>
    </row>
    <row r="151" spans="1:9" ht="11.25" thickBot="1" x14ac:dyDescent="0.2">
      <c r="A151" s="135"/>
      <c r="B151" s="451" t="s">
        <v>1114</v>
      </c>
      <c r="C151" s="135" t="s">
        <v>1119</v>
      </c>
      <c r="D151" s="141">
        <v>0</v>
      </c>
      <c r="E151" s="309">
        <v>0</v>
      </c>
      <c r="F151" s="141">
        <v>0</v>
      </c>
      <c r="G151" s="141">
        <v>0</v>
      </c>
      <c r="H151" s="147">
        <v>0</v>
      </c>
      <c r="I151" s="495">
        <f t="shared" si="6"/>
        <v>0</v>
      </c>
    </row>
    <row r="152" spans="1:9" ht="12" thickTop="1" thickBot="1" x14ac:dyDescent="0.2">
      <c r="A152" s="135"/>
      <c r="B152" s="451"/>
      <c r="C152" s="135" t="s">
        <v>1156</v>
      </c>
      <c r="D152" s="166">
        <f>SUM(D119:D151)</f>
        <v>0</v>
      </c>
      <c r="E152" s="297">
        <f>SUM(E119:E151)</f>
        <v>0</v>
      </c>
      <c r="F152" s="166">
        <f>SUM(F119:F151)</f>
        <v>0</v>
      </c>
      <c r="G152" s="166">
        <f>SUM(G119:G151)</f>
        <v>0</v>
      </c>
      <c r="H152" s="166">
        <f>SUM(H119:H151)</f>
        <v>0</v>
      </c>
      <c r="I152" s="166">
        <f t="shared" si="6"/>
        <v>0</v>
      </c>
    </row>
    <row r="153" spans="1:9" ht="11.25" thickTop="1" x14ac:dyDescent="0.15">
      <c r="A153" s="442"/>
      <c r="B153" s="442"/>
      <c r="C153" s="442"/>
      <c r="D153" s="14"/>
      <c r="E153" s="301"/>
      <c r="F153" s="14"/>
      <c r="G153" s="14"/>
      <c r="H153" s="14"/>
      <c r="I153" s="491"/>
    </row>
    <row r="154" spans="1:9" x14ac:dyDescent="0.15">
      <c r="A154" s="442" t="s">
        <v>1157</v>
      </c>
      <c r="B154" s="135"/>
      <c r="C154" s="135"/>
      <c r="D154" s="14"/>
      <c r="E154" s="301"/>
      <c r="F154" s="14"/>
      <c r="G154" s="14"/>
      <c r="H154" s="14"/>
      <c r="I154" s="491"/>
    </row>
    <row r="155" spans="1:9" hidden="1" x14ac:dyDescent="0.15">
      <c r="A155" s="416"/>
      <c r="B155" s="453" t="s">
        <v>880</v>
      </c>
      <c r="C155" s="454" t="s">
        <v>1164</v>
      </c>
      <c r="D155" s="308">
        <v>0</v>
      </c>
      <c r="E155" s="308">
        <v>0</v>
      </c>
      <c r="F155" s="308">
        <v>0</v>
      </c>
      <c r="G155" s="458"/>
      <c r="H155" s="457">
        <v>0</v>
      </c>
      <c r="I155" s="494">
        <f>SUM(G155+H155)</f>
        <v>0</v>
      </c>
    </row>
    <row r="156" spans="1:9" x14ac:dyDescent="0.15">
      <c r="A156" s="416"/>
      <c r="B156" s="453" t="s">
        <v>880</v>
      </c>
      <c r="C156" s="454" t="s">
        <v>337</v>
      </c>
      <c r="D156" s="308">
        <v>0</v>
      </c>
      <c r="E156" s="308">
        <v>0</v>
      </c>
      <c r="F156" s="308">
        <v>0</v>
      </c>
      <c r="G156" s="308">
        <v>0</v>
      </c>
      <c r="H156" s="457">
        <v>0</v>
      </c>
      <c r="I156" s="494">
        <f>SUM(G156+H156)</f>
        <v>0</v>
      </c>
    </row>
    <row r="157" spans="1:9" hidden="1" x14ac:dyDescent="0.15">
      <c r="A157" s="454"/>
      <c r="B157" s="453" t="s">
        <v>881</v>
      </c>
      <c r="C157" s="454" t="s">
        <v>382</v>
      </c>
      <c r="D157" s="308">
        <v>0</v>
      </c>
      <c r="E157" s="308">
        <v>0</v>
      </c>
      <c r="F157" s="308">
        <v>0</v>
      </c>
      <c r="G157" s="459"/>
      <c r="H157" s="457">
        <v>0</v>
      </c>
      <c r="I157" s="494">
        <f>SUM(G157+H157)</f>
        <v>0</v>
      </c>
    </row>
    <row r="158" spans="1:9" x14ac:dyDescent="0.15">
      <c r="A158" s="135"/>
      <c r="B158" s="451" t="s">
        <v>881</v>
      </c>
      <c r="C158" s="135" t="s">
        <v>338</v>
      </c>
      <c r="D158" s="144">
        <v>0</v>
      </c>
      <c r="E158" s="308">
        <v>0</v>
      </c>
      <c r="F158" s="144">
        <v>0</v>
      </c>
      <c r="G158" s="144">
        <v>0</v>
      </c>
      <c r="H158" s="147">
        <v>0</v>
      </c>
      <c r="I158" s="495">
        <f>SUM(G158+H158)</f>
        <v>0</v>
      </c>
    </row>
    <row r="159" spans="1:9" x14ac:dyDescent="0.15">
      <c r="A159" s="135"/>
      <c r="B159" s="451" t="s">
        <v>882</v>
      </c>
      <c r="C159" s="135" t="s">
        <v>1058</v>
      </c>
      <c r="D159" s="141">
        <v>0</v>
      </c>
      <c r="E159" s="309">
        <v>0</v>
      </c>
      <c r="F159" s="141">
        <v>0</v>
      </c>
      <c r="G159" s="285">
        <v>0</v>
      </c>
      <c r="H159" s="147">
        <v>0</v>
      </c>
      <c r="I159" s="495">
        <f t="shared" ref="I159:I188" si="8">SUM(G159+H159)</f>
        <v>0</v>
      </c>
    </row>
    <row r="160" spans="1:9" x14ac:dyDescent="0.15">
      <c r="A160" s="135"/>
      <c r="B160" s="451" t="s">
        <v>883</v>
      </c>
      <c r="C160" s="135" t="s">
        <v>1059</v>
      </c>
      <c r="D160" s="141">
        <v>0</v>
      </c>
      <c r="E160" s="309">
        <v>0</v>
      </c>
      <c r="F160" s="141">
        <v>0</v>
      </c>
      <c r="G160" s="285">
        <v>0</v>
      </c>
      <c r="H160" s="147">
        <v>0</v>
      </c>
      <c r="I160" s="495">
        <f t="shared" si="8"/>
        <v>0</v>
      </c>
    </row>
    <row r="161" spans="1:9" x14ac:dyDescent="0.15">
      <c r="A161" s="135"/>
      <c r="B161" s="451" t="s">
        <v>1060</v>
      </c>
      <c r="C161" s="135" t="s">
        <v>1061</v>
      </c>
      <c r="D161" s="141">
        <v>0</v>
      </c>
      <c r="E161" s="309">
        <v>0</v>
      </c>
      <c r="F161" s="141">
        <v>0</v>
      </c>
      <c r="G161" s="285">
        <v>0</v>
      </c>
      <c r="H161" s="147">
        <v>0</v>
      </c>
      <c r="I161" s="495">
        <f t="shared" si="8"/>
        <v>0</v>
      </c>
    </row>
    <row r="162" spans="1:9" x14ac:dyDescent="0.15">
      <c r="A162" s="135"/>
      <c r="B162" s="451" t="s">
        <v>1062</v>
      </c>
      <c r="C162" s="135" t="s">
        <v>1063</v>
      </c>
      <c r="D162" s="141">
        <v>0</v>
      </c>
      <c r="E162" s="309">
        <v>0</v>
      </c>
      <c r="F162" s="141">
        <v>0</v>
      </c>
      <c r="G162" s="285">
        <v>0</v>
      </c>
      <c r="H162" s="147">
        <v>0</v>
      </c>
      <c r="I162" s="495">
        <f t="shared" si="8"/>
        <v>0</v>
      </c>
    </row>
    <row r="163" spans="1:9" x14ac:dyDescent="0.15">
      <c r="A163" s="135"/>
      <c r="B163" s="451" t="s">
        <v>884</v>
      </c>
      <c r="C163" s="135" t="s">
        <v>1064</v>
      </c>
      <c r="D163" s="141">
        <v>0</v>
      </c>
      <c r="E163" s="309">
        <v>0</v>
      </c>
      <c r="F163" s="141">
        <v>0</v>
      </c>
      <c r="G163" s="285">
        <v>0</v>
      </c>
      <c r="H163" s="147">
        <v>0</v>
      </c>
      <c r="I163" s="495">
        <f t="shared" si="8"/>
        <v>0</v>
      </c>
    </row>
    <row r="164" spans="1:9" x14ac:dyDescent="0.15">
      <c r="A164" s="135"/>
      <c r="B164" s="451" t="s">
        <v>1067</v>
      </c>
      <c r="C164" s="135" t="s">
        <v>1074</v>
      </c>
      <c r="D164" s="141">
        <v>0</v>
      </c>
      <c r="E164" s="309">
        <v>0</v>
      </c>
      <c r="F164" s="141">
        <v>0</v>
      </c>
      <c r="G164" s="285">
        <v>0</v>
      </c>
      <c r="H164" s="147">
        <v>0</v>
      </c>
      <c r="I164" s="495">
        <f t="shared" si="8"/>
        <v>0</v>
      </c>
    </row>
    <row r="165" spans="1:9" x14ac:dyDescent="0.15">
      <c r="A165" s="135"/>
      <c r="B165" s="451" t="s">
        <v>1072</v>
      </c>
      <c r="C165" s="135" t="s">
        <v>920</v>
      </c>
      <c r="D165" s="141">
        <v>0</v>
      </c>
      <c r="E165" s="309">
        <v>0</v>
      </c>
      <c r="F165" s="141">
        <v>0</v>
      </c>
      <c r="G165" s="285">
        <v>0</v>
      </c>
      <c r="H165" s="147">
        <v>0</v>
      </c>
      <c r="I165" s="495">
        <f t="shared" si="8"/>
        <v>0</v>
      </c>
    </row>
    <row r="166" spans="1:9" x14ac:dyDescent="0.15">
      <c r="A166" s="135"/>
      <c r="B166" s="716" t="s">
        <v>155</v>
      </c>
      <c r="C166" s="703" t="s">
        <v>178</v>
      </c>
      <c r="D166" s="141">
        <v>0</v>
      </c>
      <c r="E166" s="309">
        <v>0</v>
      </c>
      <c r="F166" s="141">
        <v>0</v>
      </c>
      <c r="G166" s="285">
        <v>0</v>
      </c>
      <c r="H166" s="147">
        <v>0</v>
      </c>
      <c r="I166" s="495">
        <f t="shared" ref="I166" si="9">SUM(G166+H166)</f>
        <v>0</v>
      </c>
    </row>
    <row r="167" spans="1:9" x14ac:dyDescent="0.15">
      <c r="A167" s="135"/>
      <c r="B167" s="451" t="s">
        <v>921</v>
      </c>
      <c r="C167" s="135" t="s">
        <v>955</v>
      </c>
      <c r="D167" s="141">
        <v>0</v>
      </c>
      <c r="E167" s="309">
        <v>0</v>
      </c>
      <c r="F167" s="141">
        <v>0</v>
      </c>
      <c r="G167" s="285">
        <v>0</v>
      </c>
      <c r="H167" s="147">
        <v>0</v>
      </c>
      <c r="I167" s="495">
        <f t="shared" si="8"/>
        <v>0</v>
      </c>
    </row>
    <row r="168" spans="1:9" x14ac:dyDescent="0.15">
      <c r="A168" s="135"/>
      <c r="B168" s="451" t="s">
        <v>922</v>
      </c>
      <c r="C168" s="135" t="s">
        <v>1123</v>
      </c>
      <c r="D168" s="141">
        <v>0</v>
      </c>
      <c r="E168" s="309">
        <v>0</v>
      </c>
      <c r="F168" s="141">
        <v>0</v>
      </c>
      <c r="G168" s="285">
        <v>0</v>
      </c>
      <c r="H168" s="147">
        <v>0</v>
      </c>
      <c r="I168" s="495">
        <f t="shared" si="8"/>
        <v>0</v>
      </c>
    </row>
    <row r="169" spans="1:9" x14ac:dyDescent="0.15">
      <c r="A169" s="135"/>
      <c r="B169" s="451" t="s">
        <v>923</v>
      </c>
      <c r="C169" s="135" t="s">
        <v>957</v>
      </c>
      <c r="D169" s="141">
        <v>0</v>
      </c>
      <c r="E169" s="309">
        <v>0</v>
      </c>
      <c r="F169" s="141">
        <v>0</v>
      </c>
      <c r="G169" s="285">
        <v>0</v>
      </c>
      <c r="H169" s="147">
        <v>0</v>
      </c>
      <c r="I169" s="495">
        <f t="shared" si="8"/>
        <v>0</v>
      </c>
    </row>
    <row r="170" spans="1:9" x14ac:dyDescent="0.15">
      <c r="A170" s="135"/>
      <c r="B170" s="451" t="s">
        <v>924</v>
      </c>
      <c r="C170" s="135" t="s">
        <v>958</v>
      </c>
      <c r="D170" s="141">
        <v>0</v>
      </c>
      <c r="E170" s="309">
        <v>0</v>
      </c>
      <c r="F170" s="141">
        <v>0</v>
      </c>
      <c r="G170" s="285">
        <v>0</v>
      </c>
      <c r="H170" s="147">
        <v>0</v>
      </c>
      <c r="I170" s="495">
        <f t="shared" si="8"/>
        <v>0</v>
      </c>
    </row>
    <row r="171" spans="1:9" x14ac:dyDescent="0.15">
      <c r="A171" s="135"/>
      <c r="B171" s="451" t="s">
        <v>925</v>
      </c>
      <c r="C171" s="135" t="s">
        <v>1128</v>
      </c>
      <c r="D171" s="141">
        <v>0</v>
      </c>
      <c r="E171" s="309">
        <v>0</v>
      </c>
      <c r="F171" s="141">
        <v>0</v>
      </c>
      <c r="G171" s="285">
        <v>0</v>
      </c>
      <c r="H171" s="147">
        <v>0</v>
      </c>
      <c r="I171" s="495">
        <f t="shared" si="8"/>
        <v>0</v>
      </c>
    </row>
    <row r="172" spans="1:9" x14ac:dyDescent="0.15">
      <c r="A172" s="135"/>
      <c r="B172" s="451" t="s">
        <v>926</v>
      </c>
      <c r="C172" s="135" t="s">
        <v>1129</v>
      </c>
      <c r="D172" s="141">
        <v>0</v>
      </c>
      <c r="E172" s="309">
        <v>0</v>
      </c>
      <c r="F172" s="141">
        <v>0</v>
      </c>
      <c r="G172" s="285">
        <v>0</v>
      </c>
      <c r="H172" s="147">
        <v>0</v>
      </c>
      <c r="I172" s="495">
        <f t="shared" si="8"/>
        <v>0</v>
      </c>
    </row>
    <row r="173" spans="1:9" x14ac:dyDescent="0.15">
      <c r="A173" s="135"/>
      <c r="B173" s="451" t="s">
        <v>927</v>
      </c>
      <c r="C173" s="135" t="s">
        <v>959</v>
      </c>
      <c r="D173" s="141">
        <v>0</v>
      </c>
      <c r="E173" s="309">
        <v>0</v>
      </c>
      <c r="F173" s="141">
        <v>0</v>
      </c>
      <c r="G173" s="285">
        <v>0</v>
      </c>
      <c r="H173" s="147">
        <v>0</v>
      </c>
      <c r="I173" s="495">
        <f t="shared" si="8"/>
        <v>0</v>
      </c>
    </row>
    <row r="174" spans="1:9" x14ac:dyDescent="0.15">
      <c r="A174" s="135"/>
      <c r="B174" s="451" t="s">
        <v>928</v>
      </c>
      <c r="C174" s="135" t="s">
        <v>961</v>
      </c>
      <c r="D174" s="141">
        <v>0</v>
      </c>
      <c r="E174" s="309">
        <v>0</v>
      </c>
      <c r="F174" s="141">
        <v>0</v>
      </c>
      <c r="G174" s="285">
        <v>0</v>
      </c>
      <c r="H174" s="147">
        <v>0</v>
      </c>
      <c r="I174" s="495">
        <f t="shared" si="8"/>
        <v>0</v>
      </c>
    </row>
    <row r="175" spans="1:9" x14ac:dyDescent="0.15">
      <c r="A175" s="135"/>
      <c r="B175" s="451" t="s">
        <v>962</v>
      </c>
      <c r="C175" s="135" t="s">
        <v>967</v>
      </c>
      <c r="D175" s="141">
        <v>0</v>
      </c>
      <c r="E175" s="309">
        <v>0</v>
      </c>
      <c r="F175" s="141">
        <v>0</v>
      </c>
      <c r="G175" s="285">
        <v>0</v>
      </c>
      <c r="H175" s="147">
        <v>0</v>
      </c>
      <c r="I175" s="495">
        <f t="shared" si="8"/>
        <v>0</v>
      </c>
    </row>
    <row r="176" spans="1:9" x14ac:dyDescent="0.15">
      <c r="A176" s="135"/>
      <c r="B176" s="451" t="s">
        <v>963</v>
      </c>
      <c r="C176" s="135" t="s">
        <v>1124</v>
      </c>
      <c r="D176" s="141">
        <v>0</v>
      </c>
      <c r="E176" s="309">
        <v>0</v>
      </c>
      <c r="F176" s="141">
        <v>0</v>
      </c>
      <c r="G176" s="285">
        <v>0</v>
      </c>
      <c r="H176" s="147">
        <v>0</v>
      </c>
      <c r="I176" s="495">
        <f t="shared" si="8"/>
        <v>0</v>
      </c>
    </row>
    <row r="177" spans="1:9" x14ac:dyDescent="0.15">
      <c r="A177" s="135"/>
      <c r="B177" s="451" t="s">
        <v>964</v>
      </c>
      <c r="C177" s="135" t="s">
        <v>1094</v>
      </c>
      <c r="D177" s="141">
        <v>0</v>
      </c>
      <c r="E177" s="309">
        <v>0</v>
      </c>
      <c r="F177" s="141">
        <v>0</v>
      </c>
      <c r="G177" s="285">
        <v>0</v>
      </c>
      <c r="H177" s="147">
        <v>0</v>
      </c>
      <c r="I177" s="495">
        <f t="shared" si="8"/>
        <v>0</v>
      </c>
    </row>
    <row r="178" spans="1:9" x14ac:dyDescent="0.15">
      <c r="A178" s="135"/>
      <c r="B178" s="451" t="s">
        <v>965</v>
      </c>
      <c r="C178" s="135" t="s">
        <v>1095</v>
      </c>
      <c r="D178" s="141">
        <v>0</v>
      </c>
      <c r="E178" s="309">
        <v>0</v>
      </c>
      <c r="F178" s="141">
        <v>0</v>
      </c>
      <c r="G178" s="285">
        <v>0</v>
      </c>
      <c r="H178" s="147">
        <v>0</v>
      </c>
      <c r="I178" s="495">
        <f t="shared" si="8"/>
        <v>0</v>
      </c>
    </row>
    <row r="179" spans="1:9" x14ac:dyDescent="0.15">
      <c r="A179" s="135"/>
      <c r="B179" s="451" t="s">
        <v>885</v>
      </c>
      <c r="C179" s="135" t="s">
        <v>1096</v>
      </c>
      <c r="D179" s="141">
        <v>0</v>
      </c>
      <c r="E179" s="309">
        <v>0</v>
      </c>
      <c r="F179" s="141">
        <v>0</v>
      </c>
      <c r="G179" s="285">
        <v>0</v>
      </c>
      <c r="H179" s="147">
        <v>0</v>
      </c>
      <c r="I179" s="495">
        <f t="shared" si="8"/>
        <v>0</v>
      </c>
    </row>
    <row r="180" spans="1:9" x14ac:dyDescent="0.15">
      <c r="A180" s="135"/>
      <c r="B180" s="451" t="s">
        <v>966</v>
      </c>
      <c r="C180" s="135" t="s">
        <v>1097</v>
      </c>
      <c r="D180" s="141">
        <v>0</v>
      </c>
      <c r="E180" s="309">
        <v>0</v>
      </c>
      <c r="F180" s="141">
        <v>0</v>
      </c>
      <c r="G180" s="285">
        <v>0</v>
      </c>
      <c r="H180" s="147">
        <v>0</v>
      </c>
      <c r="I180" s="495">
        <f t="shared" si="8"/>
        <v>0</v>
      </c>
    </row>
    <row r="181" spans="1:9" x14ac:dyDescent="0.15">
      <c r="A181" s="135"/>
      <c r="B181" s="451" t="s">
        <v>886</v>
      </c>
      <c r="C181" s="135" t="s">
        <v>1100</v>
      </c>
      <c r="D181" s="141">
        <v>0</v>
      </c>
      <c r="E181" s="309">
        <v>0</v>
      </c>
      <c r="F181" s="141">
        <v>0</v>
      </c>
      <c r="G181" s="285">
        <v>0</v>
      </c>
      <c r="H181" s="147">
        <v>0</v>
      </c>
      <c r="I181" s="495">
        <f t="shared" si="8"/>
        <v>0</v>
      </c>
    </row>
    <row r="182" spans="1:9" x14ac:dyDescent="0.15">
      <c r="A182" s="135"/>
      <c r="B182" s="451" t="s">
        <v>116</v>
      </c>
      <c r="C182" s="135" t="s">
        <v>1105</v>
      </c>
      <c r="D182" s="141">
        <v>0</v>
      </c>
      <c r="E182" s="309">
        <v>0</v>
      </c>
      <c r="F182" s="141">
        <v>0</v>
      </c>
      <c r="G182" s="285">
        <v>0</v>
      </c>
      <c r="H182" s="147">
        <v>0</v>
      </c>
      <c r="I182" s="495">
        <f t="shared" si="8"/>
        <v>0</v>
      </c>
    </row>
    <row r="183" spans="1:9" x14ac:dyDescent="0.15">
      <c r="A183" s="135"/>
      <c r="B183" s="451" t="s">
        <v>112</v>
      </c>
      <c r="C183" s="135" t="s">
        <v>1110</v>
      </c>
      <c r="D183" s="141">
        <v>0</v>
      </c>
      <c r="E183" s="309">
        <v>0</v>
      </c>
      <c r="F183" s="141">
        <v>0</v>
      </c>
      <c r="G183" s="285">
        <v>0</v>
      </c>
      <c r="H183" s="147">
        <v>0</v>
      </c>
      <c r="I183" s="495">
        <f t="shared" si="8"/>
        <v>0</v>
      </c>
    </row>
    <row r="184" spans="1:9" x14ac:dyDescent="0.15">
      <c r="A184" s="135"/>
      <c r="B184" s="451" t="s">
        <v>887</v>
      </c>
      <c r="C184" s="135" t="s">
        <v>1116</v>
      </c>
      <c r="D184" s="141">
        <v>0</v>
      </c>
      <c r="E184" s="309">
        <v>0</v>
      </c>
      <c r="F184" s="141">
        <v>0</v>
      </c>
      <c r="G184" s="285">
        <v>0</v>
      </c>
      <c r="H184" s="147">
        <v>0</v>
      </c>
      <c r="I184" s="495">
        <f t="shared" si="8"/>
        <v>0</v>
      </c>
    </row>
    <row r="185" spans="1:9" x14ac:dyDescent="0.15">
      <c r="A185" s="135"/>
      <c r="B185" s="451" t="s">
        <v>1112</v>
      </c>
      <c r="C185" s="135" t="s">
        <v>1117</v>
      </c>
      <c r="D185" s="141">
        <v>0</v>
      </c>
      <c r="E185" s="309">
        <v>0</v>
      </c>
      <c r="F185" s="141">
        <v>0</v>
      </c>
      <c r="G185" s="285">
        <v>0</v>
      </c>
      <c r="H185" s="147">
        <v>0</v>
      </c>
      <c r="I185" s="495">
        <f t="shared" si="8"/>
        <v>0</v>
      </c>
    </row>
    <row r="186" spans="1:9" x14ac:dyDescent="0.15">
      <c r="A186" s="135"/>
      <c r="B186" s="451" t="s">
        <v>1113</v>
      </c>
      <c r="C186" s="135" t="s">
        <v>1118</v>
      </c>
      <c r="D186" s="141">
        <v>0</v>
      </c>
      <c r="E186" s="309">
        <v>0</v>
      </c>
      <c r="F186" s="141">
        <v>0</v>
      </c>
      <c r="G186" s="285">
        <v>0</v>
      </c>
      <c r="H186" s="147">
        <v>0</v>
      </c>
      <c r="I186" s="495">
        <f t="shared" si="8"/>
        <v>0</v>
      </c>
    </row>
    <row r="187" spans="1:9" ht="11.25" thickBot="1" x14ac:dyDescent="0.2">
      <c r="A187" s="135"/>
      <c r="B187" s="451" t="s">
        <v>1114</v>
      </c>
      <c r="C187" s="135" t="s">
        <v>1119</v>
      </c>
      <c r="D187" s="141">
        <v>0</v>
      </c>
      <c r="E187" s="309">
        <v>0</v>
      </c>
      <c r="F187" s="141">
        <v>0</v>
      </c>
      <c r="G187" s="285">
        <v>0</v>
      </c>
      <c r="H187" s="147">
        <v>0</v>
      </c>
      <c r="I187" s="495">
        <f t="shared" si="8"/>
        <v>0</v>
      </c>
    </row>
    <row r="188" spans="1:9" ht="12" thickTop="1" thickBot="1" x14ac:dyDescent="0.2">
      <c r="A188" s="135"/>
      <c r="B188" s="451"/>
      <c r="C188" s="135" t="s">
        <v>1158</v>
      </c>
      <c r="D188" s="166">
        <f>SUM(D155:D187)</f>
        <v>0</v>
      </c>
      <c r="E188" s="297">
        <f>SUM(E155:E187)</f>
        <v>0</v>
      </c>
      <c r="F188" s="166">
        <f>SUM(F155:F187)</f>
        <v>0</v>
      </c>
      <c r="G188" s="166">
        <f>SUM(G155:G187)</f>
        <v>0</v>
      </c>
      <c r="H188" s="166">
        <f>SUM(H155:H187)</f>
        <v>0</v>
      </c>
      <c r="I188" s="166">
        <f t="shared" si="8"/>
        <v>0</v>
      </c>
    </row>
    <row r="189" spans="1:9" ht="11.25" thickTop="1" x14ac:dyDescent="0.15">
      <c r="A189" s="442"/>
      <c r="B189" s="135"/>
      <c r="C189" s="135"/>
      <c r="D189" s="14"/>
      <c r="E189" s="301"/>
      <c r="F189" s="14"/>
      <c r="G189" s="14"/>
      <c r="H189" s="14"/>
      <c r="I189" s="491"/>
    </row>
    <row r="190" spans="1:9" x14ac:dyDescent="0.15">
      <c r="A190" s="442" t="s">
        <v>1195</v>
      </c>
      <c r="B190" s="135"/>
      <c r="C190" s="135"/>
      <c r="D190" s="14"/>
      <c r="E190" s="301"/>
      <c r="F190" s="14"/>
      <c r="G190" s="14"/>
      <c r="H190" s="14"/>
      <c r="I190" s="491"/>
    </row>
    <row r="191" spans="1:9" hidden="1" x14ac:dyDescent="0.15">
      <c r="A191" s="416"/>
      <c r="B191" s="453" t="s">
        <v>880</v>
      </c>
      <c r="C191" s="454" t="s">
        <v>1164</v>
      </c>
      <c r="D191" s="308">
        <v>0</v>
      </c>
      <c r="E191" s="308">
        <v>0</v>
      </c>
      <c r="F191" s="308">
        <v>0</v>
      </c>
      <c r="G191" s="458"/>
      <c r="H191" s="457">
        <v>0</v>
      </c>
      <c r="I191" s="494">
        <f>SUM(G191+H191)</f>
        <v>0</v>
      </c>
    </row>
    <row r="192" spans="1:9" x14ac:dyDescent="0.15">
      <c r="A192" s="416"/>
      <c r="B192" s="453" t="s">
        <v>880</v>
      </c>
      <c r="C192" s="454" t="s">
        <v>337</v>
      </c>
      <c r="D192" s="308">
        <v>0</v>
      </c>
      <c r="E192" s="308">
        <v>0</v>
      </c>
      <c r="F192" s="308">
        <v>0</v>
      </c>
      <c r="G192" s="308">
        <v>0</v>
      </c>
      <c r="H192" s="457">
        <v>0</v>
      </c>
      <c r="I192" s="494">
        <f>SUM(G192+H192)</f>
        <v>0</v>
      </c>
    </row>
    <row r="193" spans="1:9" hidden="1" x14ac:dyDescent="0.15">
      <c r="A193" s="454"/>
      <c r="B193" s="453" t="s">
        <v>881</v>
      </c>
      <c r="C193" s="454" t="s">
        <v>382</v>
      </c>
      <c r="D193" s="308">
        <v>0</v>
      </c>
      <c r="E193" s="308">
        <v>0</v>
      </c>
      <c r="F193" s="308">
        <v>0</v>
      </c>
      <c r="G193" s="459"/>
      <c r="H193" s="457">
        <v>0</v>
      </c>
      <c r="I193" s="494">
        <f>SUM(G193+H193)</f>
        <v>0</v>
      </c>
    </row>
    <row r="194" spans="1:9" x14ac:dyDescent="0.15">
      <c r="A194" s="135"/>
      <c r="B194" s="451" t="s">
        <v>881</v>
      </c>
      <c r="C194" s="135" t="s">
        <v>338</v>
      </c>
      <c r="D194" s="144">
        <v>0</v>
      </c>
      <c r="E194" s="308">
        <v>0</v>
      </c>
      <c r="F194" s="144">
        <v>0</v>
      </c>
      <c r="G194" s="144">
        <v>0</v>
      </c>
      <c r="H194" s="147">
        <v>0</v>
      </c>
      <c r="I194" s="495">
        <f>SUM(G194+H194)</f>
        <v>0</v>
      </c>
    </row>
    <row r="195" spans="1:9" x14ac:dyDescent="0.15">
      <c r="A195" s="135"/>
      <c r="B195" s="451" t="s">
        <v>882</v>
      </c>
      <c r="C195" s="135" t="s">
        <v>1058</v>
      </c>
      <c r="D195" s="141">
        <v>0</v>
      </c>
      <c r="E195" s="309">
        <v>0</v>
      </c>
      <c r="F195" s="141">
        <v>0</v>
      </c>
      <c r="G195" s="285">
        <v>0</v>
      </c>
      <c r="H195" s="147">
        <v>0</v>
      </c>
      <c r="I195" s="495">
        <f t="shared" ref="I195:I222" si="10">SUM(G195+H195)</f>
        <v>0</v>
      </c>
    </row>
    <row r="196" spans="1:9" x14ac:dyDescent="0.15">
      <c r="A196" s="135"/>
      <c r="B196" s="451" t="s">
        <v>883</v>
      </c>
      <c r="C196" s="135" t="s">
        <v>1059</v>
      </c>
      <c r="D196" s="141">
        <v>0</v>
      </c>
      <c r="E196" s="309">
        <v>0</v>
      </c>
      <c r="F196" s="141">
        <v>0</v>
      </c>
      <c r="G196" s="285">
        <v>0</v>
      </c>
      <c r="H196" s="147">
        <v>0</v>
      </c>
      <c r="I196" s="495">
        <f t="shared" si="10"/>
        <v>0</v>
      </c>
    </row>
    <row r="197" spans="1:9" x14ac:dyDescent="0.15">
      <c r="A197" s="135"/>
      <c r="B197" s="451" t="s">
        <v>1060</v>
      </c>
      <c r="C197" s="135" t="s">
        <v>1061</v>
      </c>
      <c r="D197" s="141">
        <v>0</v>
      </c>
      <c r="E197" s="309">
        <v>0</v>
      </c>
      <c r="F197" s="141">
        <v>0</v>
      </c>
      <c r="G197" s="285">
        <v>0</v>
      </c>
      <c r="H197" s="147">
        <v>0</v>
      </c>
      <c r="I197" s="495">
        <f t="shared" si="10"/>
        <v>0</v>
      </c>
    </row>
    <row r="198" spans="1:9" x14ac:dyDescent="0.15">
      <c r="A198" s="135"/>
      <c r="B198" s="451" t="s">
        <v>1062</v>
      </c>
      <c r="C198" s="135" t="s">
        <v>1063</v>
      </c>
      <c r="D198" s="141">
        <v>0</v>
      </c>
      <c r="E198" s="309">
        <v>0</v>
      </c>
      <c r="F198" s="141">
        <v>0</v>
      </c>
      <c r="G198" s="285">
        <v>0</v>
      </c>
      <c r="H198" s="147">
        <v>0</v>
      </c>
      <c r="I198" s="495">
        <f t="shared" si="10"/>
        <v>0</v>
      </c>
    </row>
    <row r="199" spans="1:9" x14ac:dyDescent="0.15">
      <c r="A199" s="135"/>
      <c r="B199" s="451" t="s">
        <v>884</v>
      </c>
      <c r="C199" s="135" t="s">
        <v>1064</v>
      </c>
      <c r="D199" s="141">
        <v>0</v>
      </c>
      <c r="E199" s="309">
        <v>0</v>
      </c>
      <c r="F199" s="141">
        <v>0</v>
      </c>
      <c r="G199" s="285">
        <v>0</v>
      </c>
      <c r="H199" s="147">
        <v>0</v>
      </c>
      <c r="I199" s="495">
        <f t="shared" si="10"/>
        <v>0</v>
      </c>
    </row>
    <row r="200" spans="1:9" x14ac:dyDescent="0.15">
      <c r="A200" s="135"/>
      <c r="B200" s="451" t="s">
        <v>1067</v>
      </c>
      <c r="C200" s="135" t="s">
        <v>1074</v>
      </c>
      <c r="D200" s="141">
        <v>0</v>
      </c>
      <c r="E200" s="309">
        <v>0</v>
      </c>
      <c r="F200" s="141">
        <v>0</v>
      </c>
      <c r="G200" s="285">
        <v>0</v>
      </c>
      <c r="H200" s="147">
        <v>0</v>
      </c>
      <c r="I200" s="495">
        <f t="shared" si="10"/>
        <v>0</v>
      </c>
    </row>
    <row r="201" spans="1:9" x14ac:dyDescent="0.15">
      <c r="A201" s="135"/>
      <c r="B201" s="451" t="s">
        <v>1072</v>
      </c>
      <c r="C201" s="135" t="s">
        <v>920</v>
      </c>
      <c r="D201" s="141">
        <v>0</v>
      </c>
      <c r="E201" s="309">
        <v>0</v>
      </c>
      <c r="F201" s="141">
        <v>0</v>
      </c>
      <c r="G201" s="285">
        <v>0</v>
      </c>
      <c r="H201" s="147">
        <v>0</v>
      </c>
      <c r="I201" s="495">
        <f t="shared" si="10"/>
        <v>0</v>
      </c>
    </row>
    <row r="202" spans="1:9" x14ac:dyDescent="0.15">
      <c r="A202" s="135"/>
      <c r="B202" s="716" t="s">
        <v>155</v>
      </c>
      <c r="C202" s="703" t="s">
        <v>178</v>
      </c>
      <c r="D202" s="141">
        <v>0</v>
      </c>
      <c r="E202" s="309">
        <v>0</v>
      </c>
      <c r="F202" s="141">
        <v>0</v>
      </c>
      <c r="G202" s="285">
        <v>0</v>
      </c>
      <c r="H202" s="147">
        <v>0</v>
      </c>
      <c r="I202" s="495">
        <f t="shared" ref="I202" si="11">SUM(G202+H202)</f>
        <v>0</v>
      </c>
    </row>
    <row r="203" spans="1:9" x14ac:dyDescent="0.15">
      <c r="A203" s="135"/>
      <c r="B203" s="451" t="s">
        <v>921</v>
      </c>
      <c r="C203" s="135" t="s">
        <v>955</v>
      </c>
      <c r="D203" s="141">
        <v>0</v>
      </c>
      <c r="E203" s="309">
        <v>0</v>
      </c>
      <c r="F203" s="141">
        <v>0</v>
      </c>
      <c r="G203" s="285">
        <v>0</v>
      </c>
      <c r="H203" s="147">
        <v>0</v>
      </c>
      <c r="I203" s="495">
        <f t="shared" si="10"/>
        <v>0</v>
      </c>
    </row>
    <row r="204" spans="1:9" x14ac:dyDescent="0.15">
      <c r="A204" s="135"/>
      <c r="B204" s="451" t="s">
        <v>922</v>
      </c>
      <c r="C204" s="135" t="s">
        <v>1123</v>
      </c>
      <c r="D204" s="141">
        <v>0</v>
      </c>
      <c r="E204" s="309">
        <v>0</v>
      </c>
      <c r="F204" s="141">
        <v>0</v>
      </c>
      <c r="G204" s="285">
        <v>0</v>
      </c>
      <c r="H204" s="147">
        <v>0</v>
      </c>
      <c r="I204" s="495">
        <f t="shared" si="10"/>
        <v>0</v>
      </c>
    </row>
    <row r="205" spans="1:9" x14ac:dyDescent="0.15">
      <c r="A205" s="135"/>
      <c r="B205" s="451" t="s">
        <v>923</v>
      </c>
      <c r="C205" s="135" t="s">
        <v>957</v>
      </c>
      <c r="D205" s="141">
        <v>0</v>
      </c>
      <c r="E205" s="309">
        <v>0</v>
      </c>
      <c r="F205" s="141">
        <v>0</v>
      </c>
      <c r="G205" s="285">
        <v>0</v>
      </c>
      <c r="H205" s="147">
        <v>0</v>
      </c>
      <c r="I205" s="495">
        <f t="shared" si="10"/>
        <v>0</v>
      </c>
    </row>
    <row r="206" spans="1:9" x14ac:dyDescent="0.15">
      <c r="A206" s="135"/>
      <c r="B206" s="451" t="s">
        <v>924</v>
      </c>
      <c r="C206" s="135" t="s">
        <v>958</v>
      </c>
      <c r="D206" s="141">
        <v>0</v>
      </c>
      <c r="E206" s="309">
        <v>0</v>
      </c>
      <c r="F206" s="141">
        <v>0</v>
      </c>
      <c r="G206" s="285">
        <v>0</v>
      </c>
      <c r="H206" s="147">
        <v>0</v>
      </c>
      <c r="I206" s="495">
        <f t="shared" si="10"/>
        <v>0</v>
      </c>
    </row>
    <row r="207" spans="1:9" x14ac:dyDescent="0.15">
      <c r="A207" s="135"/>
      <c r="B207" s="451" t="s">
        <v>925</v>
      </c>
      <c r="C207" s="135" t="s">
        <v>1128</v>
      </c>
      <c r="D207" s="141">
        <v>0</v>
      </c>
      <c r="E207" s="309">
        <v>0</v>
      </c>
      <c r="F207" s="141">
        <v>0</v>
      </c>
      <c r="G207" s="285">
        <v>0</v>
      </c>
      <c r="H207" s="147">
        <v>0</v>
      </c>
      <c r="I207" s="495">
        <f t="shared" si="10"/>
        <v>0</v>
      </c>
    </row>
    <row r="208" spans="1:9" x14ac:dyDescent="0.15">
      <c r="A208" s="135"/>
      <c r="B208" s="451" t="s">
        <v>927</v>
      </c>
      <c r="C208" s="135" t="s">
        <v>959</v>
      </c>
      <c r="D208" s="141">
        <v>0</v>
      </c>
      <c r="E208" s="309">
        <v>0</v>
      </c>
      <c r="F208" s="141">
        <v>0</v>
      </c>
      <c r="G208" s="285">
        <v>0</v>
      </c>
      <c r="H208" s="147">
        <v>0</v>
      </c>
      <c r="I208" s="495">
        <f t="shared" si="10"/>
        <v>0</v>
      </c>
    </row>
    <row r="209" spans="1:9" x14ac:dyDescent="0.15">
      <c r="A209" s="135"/>
      <c r="B209" s="451" t="s">
        <v>928</v>
      </c>
      <c r="C209" s="135" t="s">
        <v>961</v>
      </c>
      <c r="D209" s="141">
        <v>0</v>
      </c>
      <c r="E209" s="309">
        <v>0</v>
      </c>
      <c r="F209" s="141">
        <v>0</v>
      </c>
      <c r="G209" s="285">
        <v>0</v>
      </c>
      <c r="H209" s="147">
        <v>0</v>
      </c>
      <c r="I209" s="495">
        <f t="shared" si="10"/>
        <v>0</v>
      </c>
    </row>
    <row r="210" spans="1:9" x14ac:dyDescent="0.15">
      <c r="A210" s="135"/>
      <c r="B210" s="451" t="s">
        <v>962</v>
      </c>
      <c r="C210" s="135" t="s">
        <v>967</v>
      </c>
      <c r="D210" s="141">
        <v>0</v>
      </c>
      <c r="E210" s="309">
        <v>0</v>
      </c>
      <c r="F210" s="141">
        <v>0</v>
      </c>
      <c r="G210" s="285">
        <v>0</v>
      </c>
      <c r="H210" s="147">
        <v>0</v>
      </c>
      <c r="I210" s="495">
        <f t="shared" si="10"/>
        <v>0</v>
      </c>
    </row>
    <row r="211" spans="1:9" x14ac:dyDescent="0.15">
      <c r="A211" s="135"/>
      <c r="B211" s="451" t="s">
        <v>963</v>
      </c>
      <c r="C211" s="135" t="s">
        <v>1124</v>
      </c>
      <c r="D211" s="141">
        <v>0</v>
      </c>
      <c r="E211" s="309">
        <v>0</v>
      </c>
      <c r="F211" s="141">
        <v>0</v>
      </c>
      <c r="G211" s="285">
        <v>0</v>
      </c>
      <c r="H211" s="147">
        <v>0</v>
      </c>
      <c r="I211" s="495">
        <f t="shared" si="10"/>
        <v>0</v>
      </c>
    </row>
    <row r="212" spans="1:9" x14ac:dyDescent="0.15">
      <c r="A212" s="135"/>
      <c r="B212" s="451" t="s">
        <v>964</v>
      </c>
      <c r="C212" s="135" t="s">
        <v>1094</v>
      </c>
      <c r="D212" s="141">
        <v>0</v>
      </c>
      <c r="E212" s="309">
        <v>0</v>
      </c>
      <c r="F212" s="141">
        <v>0</v>
      </c>
      <c r="G212" s="285">
        <v>0</v>
      </c>
      <c r="H212" s="147">
        <v>0</v>
      </c>
      <c r="I212" s="495">
        <f t="shared" si="10"/>
        <v>0</v>
      </c>
    </row>
    <row r="213" spans="1:9" x14ac:dyDescent="0.15">
      <c r="A213" s="135"/>
      <c r="B213" s="451" t="s">
        <v>965</v>
      </c>
      <c r="C213" s="135" t="s">
        <v>1095</v>
      </c>
      <c r="D213" s="141">
        <v>0</v>
      </c>
      <c r="E213" s="309">
        <v>0</v>
      </c>
      <c r="F213" s="141">
        <v>0</v>
      </c>
      <c r="G213" s="285">
        <v>0</v>
      </c>
      <c r="H213" s="147">
        <v>0</v>
      </c>
      <c r="I213" s="495">
        <f t="shared" si="10"/>
        <v>0</v>
      </c>
    </row>
    <row r="214" spans="1:9" x14ac:dyDescent="0.15">
      <c r="A214" s="135"/>
      <c r="B214" s="451" t="s">
        <v>885</v>
      </c>
      <c r="C214" s="135" t="s">
        <v>1096</v>
      </c>
      <c r="D214" s="141">
        <v>0</v>
      </c>
      <c r="E214" s="309">
        <v>0</v>
      </c>
      <c r="F214" s="141">
        <v>0</v>
      </c>
      <c r="G214" s="285">
        <v>0</v>
      </c>
      <c r="H214" s="147">
        <v>0</v>
      </c>
      <c r="I214" s="495">
        <f t="shared" si="10"/>
        <v>0</v>
      </c>
    </row>
    <row r="215" spans="1:9" x14ac:dyDescent="0.15">
      <c r="A215" s="135"/>
      <c r="B215" s="451" t="s">
        <v>966</v>
      </c>
      <c r="C215" s="135" t="s">
        <v>1097</v>
      </c>
      <c r="D215" s="141">
        <v>0</v>
      </c>
      <c r="E215" s="309">
        <v>0</v>
      </c>
      <c r="F215" s="141">
        <v>0</v>
      </c>
      <c r="G215" s="285">
        <v>0</v>
      </c>
      <c r="H215" s="147">
        <v>0</v>
      </c>
      <c r="I215" s="495">
        <f t="shared" si="10"/>
        <v>0</v>
      </c>
    </row>
    <row r="216" spans="1:9" x14ac:dyDescent="0.15">
      <c r="A216" s="135"/>
      <c r="B216" s="451" t="s">
        <v>886</v>
      </c>
      <c r="C216" s="135" t="s">
        <v>1100</v>
      </c>
      <c r="D216" s="141">
        <v>0</v>
      </c>
      <c r="E216" s="309">
        <v>0</v>
      </c>
      <c r="F216" s="141">
        <v>0</v>
      </c>
      <c r="G216" s="285">
        <v>0</v>
      </c>
      <c r="H216" s="147">
        <v>0</v>
      </c>
      <c r="I216" s="495">
        <f t="shared" si="10"/>
        <v>0</v>
      </c>
    </row>
    <row r="217" spans="1:9" x14ac:dyDescent="0.15">
      <c r="A217" s="135"/>
      <c r="B217" s="451" t="s">
        <v>116</v>
      </c>
      <c r="C217" s="135" t="s">
        <v>1105</v>
      </c>
      <c r="D217" s="141">
        <v>0</v>
      </c>
      <c r="E217" s="309">
        <v>0</v>
      </c>
      <c r="F217" s="141">
        <v>0</v>
      </c>
      <c r="G217" s="285">
        <v>0</v>
      </c>
      <c r="H217" s="147">
        <v>0</v>
      </c>
      <c r="I217" s="495">
        <f t="shared" si="10"/>
        <v>0</v>
      </c>
    </row>
    <row r="218" spans="1:9" x14ac:dyDescent="0.15">
      <c r="A218" s="135"/>
      <c r="B218" s="451" t="s">
        <v>112</v>
      </c>
      <c r="C218" s="135" t="s">
        <v>1110</v>
      </c>
      <c r="D218" s="141">
        <v>0</v>
      </c>
      <c r="E218" s="309">
        <v>0</v>
      </c>
      <c r="F218" s="141">
        <v>0</v>
      </c>
      <c r="G218" s="285">
        <v>0</v>
      </c>
      <c r="H218" s="147">
        <v>0</v>
      </c>
      <c r="I218" s="495">
        <f t="shared" si="10"/>
        <v>0</v>
      </c>
    </row>
    <row r="219" spans="1:9" x14ac:dyDescent="0.15">
      <c r="A219" s="135"/>
      <c r="B219" s="451" t="s">
        <v>887</v>
      </c>
      <c r="C219" s="135" t="s">
        <v>1116</v>
      </c>
      <c r="D219" s="141">
        <v>0</v>
      </c>
      <c r="E219" s="309">
        <v>0</v>
      </c>
      <c r="F219" s="141">
        <v>0</v>
      </c>
      <c r="G219" s="285">
        <v>0</v>
      </c>
      <c r="H219" s="147">
        <v>0</v>
      </c>
      <c r="I219" s="495">
        <f t="shared" si="10"/>
        <v>0</v>
      </c>
    </row>
    <row r="220" spans="1:9" x14ac:dyDescent="0.15">
      <c r="A220" s="135"/>
      <c r="B220" s="451" t="s">
        <v>1112</v>
      </c>
      <c r="C220" s="135" t="s">
        <v>1117</v>
      </c>
      <c r="D220" s="141">
        <v>0</v>
      </c>
      <c r="E220" s="309">
        <v>0</v>
      </c>
      <c r="F220" s="141">
        <v>0</v>
      </c>
      <c r="G220" s="285">
        <v>0</v>
      </c>
      <c r="H220" s="147">
        <v>0</v>
      </c>
      <c r="I220" s="495">
        <f t="shared" si="10"/>
        <v>0</v>
      </c>
    </row>
    <row r="221" spans="1:9" x14ac:dyDescent="0.15">
      <c r="A221" s="135"/>
      <c r="B221" s="451" t="s">
        <v>1113</v>
      </c>
      <c r="C221" s="135" t="s">
        <v>1118</v>
      </c>
      <c r="D221" s="141">
        <v>0</v>
      </c>
      <c r="E221" s="309">
        <v>0</v>
      </c>
      <c r="F221" s="141">
        <v>0</v>
      </c>
      <c r="G221" s="285">
        <v>0</v>
      </c>
      <c r="H221" s="147">
        <v>0</v>
      </c>
      <c r="I221" s="495">
        <f t="shared" si="10"/>
        <v>0</v>
      </c>
    </row>
    <row r="222" spans="1:9" ht="11.25" thickBot="1" x14ac:dyDescent="0.2">
      <c r="A222" s="135"/>
      <c r="B222" s="451" t="s">
        <v>1114</v>
      </c>
      <c r="C222" s="135" t="s">
        <v>1119</v>
      </c>
      <c r="D222" s="141">
        <v>0</v>
      </c>
      <c r="E222" s="309">
        <v>0</v>
      </c>
      <c r="F222" s="141">
        <v>0</v>
      </c>
      <c r="G222" s="285">
        <v>0</v>
      </c>
      <c r="H222" s="147">
        <v>0</v>
      </c>
      <c r="I222" s="495">
        <f t="shared" si="10"/>
        <v>0</v>
      </c>
    </row>
    <row r="223" spans="1:9" ht="12" thickTop="1" thickBot="1" x14ac:dyDescent="0.2">
      <c r="A223" s="135"/>
      <c r="B223" s="451"/>
      <c r="C223" s="135" t="s">
        <v>1196</v>
      </c>
      <c r="D223" s="166">
        <f>SUM(D191:D222)</f>
        <v>0</v>
      </c>
      <c r="E223" s="297">
        <f>SUM(E191:E222)</f>
        <v>0</v>
      </c>
      <c r="F223" s="166">
        <f>SUM(F191:F222)</f>
        <v>0</v>
      </c>
      <c r="G223" s="166">
        <f>SUM(G191:G222)</f>
        <v>0</v>
      </c>
      <c r="H223" s="166">
        <f>SUM(H191:H222)</f>
        <v>0</v>
      </c>
      <c r="I223" s="493">
        <f>SUM(G223+H223)</f>
        <v>0</v>
      </c>
    </row>
    <row r="224" spans="1:9" ht="11.25" thickTop="1" x14ac:dyDescent="0.15">
      <c r="A224" s="135"/>
      <c r="B224" s="451"/>
      <c r="C224" s="135"/>
      <c r="D224" s="195"/>
      <c r="E224" s="312"/>
      <c r="F224" s="195"/>
      <c r="G224" s="195"/>
      <c r="H224" s="14"/>
      <c r="I224" s="491"/>
    </row>
    <row r="225" spans="1:9" x14ac:dyDescent="0.15">
      <c r="A225" s="442" t="s">
        <v>1159</v>
      </c>
      <c r="B225" s="442"/>
      <c r="C225" s="442"/>
      <c r="D225" s="14"/>
      <c r="E225" s="301"/>
      <c r="F225" s="14"/>
      <c r="G225" s="14"/>
      <c r="H225" s="14"/>
      <c r="I225" s="491"/>
    </row>
    <row r="226" spans="1:9" hidden="1" x14ac:dyDescent="0.15">
      <c r="A226" s="416"/>
      <c r="B226" s="453" t="s">
        <v>880</v>
      </c>
      <c r="C226" s="454" t="s">
        <v>1164</v>
      </c>
      <c r="D226" s="308">
        <v>0</v>
      </c>
      <c r="E226" s="308">
        <v>0</v>
      </c>
      <c r="F226" s="308">
        <v>0</v>
      </c>
      <c r="G226" s="458"/>
      <c r="H226" s="457">
        <v>0</v>
      </c>
      <c r="I226" s="494">
        <f>SUM(G226+H226)</f>
        <v>0</v>
      </c>
    </row>
    <row r="227" spans="1:9" x14ac:dyDescent="0.15">
      <c r="A227" s="416"/>
      <c r="B227" s="453" t="s">
        <v>880</v>
      </c>
      <c r="C227" s="454" t="s">
        <v>337</v>
      </c>
      <c r="D227" s="308">
        <v>0</v>
      </c>
      <c r="E227" s="308">
        <v>0</v>
      </c>
      <c r="F227" s="308">
        <v>0</v>
      </c>
      <c r="G227" s="308">
        <v>0</v>
      </c>
      <c r="H227" s="457">
        <v>0</v>
      </c>
      <c r="I227" s="494">
        <f>SUM(G227+H227)</f>
        <v>0</v>
      </c>
    </row>
    <row r="228" spans="1:9" hidden="1" x14ac:dyDescent="0.15">
      <c r="A228" s="454"/>
      <c r="B228" s="453" t="s">
        <v>881</v>
      </c>
      <c r="C228" s="454" t="s">
        <v>382</v>
      </c>
      <c r="D228" s="308">
        <v>0</v>
      </c>
      <c r="E228" s="308">
        <v>0</v>
      </c>
      <c r="F228" s="308">
        <v>0</v>
      </c>
      <c r="G228" s="459"/>
      <c r="H228" s="457">
        <v>0</v>
      </c>
      <c r="I228" s="494">
        <f>SUM(G228+H228)</f>
        <v>0</v>
      </c>
    </row>
    <row r="229" spans="1:9" x14ac:dyDescent="0.15">
      <c r="A229" s="454"/>
      <c r="B229" s="453" t="s">
        <v>881</v>
      </c>
      <c r="C229" s="454" t="s">
        <v>338</v>
      </c>
      <c r="D229" s="308">
        <v>0</v>
      </c>
      <c r="E229" s="308">
        <v>0</v>
      </c>
      <c r="F229" s="308">
        <v>0</v>
      </c>
      <c r="G229" s="308">
        <v>0</v>
      </c>
      <c r="H229" s="457">
        <v>0</v>
      </c>
      <c r="I229" s="494">
        <f>SUM(G229+H229)</f>
        <v>0</v>
      </c>
    </row>
    <row r="230" spans="1:9" x14ac:dyDescent="0.15">
      <c r="A230" s="135"/>
      <c r="B230" s="451" t="s">
        <v>882</v>
      </c>
      <c r="C230" s="135" t="s">
        <v>1058</v>
      </c>
      <c r="D230" s="141">
        <v>0</v>
      </c>
      <c r="E230" s="309">
        <v>0</v>
      </c>
      <c r="F230" s="141">
        <v>0</v>
      </c>
      <c r="G230" s="285">
        <v>0</v>
      </c>
      <c r="H230" s="147">
        <v>0</v>
      </c>
      <c r="I230" s="495">
        <f t="shared" ref="I230:I259" si="12">SUM(G230+H230)</f>
        <v>0</v>
      </c>
    </row>
    <row r="231" spans="1:9" x14ac:dyDescent="0.15">
      <c r="A231" s="135"/>
      <c r="B231" s="451" t="s">
        <v>883</v>
      </c>
      <c r="C231" s="135" t="s">
        <v>1059</v>
      </c>
      <c r="D231" s="141">
        <v>0</v>
      </c>
      <c r="E231" s="309">
        <v>0</v>
      </c>
      <c r="F231" s="141">
        <v>0</v>
      </c>
      <c r="G231" s="285">
        <v>0</v>
      </c>
      <c r="H231" s="147">
        <v>0</v>
      </c>
      <c r="I231" s="495">
        <f t="shared" si="12"/>
        <v>0</v>
      </c>
    </row>
    <row r="232" spans="1:9" x14ac:dyDescent="0.15">
      <c r="A232" s="135"/>
      <c r="B232" s="451" t="s">
        <v>1060</v>
      </c>
      <c r="C232" s="135" t="s">
        <v>1061</v>
      </c>
      <c r="D232" s="141">
        <v>0</v>
      </c>
      <c r="E232" s="309">
        <v>0</v>
      </c>
      <c r="F232" s="141">
        <v>0</v>
      </c>
      <c r="G232" s="285">
        <v>0</v>
      </c>
      <c r="H232" s="147">
        <v>0</v>
      </c>
      <c r="I232" s="495">
        <f t="shared" si="12"/>
        <v>0</v>
      </c>
    </row>
    <row r="233" spans="1:9" x14ac:dyDescent="0.15">
      <c r="A233" s="135"/>
      <c r="B233" s="451" t="s">
        <v>1062</v>
      </c>
      <c r="C233" s="135" t="s">
        <v>1063</v>
      </c>
      <c r="D233" s="141">
        <v>0</v>
      </c>
      <c r="E233" s="309">
        <v>0</v>
      </c>
      <c r="F233" s="141">
        <v>0</v>
      </c>
      <c r="G233" s="285">
        <v>0</v>
      </c>
      <c r="H233" s="147">
        <v>0</v>
      </c>
      <c r="I233" s="495">
        <f t="shared" si="12"/>
        <v>0</v>
      </c>
    </row>
    <row r="234" spans="1:9" x14ac:dyDescent="0.15">
      <c r="A234" s="135"/>
      <c r="B234" s="451" t="s">
        <v>884</v>
      </c>
      <c r="C234" s="135" t="s">
        <v>1064</v>
      </c>
      <c r="D234" s="141">
        <v>0</v>
      </c>
      <c r="E234" s="309">
        <v>0</v>
      </c>
      <c r="F234" s="141">
        <v>0</v>
      </c>
      <c r="G234" s="285">
        <v>0</v>
      </c>
      <c r="H234" s="147">
        <v>0</v>
      </c>
      <c r="I234" s="495">
        <f t="shared" si="12"/>
        <v>0</v>
      </c>
    </row>
    <row r="235" spans="1:9" x14ac:dyDescent="0.15">
      <c r="A235" s="135"/>
      <c r="B235" s="451" t="s">
        <v>1067</v>
      </c>
      <c r="C235" s="135" t="s">
        <v>1074</v>
      </c>
      <c r="D235" s="141">
        <v>0</v>
      </c>
      <c r="E235" s="309">
        <v>0</v>
      </c>
      <c r="F235" s="141">
        <v>0</v>
      </c>
      <c r="G235" s="285">
        <v>0</v>
      </c>
      <c r="H235" s="147">
        <v>0</v>
      </c>
      <c r="I235" s="495">
        <f t="shared" si="12"/>
        <v>0</v>
      </c>
    </row>
    <row r="236" spans="1:9" x14ac:dyDescent="0.15">
      <c r="A236" s="135"/>
      <c r="B236" s="451" t="s">
        <v>1072</v>
      </c>
      <c r="C236" s="135" t="s">
        <v>920</v>
      </c>
      <c r="D236" s="141">
        <v>0</v>
      </c>
      <c r="E236" s="309">
        <v>0</v>
      </c>
      <c r="F236" s="141">
        <v>0</v>
      </c>
      <c r="G236" s="285">
        <v>0</v>
      </c>
      <c r="H236" s="147">
        <v>0</v>
      </c>
      <c r="I236" s="495">
        <f t="shared" si="12"/>
        <v>0</v>
      </c>
    </row>
    <row r="237" spans="1:9" x14ac:dyDescent="0.15">
      <c r="A237" s="135"/>
      <c r="B237" s="716" t="s">
        <v>155</v>
      </c>
      <c r="C237" s="703" t="s">
        <v>178</v>
      </c>
      <c r="D237" s="141">
        <v>0</v>
      </c>
      <c r="E237" s="309">
        <v>0</v>
      </c>
      <c r="F237" s="141">
        <v>0</v>
      </c>
      <c r="G237" s="285">
        <v>0</v>
      </c>
      <c r="H237" s="147">
        <v>0</v>
      </c>
      <c r="I237" s="495">
        <f t="shared" ref="I237" si="13">SUM(G237+H237)</f>
        <v>0</v>
      </c>
    </row>
    <row r="238" spans="1:9" x14ac:dyDescent="0.15">
      <c r="A238" s="135"/>
      <c r="B238" s="451" t="s">
        <v>921</v>
      </c>
      <c r="C238" s="135" t="s">
        <v>955</v>
      </c>
      <c r="D238" s="141">
        <v>0</v>
      </c>
      <c r="E238" s="309">
        <v>0</v>
      </c>
      <c r="F238" s="141">
        <v>0</v>
      </c>
      <c r="G238" s="285">
        <v>0</v>
      </c>
      <c r="H238" s="147">
        <v>0</v>
      </c>
      <c r="I238" s="495">
        <f t="shared" si="12"/>
        <v>0</v>
      </c>
    </row>
    <row r="239" spans="1:9" x14ac:dyDescent="0.15">
      <c r="A239" s="135"/>
      <c r="B239" s="451" t="s">
        <v>922</v>
      </c>
      <c r="C239" s="135" t="s">
        <v>1123</v>
      </c>
      <c r="D239" s="141">
        <v>0</v>
      </c>
      <c r="E239" s="309">
        <v>0</v>
      </c>
      <c r="F239" s="141">
        <v>0</v>
      </c>
      <c r="G239" s="285">
        <v>0</v>
      </c>
      <c r="H239" s="147">
        <v>0</v>
      </c>
      <c r="I239" s="495">
        <f t="shared" si="12"/>
        <v>0</v>
      </c>
    </row>
    <row r="240" spans="1:9" x14ac:dyDescent="0.15">
      <c r="A240" s="135"/>
      <c r="B240" s="451" t="s">
        <v>923</v>
      </c>
      <c r="C240" s="135" t="s">
        <v>957</v>
      </c>
      <c r="D240" s="141">
        <v>0</v>
      </c>
      <c r="E240" s="309">
        <v>0</v>
      </c>
      <c r="F240" s="141">
        <v>0</v>
      </c>
      <c r="G240" s="285">
        <v>0</v>
      </c>
      <c r="H240" s="147">
        <v>0</v>
      </c>
      <c r="I240" s="495">
        <f t="shared" si="12"/>
        <v>0</v>
      </c>
    </row>
    <row r="241" spans="1:9" x14ac:dyDescent="0.15">
      <c r="A241" s="135"/>
      <c r="B241" s="451" t="s">
        <v>924</v>
      </c>
      <c r="C241" s="135" t="s">
        <v>958</v>
      </c>
      <c r="D241" s="141">
        <v>0</v>
      </c>
      <c r="E241" s="309">
        <v>0</v>
      </c>
      <c r="F241" s="141">
        <v>0</v>
      </c>
      <c r="G241" s="285">
        <v>0</v>
      </c>
      <c r="H241" s="147">
        <v>0</v>
      </c>
      <c r="I241" s="495">
        <f t="shared" si="12"/>
        <v>0</v>
      </c>
    </row>
    <row r="242" spans="1:9" x14ac:dyDescent="0.15">
      <c r="A242" s="135"/>
      <c r="B242" s="451" t="s">
        <v>925</v>
      </c>
      <c r="C242" s="135" t="s">
        <v>1128</v>
      </c>
      <c r="D242" s="141">
        <v>0</v>
      </c>
      <c r="E242" s="309">
        <v>0</v>
      </c>
      <c r="F242" s="141">
        <v>0</v>
      </c>
      <c r="G242" s="285">
        <v>0</v>
      </c>
      <c r="H242" s="147">
        <v>0</v>
      </c>
      <c r="I242" s="495">
        <f t="shared" si="12"/>
        <v>0</v>
      </c>
    </row>
    <row r="243" spans="1:9" x14ac:dyDescent="0.15">
      <c r="A243" s="135"/>
      <c r="B243" s="451" t="s">
        <v>926</v>
      </c>
      <c r="C243" s="135" t="s">
        <v>1129</v>
      </c>
      <c r="D243" s="141">
        <v>0</v>
      </c>
      <c r="E243" s="309">
        <v>0</v>
      </c>
      <c r="F243" s="141">
        <v>0</v>
      </c>
      <c r="G243" s="285">
        <v>0</v>
      </c>
      <c r="H243" s="147">
        <v>0</v>
      </c>
      <c r="I243" s="495">
        <f t="shared" si="12"/>
        <v>0</v>
      </c>
    </row>
    <row r="244" spans="1:9" x14ac:dyDescent="0.15">
      <c r="A244" s="135"/>
      <c r="B244" s="451" t="s">
        <v>927</v>
      </c>
      <c r="C244" s="135" t="s">
        <v>959</v>
      </c>
      <c r="D244" s="141">
        <v>0</v>
      </c>
      <c r="E244" s="309">
        <v>0</v>
      </c>
      <c r="F244" s="141">
        <v>0</v>
      </c>
      <c r="G244" s="285">
        <v>0</v>
      </c>
      <c r="H244" s="147">
        <v>0</v>
      </c>
      <c r="I244" s="495">
        <f t="shared" si="12"/>
        <v>0</v>
      </c>
    </row>
    <row r="245" spans="1:9" x14ac:dyDescent="0.15">
      <c r="A245" s="135"/>
      <c r="B245" s="451" t="s">
        <v>928</v>
      </c>
      <c r="C245" s="135" t="s">
        <v>961</v>
      </c>
      <c r="D245" s="141">
        <v>0</v>
      </c>
      <c r="E245" s="309">
        <v>0</v>
      </c>
      <c r="F245" s="141">
        <v>0</v>
      </c>
      <c r="G245" s="285">
        <v>0</v>
      </c>
      <c r="H245" s="147">
        <v>0</v>
      </c>
      <c r="I245" s="495">
        <f t="shared" si="12"/>
        <v>0</v>
      </c>
    </row>
    <row r="246" spans="1:9" x14ac:dyDescent="0.15">
      <c r="A246" s="135"/>
      <c r="B246" s="451" t="s">
        <v>962</v>
      </c>
      <c r="C246" s="135" t="s">
        <v>967</v>
      </c>
      <c r="D246" s="141">
        <v>0</v>
      </c>
      <c r="E246" s="309">
        <v>0</v>
      </c>
      <c r="F246" s="141">
        <v>0</v>
      </c>
      <c r="G246" s="285">
        <v>0</v>
      </c>
      <c r="H246" s="147">
        <v>0</v>
      </c>
      <c r="I246" s="495">
        <f t="shared" si="12"/>
        <v>0</v>
      </c>
    </row>
    <row r="247" spans="1:9" x14ac:dyDescent="0.15">
      <c r="A247" s="135"/>
      <c r="B247" s="451" t="s">
        <v>963</v>
      </c>
      <c r="C247" s="135" t="s">
        <v>1124</v>
      </c>
      <c r="D247" s="141">
        <v>0</v>
      </c>
      <c r="E247" s="309">
        <v>0</v>
      </c>
      <c r="F247" s="141">
        <v>0</v>
      </c>
      <c r="G247" s="285">
        <v>0</v>
      </c>
      <c r="H247" s="147">
        <v>0</v>
      </c>
      <c r="I247" s="495">
        <f t="shared" si="12"/>
        <v>0</v>
      </c>
    </row>
    <row r="248" spans="1:9" x14ac:dyDescent="0.15">
      <c r="A248" s="135"/>
      <c r="B248" s="451" t="s">
        <v>964</v>
      </c>
      <c r="C248" s="135" t="s">
        <v>1094</v>
      </c>
      <c r="D248" s="141">
        <v>0</v>
      </c>
      <c r="E248" s="309">
        <v>0</v>
      </c>
      <c r="F248" s="141">
        <v>0</v>
      </c>
      <c r="G248" s="285">
        <v>0</v>
      </c>
      <c r="H248" s="147">
        <v>0</v>
      </c>
      <c r="I248" s="495">
        <f t="shared" si="12"/>
        <v>0</v>
      </c>
    </row>
    <row r="249" spans="1:9" x14ac:dyDescent="0.15">
      <c r="A249" s="135"/>
      <c r="B249" s="451" t="s">
        <v>965</v>
      </c>
      <c r="C249" s="135" t="s">
        <v>1095</v>
      </c>
      <c r="D249" s="141">
        <v>0</v>
      </c>
      <c r="E249" s="309">
        <v>0</v>
      </c>
      <c r="F249" s="141">
        <v>0</v>
      </c>
      <c r="G249" s="285">
        <v>0</v>
      </c>
      <c r="H249" s="147">
        <v>0</v>
      </c>
      <c r="I249" s="495">
        <f t="shared" si="12"/>
        <v>0</v>
      </c>
    </row>
    <row r="250" spans="1:9" x14ac:dyDescent="0.15">
      <c r="A250" s="135"/>
      <c r="B250" s="451" t="s">
        <v>885</v>
      </c>
      <c r="C250" s="135" t="s">
        <v>1096</v>
      </c>
      <c r="D250" s="141">
        <v>0</v>
      </c>
      <c r="E250" s="309">
        <v>0</v>
      </c>
      <c r="F250" s="141">
        <v>0</v>
      </c>
      <c r="G250" s="285">
        <v>0</v>
      </c>
      <c r="H250" s="147">
        <v>0</v>
      </c>
      <c r="I250" s="495">
        <f t="shared" si="12"/>
        <v>0</v>
      </c>
    </row>
    <row r="251" spans="1:9" x14ac:dyDescent="0.15">
      <c r="A251" s="135"/>
      <c r="B251" s="451" t="s">
        <v>966</v>
      </c>
      <c r="C251" s="135" t="s">
        <v>1097</v>
      </c>
      <c r="D251" s="141">
        <v>0</v>
      </c>
      <c r="E251" s="309">
        <v>0</v>
      </c>
      <c r="F251" s="141">
        <v>0</v>
      </c>
      <c r="G251" s="285">
        <v>0</v>
      </c>
      <c r="H251" s="147">
        <v>0</v>
      </c>
      <c r="I251" s="495">
        <f t="shared" si="12"/>
        <v>0</v>
      </c>
    </row>
    <row r="252" spans="1:9" x14ac:dyDescent="0.15">
      <c r="A252" s="135"/>
      <c r="B252" s="451" t="s">
        <v>886</v>
      </c>
      <c r="C252" s="135" t="s">
        <v>1100</v>
      </c>
      <c r="D252" s="141">
        <v>0</v>
      </c>
      <c r="E252" s="309">
        <v>0</v>
      </c>
      <c r="F252" s="141">
        <v>0</v>
      </c>
      <c r="G252" s="285">
        <v>0</v>
      </c>
      <c r="H252" s="147">
        <v>0</v>
      </c>
      <c r="I252" s="495">
        <f t="shared" si="12"/>
        <v>0</v>
      </c>
    </row>
    <row r="253" spans="1:9" x14ac:dyDescent="0.15">
      <c r="A253" s="135"/>
      <c r="B253" s="451" t="s">
        <v>116</v>
      </c>
      <c r="C253" s="135" t="s">
        <v>1105</v>
      </c>
      <c r="D253" s="141">
        <v>0</v>
      </c>
      <c r="E253" s="309">
        <v>0</v>
      </c>
      <c r="F253" s="141">
        <v>0</v>
      </c>
      <c r="G253" s="285">
        <v>0</v>
      </c>
      <c r="H253" s="147">
        <v>0</v>
      </c>
      <c r="I253" s="495">
        <f t="shared" si="12"/>
        <v>0</v>
      </c>
    </row>
    <row r="254" spans="1:9" x14ac:dyDescent="0.15">
      <c r="A254" s="135"/>
      <c r="B254" s="451" t="s">
        <v>112</v>
      </c>
      <c r="C254" s="135" t="s">
        <v>1110</v>
      </c>
      <c r="D254" s="141">
        <v>0</v>
      </c>
      <c r="E254" s="309">
        <v>0</v>
      </c>
      <c r="F254" s="141">
        <v>0</v>
      </c>
      <c r="G254" s="285">
        <v>0</v>
      </c>
      <c r="H254" s="147">
        <v>0</v>
      </c>
      <c r="I254" s="495">
        <f t="shared" si="12"/>
        <v>0</v>
      </c>
    </row>
    <row r="255" spans="1:9" x14ac:dyDescent="0.15">
      <c r="A255" s="135"/>
      <c r="B255" s="451" t="s">
        <v>887</v>
      </c>
      <c r="C255" s="135" t="s">
        <v>1116</v>
      </c>
      <c r="D255" s="141">
        <v>0</v>
      </c>
      <c r="E255" s="309">
        <v>0</v>
      </c>
      <c r="F255" s="141">
        <v>0</v>
      </c>
      <c r="G255" s="285">
        <v>0</v>
      </c>
      <c r="H255" s="147">
        <v>0</v>
      </c>
      <c r="I255" s="495">
        <f t="shared" si="12"/>
        <v>0</v>
      </c>
    </row>
    <row r="256" spans="1:9" x14ac:dyDescent="0.15">
      <c r="A256" s="135"/>
      <c r="B256" s="451" t="s">
        <v>1112</v>
      </c>
      <c r="C256" s="135" t="s">
        <v>1117</v>
      </c>
      <c r="D256" s="141">
        <v>0</v>
      </c>
      <c r="E256" s="309">
        <v>0</v>
      </c>
      <c r="F256" s="141">
        <v>0</v>
      </c>
      <c r="G256" s="285">
        <v>0</v>
      </c>
      <c r="H256" s="147">
        <v>0</v>
      </c>
      <c r="I256" s="495">
        <f t="shared" si="12"/>
        <v>0</v>
      </c>
    </row>
    <row r="257" spans="1:9" x14ac:dyDescent="0.15">
      <c r="A257" s="135"/>
      <c r="B257" s="451" t="s">
        <v>1113</v>
      </c>
      <c r="C257" s="135" t="s">
        <v>1118</v>
      </c>
      <c r="D257" s="141">
        <v>0</v>
      </c>
      <c r="E257" s="309">
        <v>0</v>
      </c>
      <c r="F257" s="141">
        <v>0</v>
      </c>
      <c r="G257" s="285">
        <v>0</v>
      </c>
      <c r="H257" s="147">
        <v>0</v>
      </c>
      <c r="I257" s="495">
        <f t="shared" si="12"/>
        <v>0</v>
      </c>
    </row>
    <row r="258" spans="1:9" ht="11.25" thickBot="1" x14ac:dyDescent="0.2">
      <c r="A258" s="135"/>
      <c r="B258" s="451" t="s">
        <v>1114</v>
      </c>
      <c r="C258" s="135" t="s">
        <v>1119</v>
      </c>
      <c r="D258" s="141">
        <v>0</v>
      </c>
      <c r="E258" s="309">
        <v>0</v>
      </c>
      <c r="F258" s="141">
        <v>0</v>
      </c>
      <c r="G258" s="285">
        <v>0</v>
      </c>
      <c r="H258" s="147">
        <v>0</v>
      </c>
      <c r="I258" s="495">
        <f t="shared" si="12"/>
        <v>0</v>
      </c>
    </row>
    <row r="259" spans="1:9" ht="12" thickTop="1" thickBot="1" x14ac:dyDescent="0.2">
      <c r="A259" s="135"/>
      <c r="B259" s="451"/>
      <c r="C259" s="135" t="s">
        <v>1160</v>
      </c>
      <c r="D259" s="166">
        <f>SUM(D226:D258)</f>
        <v>0</v>
      </c>
      <c r="E259" s="297">
        <f>SUM(E226:E258)</f>
        <v>0</v>
      </c>
      <c r="F259" s="166">
        <f>SUM(F226:F258)</f>
        <v>0</v>
      </c>
      <c r="G259" s="166">
        <f>SUM(G226:G258)</f>
        <v>0</v>
      </c>
      <c r="H259" s="166">
        <f>SUM(H226:H258)</f>
        <v>0</v>
      </c>
      <c r="I259" s="166">
        <f t="shared" si="12"/>
        <v>0</v>
      </c>
    </row>
    <row r="260" spans="1:9" ht="11.25" thickTop="1" x14ac:dyDescent="0.15">
      <c r="A260" s="442"/>
      <c r="B260" s="442"/>
      <c r="C260" s="442"/>
      <c r="D260" s="14"/>
      <c r="E260" s="301"/>
      <c r="F260" s="14"/>
      <c r="G260" s="14"/>
      <c r="H260" s="14"/>
      <c r="I260" s="491"/>
    </row>
    <row r="261" spans="1:9" x14ac:dyDescent="0.15">
      <c r="A261" s="442" t="s">
        <v>129</v>
      </c>
      <c r="B261" s="135"/>
      <c r="C261" s="135"/>
      <c r="D261" s="14"/>
      <c r="E261" s="301"/>
      <c r="F261" s="14"/>
      <c r="G261" s="14"/>
      <c r="H261" s="14"/>
      <c r="I261" s="491"/>
    </row>
    <row r="262" spans="1:9" hidden="1" x14ac:dyDescent="0.15">
      <c r="A262" s="416"/>
      <c r="B262" s="453" t="s">
        <v>880</v>
      </c>
      <c r="C262" s="454" t="s">
        <v>1164</v>
      </c>
      <c r="D262" s="308">
        <v>0</v>
      </c>
      <c r="E262" s="308">
        <v>0</v>
      </c>
      <c r="F262" s="308">
        <v>0</v>
      </c>
      <c r="G262" s="458"/>
      <c r="H262" s="457">
        <v>0</v>
      </c>
      <c r="I262" s="494">
        <f>SUM(G262+H262)</f>
        <v>0</v>
      </c>
    </row>
    <row r="263" spans="1:9" x14ac:dyDescent="0.15">
      <c r="A263" s="416"/>
      <c r="B263" s="453" t="s">
        <v>880</v>
      </c>
      <c r="C263" s="454" t="s">
        <v>337</v>
      </c>
      <c r="D263" s="308">
        <v>0</v>
      </c>
      <c r="E263" s="308">
        <v>0</v>
      </c>
      <c r="F263" s="308">
        <v>0</v>
      </c>
      <c r="G263" s="308">
        <v>0</v>
      </c>
      <c r="H263" s="457">
        <v>0</v>
      </c>
      <c r="I263" s="494">
        <f>SUM(G263+H263)</f>
        <v>0</v>
      </c>
    </row>
    <row r="264" spans="1:9" hidden="1" x14ac:dyDescent="0.15">
      <c r="A264" s="454"/>
      <c r="B264" s="453" t="s">
        <v>881</v>
      </c>
      <c r="C264" s="454" t="s">
        <v>382</v>
      </c>
      <c r="D264" s="308">
        <v>0</v>
      </c>
      <c r="E264" s="308">
        <v>0</v>
      </c>
      <c r="F264" s="308">
        <v>0</v>
      </c>
      <c r="G264" s="459"/>
      <c r="H264" s="457">
        <v>0</v>
      </c>
      <c r="I264" s="494">
        <f>SUM(G264+H264)</f>
        <v>0</v>
      </c>
    </row>
    <row r="265" spans="1:9" x14ac:dyDescent="0.15">
      <c r="A265" s="135"/>
      <c r="B265" s="451" t="s">
        <v>881</v>
      </c>
      <c r="C265" s="135" t="s">
        <v>338</v>
      </c>
      <c r="D265" s="144">
        <v>0</v>
      </c>
      <c r="E265" s="308">
        <v>0</v>
      </c>
      <c r="F265" s="144">
        <v>0</v>
      </c>
      <c r="G265" s="144">
        <v>0</v>
      </c>
      <c r="H265" s="147">
        <v>0</v>
      </c>
      <c r="I265" s="495">
        <f>SUM(G265+H265)</f>
        <v>0</v>
      </c>
    </row>
    <row r="266" spans="1:9" x14ac:dyDescent="0.15">
      <c r="A266" s="135"/>
      <c r="B266" s="451" t="s">
        <v>882</v>
      </c>
      <c r="C266" s="135" t="s">
        <v>1058</v>
      </c>
      <c r="D266" s="141">
        <v>0</v>
      </c>
      <c r="E266" s="309">
        <v>0</v>
      </c>
      <c r="F266" s="141">
        <v>0</v>
      </c>
      <c r="G266" s="285">
        <v>0</v>
      </c>
      <c r="H266" s="147">
        <v>0</v>
      </c>
      <c r="I266" s="495">
        <f t="shared" ref="I266:I295" si="14">SUM(G266+H266)</f>
        <v>0</v>
      </c>
    </row>
    <row r="267" spans="1:9" x14ac:dyDescent="0.15">
      <c r="A267" s="135"/>
      <c r="B267" s="451" t="s">
        <v>883</v>
      </c>
      <c r="C267" s="135" t="s">
        <v>1059</v>
      </c>
      <c r="D267" s="141">
        <v>0</v>
      </c>
      <c r="E267" s="309">
        <v>0</v>
      </c>
      <c r="F267" s="141">
        <v>0</v>
      </c>
      <c r="G267" s="285">
        <v>0</v>
      </c>
      <c r="H267" s="147">
        <v>0</v>
      </c>
      <c r="I267" s="495">
        <f t="shared" si="14"/>
        <v>0</v>
      </c>
    </row>
    <row r="268" spans="1:9" x14ac:dyDescent="0.15">
      <c r="A268" s="135"/>
      <c r="B268" s="451" t="s">
        <v>1060</v>
      </c>
      <c r="C268" s="135" t="s">
        <v>1061</v>
      </c>
      <c r="D268" s="141">
        <v>0</v>
      </c>
      <c r="E268" s="309">
        <v>0</v>
      </c>
      <c r="F268" s="141">
        <v>0</v>
      </c>
      <c r="G268" s="285">
        <v>0</v>
      </c>
      <c r="H268" s="147">
        <v>0</v>
      </c>
      <c r="I268" s="495">
        <f t="shared" si="14"/>
        <v>0</v>
      </c>
    </row>
    <row r="269" spans="1:9" x14ac:dyDescent="0.15">
      <c r="A269" s="135"/>
      <c r="B269" s="451" t="s">
        <v>1062</v>
      </c>
      <c r="C269" s="135" t="s">
        <v>1063</v>
      </c>
      <c r="D269" s="141">
        <v>0</v>
      </c>
      <c r="E269" s="309">
        <v>0</v>
      </c>
      <c r="F269" s="141">
        <v>0</v>
      </c>
      <c r="G269" s="285">
        <v>0</v>
      </c>
      <c r="H269" s="147">
        <v>0</v>
      </c>
      <c r="I269" s="495">
        <f t="shared" si="14"/>
        <v>0</v>
      </c>
    </row>
    <row r="270" spans="1:9" x14ac:dyDescent="0.15">
      <c r="A270" s="135"/>
      <c r="B270" s="451" t="s">
        <v>884</v>
      </c>
      <c r="C270" s="135" t="s">
        <v>1064</v>
      </c>
      <c r="D270" s="141">
        <v>0</v>
      </c>
      <c r="E270" s="309">
        <v>0</v>
      </c>
      <c r="F270" s="141">
        <v>0</v>
      </c>
      <c r="G270" s="285">
        <v>0</v>
      </c>
      <c r="H270" s="147">
        <v>0</v>
      </c>
      <c r="I270" s="495">
        <f t="shared" si="14"/>
        <v>0</v>
      </c>
    </row>
    <row r="271" spans="1:9" x14ac:dyDescent="0.15">
      <c r="A271" s="135"/>
      <c r="B271" s="451" t="s">
        <v>1067</v>
      </c>
      <c r="C271" s="135" t="s">
        <v>1074</v>
      </c>
      <c r="D271" s="141">
        <v>0</v>
      </c>
      <c r="E271" s="309">
        <v>0</v>
      </c>
      <c r="F271" s="141">
        <v>0</v>
      </c>
      <c r="G271" s="285">
        <v>0</v>
      </c>
      <c r="H271" s="147">
        <v>0</v>
      </c>
      <c r="I271" s="495">
        <f t="shared" si="14"/>
        <v>0</v>
      </c>
    </row>
    <row r="272" spans="1:9" x14ac:dyDescent="0.15">
      <c r="A272" s="135"/>
      <c r="B272" s="451" t="s">
        <v>1072</v>
      </c>
      <c r="C272" s="135" t="s">
        <v>920</v>
      </c>
      <c r="D272" s="141">
        <v>0</v>
      </c>
      <c r="E272" s="309">
        <v>0</v>
      </c>
      <c r="F272" s="141">
        <v>0</v>
      </c>
      <c r="G272" s="285">
        <v>0</v>
      </c>
      <c r="H272" s="147">
        <v>0</v>
      </c>
      <c r="I272" s="495">
        <f t="shared" si="14"/>
        <v>0</v>
      </c>
    </row>
    <row r="273" spans="1:9" x14ac:dyDescent="0.15">
      <c r="A273" s="135"/>
      <c r="B273" s="716" t="s">
        <v>155</v>
      </c>
      <c r="C273" s="703" t="s">
        <v>178</v>
      </c>
      <c r="D273" s="141">
        <v>0</v>
      </c>
      <c r="E273" s="309">
        <v>0</v>
      </c>
      <c r="F273" s="141">
        <v>0</v>
      </c>
      <c r="G273" s="285">
        <v>0</v>
      </c>
      <c r="H273" s="147">
        <v>0</v>
      </c>
      <c r="I273" s="495">
        <f t="shared" ref="I273" si="15">SUM(G273+H273)</f>
        <v>0</v>
      </c>
    </row>
    <row r="274" spans="1:9" x14ac:dyDescent="0.15">
      <c r="A274" s="135"/>
      <c r="B274" s="451" t="s">
        <v>921</v>
      </c>
      <c r="C274" s="135" t="s">
        <v>955</v>
      </c>
      <c r="D274" s="141">
        <v>0</v>
      </c>
      <c r="E274" s="309">
        <v>0</v>
      </c>
      <c r="F274" s="141">
        <v>0</v>
      </c>
      <c r="G274" s="285">
        <v>0</v>
      </c>
      <c r="H274" s="147">
        <v>0</v>
      </c>
      <c r="I274" s="495">
        <f t="shared" si="14"/>
        <v>0</v>
      </c>
    </row>
    <row r="275" spans="1:9" x14ac:dyDescent="0.15">
      <c r="A275" s="135"/>
      <c r="B275" s="451" t="s">
        <v>922</v>
      </c>
      <c r="C275" s="135" t="s">
        <v>1123</v>
      </c>
      <c r="D275" s="141">
        <v>0</v>
      </c>
      <c r="E275" s="309">
        <v>0</v>
      </c>
      <c r="F275" s="141">
        <v>0</v>
      </c>
      <c r="G275" s="285">
        <v>0</v>
      </c>
      <c r="H275" s="147">
        <v>0</v>
      </c>
      <c r="I275" s="495">
        <f t="shared" si="14"/>
        <v>0</v>
      </c>
    </row>
    <row r="276" spans="1:9" x14ac:dyDescent="0.15">
      <c r="A276" s="135"/>
      <c r="B276" s="451" t="s">
        <v>923</v>
      </c>
      <c r="C276" s="135" t="s">
        <v>957</v>
      </c>
      <c r="D276" s="141">
        <v>0</v>
      </c>
      <c r="E276" s="309">
        <v>0</v>
      </c>
      <c r="F276" s="141">
        <v>0</v>
      </c>
      <c r="G276" s="285">
        <v>0</v>
      </c>
      <c r="H276" s="147">
        <v>0</v>
      </c>
      <c r="I276" s="495">
        <f t="shared" si="14"/>
        <v>0</v>
      </c>
    </row>
    <row r="277" spans="1:9" x14ac:dyDescent="0.15">
      <c r="A277" s="135"/>
      <c r="B277" s="451" t="s">
        <v>924</v>
      </c>
      <c r="C277" s="135" t="s">
        <v>958</v>
      </c>
      <c r="D277" s="141">
        <v>0</v>
      </c>
      <c r="E277" s="309">
        <v>0</v>
      </c>
      <c r="F277" s="141">
        <v>0</v>
      </c>
      <c r="G277" s="285">
        <v>0</v>
      </c>
      <c r="H277" s="147">
        <v>0</v>
      </c>
      <c r="I277" s="495">
        <f t="shared" si="14"/>
        <v>0</v>
      </c>
    </row>
    <row r="278" spans="1:9" x14ac:dyDescent="0.15">
      <c r="A278" s="135"/>
      <c r="B278" s="451" t="s">
        <v>925</v>
      </c>
      <c r="C278" s="135" t="s">
        <v>1128</v>
      </c>
      <c r="D278" s="141">
        <v>0</v>
      </c>
      <c r="E278" s="309">
        <v>0</v>
      </c>
      <c r="F278" s="141">
        <v>0</v>
      </c>
      <c r="G278" s="285">
        <v>0</v>
      </c>
      <c r="H278" s="147">
        <v>0</v>
      </c>
      <c r="I278" s="495">
        <f t="shared" si="14"/>
        <v>0</v>
      </c>
    </row>
    <row r="279" spans="1:9" x14ac:dyDescent="0.15">
      <c r="A279" s="135"/>
      <c r="B279" s="451" t="s">
        <v>926</v>
      </c>
      <c r="C279" s="135" t="s">
        <v>1129</v>
      </c>
      <c r="D279" s="141">
        <v>0</v>
      </c>
      <c r="E279" s="309">
        <v>0</v>
      </c>
      <c r="F279" s="141">
        <v>0</v>
      </c>
      <c r="G279" s="285">
        <v>0</v>
      </c>
      <c r="H279" s="147">
        <v>0</v>
      </c>
      <c r="I279" s="495">
        <f t="shared" si="14"/>
        <v>0</v>
      </c>
    </row>
    <row r="280" spans="1:9" x14ac:dyDescent="0.15">
      <c r="A280" s="135"/>
      <c r="B280" s="451" t="s">
        <v>927</v>
      </c>
      <c r="C280" s="135" t="s">
        <v>959</v>
      </c>
      <c r="D280" s="141">
        <v>0</v>
      </c>
      <c r="E280" s="309">
        <v>0</v>
      </c>
      <c r="F280" s="141">
        <v>0</v>
      </c>
      <c r="G280" s="285">
        <v>0</v>
      </c>
      <c r="H280" s="147">
        <v>0</v>
      </c>
      <c r="I280" s="495">
        <f t="shared" si="14"/>
        <v>0</v>
      </c>
    </row>
    <row r="281" spans="1:9" x14ac:dyDescent="0.15">
      <c r="A281" s="135"/>
      <c r="B281" s="451" t="s">
        <v>928</v>
      </c>
      <c r="C281" s="135" t="s">
        <v>961</v>
      </c>
      <c r="D281" s="141">
        <v>0</v>
      </c>
      <c r="E281" s="309">
        <v>0</v>
      </c>
      <c r="F281" s="141">
        <v>0</v>
      </c>
      <c r="G281" s="285">
        <v>0</v>
      </c>
      <c r="H281" s="147">
        <v>0</v>
      </c>
      <c r="I281" s="495">
        <f t="shared" si="14"/>
        <v>0</v>
      </c>
    </row>
    <row r="282" spans="1:9" x14ac:dyDescent="0.15">
      <c r="A282" s="135"/>
      <c r="B282" s="451" t="s">
        <v>962</v>
      </c>
      <c r="C282" s="135" t="s">
        <v>967</v>
      </c>
      <c r="D282" s="141">
        <v>0</v>
      </c>
      <c r="E282" s="309">
        <v>0</v>
      </c>
      <c r="F282" s="141">
        <v>0</v>
      </c>
      <c r="G282" s="285">
        <v>0</v>
      </c>
      <c r="H282" s="147">
        <v>0</v>
      </c>
      <c r="I282" s="495">
        <f t="shared" si="14"/>
        <v>0</v>
      </c>
    </row>
    <row r="283" spans="1:9" x14ac:dyDescent="0.15">
      <c r="A283" s="135"/>
      <c r="B283" s="451" t="s">
        <v>963</v>
      </c>
      <c r="C283" s="135" t="s">
        <v>1124</v>
      </c>
      <c r="D283" s="141">
        <v>0</v>
      </c>
      <c r="E283" s="309">
        <v>0</v>
      </c>
      <c r="F283" s="141">
        <v>0</v>
      </c>
      <c r="G283" s="285">
        <v>0</v>
      </c>
      <c r="H283" s="147">
        <v>0</v>
      </c>
      <c r="I283" s="495">
        <f t="shared" si="14"/>
        <v>0</v>
      </c>
    </row>
    <row r="284" spans="1:9" x14ac:dyDescent="0.15">
      <c r="A284" s="135"/>
      <c r="B284" s="451" t="s">
        <v>964</v>
      </c>
      <c r="C284" s="135" t="s">
        <v>1094</v>
      </c>
      <c r="D284" s="141">
        <v>0</v>
      </c>
      <c r="E284" s="309">
        <v>0</v>
      </c>
      <c r="F284" s="141">
        <v>0</v>
      </c>
      <c r="G284" s="285">
        <v>0</v>
      </c>
      <c r="H284" s="147">
        <v>0</v>
      </c>
      <c r="I284" s="495">
        <f t="shared" si="14"/>
        <v>0</v>
      </c>
    </row>
    <row r="285" spans="1:9" x14ac:dyDescent="0.15">
      <c r="A285" s="135"/>
      <c r="B285" s="451" t="s">
        <v>965</v>
      </c>
      <c r="C285" s="135" t="s">
        <v>1095</v>
      </c>
      <c r="D285" s="141">
        <v>0</v>
      </c>
      <c r="E285" s="309">
        <v>0</v>
      </c>
      <c r="F285" s="141">
        <v>0</v>
      </c>
      <c r="G285" s="285">
        <v>0</v>
      </c>
      <c r="H285" s="147">
        <v>0</v>
      </c>
      <c r="I285" s="495">
        <f t="shared" si="14"/>
        <v>0</v>
      </c>
    </row>
    <row r="286" spans="1:9" x14ac:dyDescent="0.15">
      <c r="A286" s="135"/>
      <c r="B286" s="451" t="s">
        <v>885</v>
      </c>
      <c r="C286" s="135" t="s">
        <v>1096</v>
      </c>
      <c r="D286" s="141">
        <v>0</v>
      </c>
      <c r="E286" s="309">
        <v>0</v>
      </c>
      <c r="F286" s="141">
        <v>0</v>
      </c>
      <c r="G286" s="285">
        <v>0</v>
      </c>
      <c r="H286" s="147">
        <v>0</v>
      </c>
      <c r="I286" s="495">
        <f t="shared" si="14"/>
        <v>0</v>
      </c>
    </row>
    <row r="287" spans="1:9" x14ac:dyDescent="0.15">
      <c r="A287" s="135"/>
      <c r="B287" s="451" t="s">
        <v>966</v>
      </c>
      <c r="C287" s="135" t="s">
        <v>1097</v>
      </c>
      <c r="D287" s="141">
        <v>0</v>
      </c>
      <c r="E287" s="309">
        <v>0</v>
      </c>
      <c r="F287" s="141">
        <v>0</v>
      </c>
      <c r="G287" s="285">
        <v>0</v>
      </c>
      <c r="H287" s="147">
        <v>0</v>
      </c>
      <c r="I287" s="495">
        <f t="shared" si="14"/>
        <v>0</v>
      </c>
    </row>
    <row r="288" spans="1:9" x14ac:dyDescent="0.15">
      <c r="A288" s="135"/>
      <c r="B288" s="451" t="s">
        <v>886</v>
      </c>
      <c r="C288" s="135" t="s">
        <v>1100</v>
      </c>
      <c r="D288" s="141">
        <v>0</v>
      </c>
      <c r="E288" s="309">
        <v>0</v>
      </c>
      <c r="F288" s="141">
        <v>0</v>
      </c>
      <c r="G288" s="285">
        <v>0</v>
      </c>
      <c r="H288" s="147">
        <v>0</v>
      </c>
      <c r="I288" s="495">
        <f t="shared" si="14"/>
        <v>0</v>
      </c>
    </row>
    <row r="289" spans="1:9" x14ac:dyDescent="0.15">
      <c r="A289" s="135"/>
      <c r="B289" s="451" t="s">
        <v>116</v>
      </c>
      <c r="C289" s="135" t="s">
        <v>1105</v>
      </c>
      <c r="D289" s="141">
        <v>0</v>
      </c>
      <c r="E289" s="309">
        <v>0</v>
      </c>
      <c r="F289" s="141">
        <v>0</v>
      </c>
      <c r="G289" s="285">
        <v>0</v>
      </c>
      <c r="H289" s="147">
        <v>0</v>
      </c>
      <c r="I289" s="495">
        <f t="shared" si="14"/>
        <v>0</v>
      </c>
    </row>
    <row r="290" spans="1:9" x14ac:dyDescent="0.15">
      <c r="A290" s="135"/>
      <c r="B290" s="451" t="s">
        <v>112</v>
      </c>
      <c r="C290" s="135" t="s">
        <v>1110</v>
      </c>
      <c r="D290" s="141">
        <v>0</v>
      </c>
      <c r="E290" s="309">
        <v>0</v>
      </c>
      <c r="F290" s="141">
        <v>0</v>
      </c>
      <c r="G290" s="285">
        <v>0</v>
      </c>
      <c r="H290" s="147">
        <v>0</v>
      </c>
      <c r="I290" s="495">
        <f t="shared" si="14"/>
        <v>0</v>
      </c>
    </row>
    <row r="291" spans="1:9" x14ac:dyDescent="0.15">
      <c r="A291" s="135"/>
      <c r="B291" s="451" t="s">
        <v>887</v>
      </c>
      <c r="C291" s="135" t="s">
        <v>1116</v>
      </c>
      <c r="D291" s="141">
        <v>0</v>
      </c>
      <c r="E291" s="309">
        <v>0</v>
      </c>
      <c r="F291" s="141">
        <v>0</v>
      </c>
      <c r="G291" s="285">
        <v>0</v>
      </c>
      <c r="H291" s="147">
        <v>0</v>
      </c>
      <c r="I291" s="495">
        <f t="shared" si="14"/>
        <v>0</v>
      </c>
    </row>
    <row r="292" spans="1:9" x14ac:dyDescent="0.15">
      <c r="A292" s="135"/>
      <c r="B292" s="451" t="s">
        <v>1112</v>
      </c>
      <c r="C292" s="135" t="s">
        <v>1117</v>
      </c>
      <c r="D292" s="141">
        <v>0</v>
      </c>
      <c r="E292" s="309">
        <v>0</v>
      </c>
      <c r="F292" s="141">
        <v>0</v>
      </c>
      <c r="G292" s="285">
        <v>0</v>
      </c>
      <c r="H292" s="147">
        <v>0</v>
      </c>
      <c r="I292" s="495">
        <f t="shared" si="14"/>
        <v>0</v>
      </c>
    </row>
    <row r="293" spans="1:9" x14ac:dyDescent="0.15">
      <c r="A293" s="135"/>
      <c r="B293" s="451" t="s">
        <v>1113</v>
      </c>
      <c r="C293" s="135" t="s">
        <v>1118</v>
      </c>
      <c r="D293" s="141">
        <v>0</v>
      </c>
      <c r="E293" s="309">
        <v>0</v>
      </c>
      <c r="F293" s="141">
        <v>0</v>
      </c>
      <c r="G293" s="285">
        <v>0</v>
      </c>
      <c r="H293" s="147">
        <v>0</v>
      </c>
      <c r="I293" s="495">
        <f t="shared" si="14"/>
        <v>0</v>
      </c>
    </row>
    <row r="294" spans="1:9" ht="11.25" thickBot="1" x14ac:dyDescent="0.2">
      <c r="A294" s="135"/>
      <c r="B294" s="451" t="s">
        <v>1114</v>
      </c>
      <c r="C294" s="135" t="s">
        <v>1119</v>
      </c>
      <c r="D294" s="141">
        <v>0</v>
      </c>
      <c r="E294" s="309">
        <v>0</v>
      </c>
      <c r="F294" s="141">
        <v>0</v>
      </c>
      <c r="G294" s="285">
        <v>0</v>
      </c>
      <c r="H294" s="147">
        <v>0</v>
      </c>
      <c r="I294" s="495">
        <f t="shared" si="14"/>
        <v>0</v>
      </c>
    </row>
    <row r="295" spans="1:9" ht="12" thickTop="1" thickBot="1" x14ac:dyDescent="0.2">
      <c r="A295" s="135"/>
      <c r="B295" s="451"/>
      <c r="C295" s="135" t="s">
        <v>1162</v>
      </c>
      <c r="D295" s="166">
        <f>SUM(D262:D294)</f>
        <v>0</v>
      </c>
      <c r="E295" s="297">
        <f>SUM(E262:E294)</f>
        <v>0</v>
      </c>
      <c r="F295" s="166">
        <f>SUM(F262:F294)</f>
        <v>0</v>
      </c>
      <c r="G295" s="166">
        <f>SUM(G262:G294)</f>
        <v>0</v>
      </c>
      <c r="H295" s="166">
        <f>SUM(H262:H294)</f>
        <v>0</v>
      </c>
      <c r="I295" s="166">
        <f t="shared" si="14"/>
        <v>0</v>
      </c>
    </row>
    <row r="296" spans="1:9" ht="11.25" thickTop="1" x14ac:dyDescent="0.15">
      <c r="A296" s="135"/>
      <c r="B296" s="135"/>
      <c r="C296" s="135"/>
      <c r="D296" s="14"/>
      <c r="E296" s="301"/>
      <c r="F296" s="14"/>
      <c r="G296" s="14"/>
      <c r="H296" s="14"/>
      <c r="I296" s="491"/>
    </row>
    <row r="297" spans="1:9" x14ac:dyDescent="0.15">
      <c r="A297" s="442" t="s">
        <v>1161</v>
      </c>
      <c r="B297" s="135"/>
      <c r="C297" s="135"/>
      <c r="D297" s="14"/>
      <c r="E297" s="301"/>
      <c r="F297" s="14"/>
      <c r="G297" s="14"/>
      <c r="H297" s="14"/>
      <c r="I297" s="491"/>
    </row>
    <row r="298" spans="1:9" hidden="1" x14ac:dyDescent="0.15">
      <c r="A298" s="416"/>
      <c r="B298" s="453" t="s">
        <v>880</v>
      </c>
      <c r="C298" s="454" t="s">
        <v>1164</v>
      </c>
      <c r="D298" s="308">
        <v>0</v>
      </c>
      <c r="E298" s="308">
        <v>0</v>
      </c>
      <c r="F298" s="308">
        <v>0</v>
      </c>
      <c r="G298" s="458"/>
      <c r="H298" s="457">
        <v>0</v>
      </c>
      <c r="I298" s="494">
        <f>SUM(G298+H298)</f>
        <v>0</v>
      </c>
    </row>
    <row r="299" spans="1:9" x14ac:dyDescent="0.15">
      <c r="A299" s="416"/>
      <c r="B299" s="453" t="s">
        <v>880</v>
      </c>
      <c r="C299" s="454" t="s">
        <v>337</v>
      </c>
      <c r="D299" s="308">
        <v>0</v>
      </c>
      <c r="E299" s="308">
        <v>0</v>
      </c>
      <c r="F299" s="308">
        <v>0</v>
      </c>
      <c r="G299" s="308">
        <v>0</v>
      </c>
      <c r="H299" s="457">
        <v>0</v>
      </c>
      <c r="I299" s="494">
        <f>SUM(G299+H299)</f>
        <v>0</v>
      </c>
    </row>
    <row r="300" spans="1:9" hidden="1" x14ac:dyDescent="0.15">
      <c r="A300" s="454"/>
      <c r="B300" s="453" t="s">
        <v>881</v>
      </c>
      <c r="C300" s="454" t="s">
        <v>382</v>
      </c>
      <c r="D300" s="308">
        <v>0</v>
      </c>
      <c r="E300" s="308">
        <v>0</v>
      </c>
      <c r="F300" s="308">
        <v>0</v>
      </c>
      <c r="G300" s="459"/>
      <c r="H300" s="457">
        <v>0</v>
      </c>
      <c r="I300" s="494">
        <f>SUM(G300+H300)</f>
        <v>0</v>
      </c>
    </row>
    <row r="301" spans="1:9" x14ac:dyDescent="0.15">
      <c r="A301" s="135"/>
      <c r="B301" s="451" t="s">
        <v>881</v>
      </c>
      <c r="C301" s="135" t="s">
        <v>338</v>
      </c>
      <c r="D301" s="144">
        <v>0</v>
      </c>
      <c r="E301" s="308">
        <v>0</v>
      </c>
      <c r="F301" s="144">
        <v>0</v>
      </c>
      <c r="G301" s="144">
        <v>0</v>
      </c>
      <c r="H301" s="147">
        <v>0</v>
      </c>
      <c r="I301" s="495">
        <f>SUM(G301+H301)</f>
        <v>0</v>
      </c>
    </row>
    <row r="302" spans="1:9" x14ac:dyDescent="0.15">
      <c r="A302" s="135"/>
      <c r="B302" s="451" t="s">
        <v>882</v>
      </c>
      <c r="C302" s="135" t="s">
        <v>1058</v>
      </c>
      <c r="D302" s="141">
        <v>0</v>
      </c>
      <c r="E302" s="309">
        <v>0</v>
      </c>
      <c r="F302" s="141">
        <v>0</v>
      </c>
      <c r="G302" s="285">
        <v>0</v>
      </c>
      <c r="H302" s="147">
        <v>0</v>
      </c>
      <c r="I302" s="495">
        <f t="shared" ref="I302:I331" si="16">SUM(G302+H302)</f>
        <v>0</v>
      </c>
    </row>
    <row r="303" spans="1:9" x14ac:dyDescent="0.15">
      <c r="A303" s="135"/>
      <c r="B303" s="451" t="s">
        <v>883</v>
      </c>
      <c r="C303" s="135" t="s">
        <v>1059</v>
      </c>
      <c r="D303" s="141">
        <v>0</v>
      </c>
      <c r="E303" s="309">
        <v>0</v>
      </c>
      <c r="F303" s="141">
        <v>0</v>
      </c>
      <c r="G303" s="285">
        <v>0</v>
      </c>
      <c r="H303" s="147">
        <v>0</v>
      </c>
      <c r="I303" s="495">
        <f t="shared" si="16"/>
        <v>0</v>
      </c>
    </row>
    <row r="304" spans="1:9" x14ac:dyDescent="0.15">
      <c r="A304" s="135"/>
      <c r="B304" s="451" t="s">
        <v>1060</v>
      </c>
      <c r="C304" s="135" t="s">
        <v>1061</v>
      </c>
      <c r="D304" s="141">
        <v>0</v>
      </c>
      <c r="E304" s="309">
        <v>0</v>
      </c>
      <c r="F304" s="141">
        <v>0</v>
      </c>
      <c r="G304" s="285">
        <v>0</v>
      </c>
      <c r="H304" s="147">
        <v>0</v>
      </c>
      <c r="I304" s="495">
        <f t="shared" si="16"/>
        <v>0</v>
      </c>
    </row>
    <row r="305" spans="1:9" x14ac:dyDescent="0.15">
      <c r="A305" s="135"/>
      <c r="B305" s="451" t="s">
        <v>1062</v>
      </c>
      <c r="C305" s="135" t="s">
        <v>1063</v>
      </c>
      <c r="D305" s="141">
        <v>0</v>
      </c>
      <c r="E305" s="309">
        <v>0</v>
      </c>
      <c r="F305" s="141">
        <v>0</v>
      </c>
      <c r="G305" s="285">
        <v>0</v>
      </c>
      <c r="H305" s="147">
        <v>0</v>
      </c>
      <c r="I305" s="495">
        <f t="shared" si="16"/>
        <v>0</v>
      </c>
    </row>
    <row r="306" spans="1:9" x14ac:dyDescent="0.15">
      <c r="A306" s="135"/>
      <c r="B306" s="451" t="s">
        <v>884</v>
      </c>
      <c r="C306" s="135" t="s">
        <v>1064</v>
      </c>
      <c r="D306" s="141">
        <v>0</v>
      </c>
      <c r="E306" s="309">
        <v>0</v>
      </c>
      <c r="F306" s="141">
        <v>0</v>
      </c>
      <c r="G306" s="285">
        <v>0</v>
      </c>
      <c r="H306" s="147">
        <v>0</v>
      </c>
      <c r="I306" s="495">
        <f t="shared" si="16"/>
        <v>0</v>
      </c>
    </row>
    <row r="307" spans="1:9" x14ac:dyDescent="0.15">
      <c r="A307" s="135"/>
      <c r="B307" s="451" t="s">
        <v>1067</v>
      </c>
      <c r="C307" s="135" t="s">
        <v>1074</v>
      </c>
      <c r="D307" s="141">
        <v>0</v>
      </c>
      <c r="E307" s="309">
        <v>0</v>
      </c>
      <c r="F307" s="141">
        <v>0</v>
      </c>
      <c r="G307" s="285">
        <v>0</v>
      </c>
      <c r="H307" s="147">
        <v>0</v>
      </c>
      <c r="I307" s="495">
        <f t="shared" si="16"/>
        <v>0</v>
      </c>
    </row>
    <row r="308" spans="1:9" x14ac:dyDescent="0.15">
      <c r="A308" s="135"/>
      <c r="B308" s="451" t="s">
        <v>1072</v>
      </c>
      <c r="C308" s="135" t="s">
        <v>920</v>
      </c>
      <c r="D308" s="141">
        <v>0</v>
      </c>
      <c r="E308" s="309">
        <v>0</v>
      </c>
      <c r="F308" s="141">
        <v>0</v>
      </c>
      <c r="G308" s="285">
        <v>0</v>
      </c>
      <c r="H308" s="147">
        <v>0</v>
      </c>
      <c r="I308" s="495">
        <f t="shared" si="16"/>
        <v>0</v>
      </c>
    </row>
    <row r="309" spans="1:9" x14ac:dyDescent="0.15">
      <c r="A309" s="135"/>
      <c r="B309" s="716" t="s">
        <v>155</v>
      </c>
      <c r="C309" s="703" t="s">
        <v>178</v>
      </c>
      <c r="D309" s="141">
        <v>0</v>
      </c>
      <c r="E309" s="309">
        <v>0</v>
      </c>
      <c r="F309" s="141">
        <v>0</v>
      </c>
      <c r="G309" s="285">
        <v>0</v>
      </c>
      <c r="H309" s="147">
        <v>0</v>
      </c>
      <c r="I309" s="495">
        <f t="shared" ref="I309" si="17">SUM(G309+H309)</f>
        <v>0</v>
      </c>
    </row>
    <row r="310" spans="1:9" x14ac:dyDescent="0.15">
      <c r="A310" s="135"/>
      <c r="B310" s="451" t="s">
        <v>921</v>
      </c>
      <c r="C310" s="135" t="s">
        <v>955</v>
      </c>
      <c r="D310" s="141">
        <v>0</v>
      </c>
      <c r="E310" s="309">
        <v>0</v>
      </c>
      <c r="F310" s="141">
        <v>0</v>
      </c>
      <c r="G310" s="285">
        <v>0</v>
      </c>
      <c r="H310" s="147">
        <v>0</v>
      </c>
      <c r="I310" s="495">
        <f t="shared" si="16"/>
        <v>0</v>
      </c>
    </row>
    <row r="311" spans="1:9" x14ac:dyDescent="0.15">
      <c r="A311" s="135"/>
      <c r="B311" s="451" t="s">
        <v>922</v>
      </c>
      <c r="C311" s="135" t="s">
        <v>1123</v>
      </c>
      <c r="D311" s="141">
        <v>0</v>
      </c>
      <c r="E311" s="309">
        <v>0</v>
      </c>
      <c r="F311" s="141">
        <v>0</v>
      </c>
      <c r="G311" s="285">
        <v>0</v>
      </c>
      <c r="H311" s="147">
        <v>0</v>
      </c>
      <c r="I311" s="495">
        <f t="shared" si="16"/>
        <v>0</v>
      </c>
    </row>
    <row r="312" spans="1:9" x14ac:dyDescent="0.15">
      <c r="A312" s="135"/>
      <c r="B312" s="451" t="s">
        <v>923</v>
      </c>
      <c r="C312" s="135" t="s">
        <v>957</v>
      </c>
      <c r="D312" s="141">
        <v>0</v>
      </c>
      <c r="E312" s="309">
        <v>0</v>
      </c>
      <c r="F312" s="141">
        <v>0</v>
      </c>
      <c r="G312" s="285">
        <v>0</v>
      </c>
      <c r="H312" s="147">
        <v>0</v>
      </c>
      <c r="I312" s="495">
        <f t="shared" si="16"/>
        <v>0</v>
      </c>
    </row>
    <row r="313" spans="1:9" x14ac:dyDescent="0.15">
      <c r="A313" s="135"/>
      <c r="B313" s="451" t="s">
        <v>924</v>
      </c>
      <c r="C313" s="135" t="s">
        <v>958</v>
      </c>
      <c r="D313" s="141">
        <v>0</v>
      </c>
      <c r="E313" s="309">
        <v>0</v>
      </c>
      <c r="F313" s="141">
        <v>0</v>
      </c>
      <c r="G313" s="285">
        <v>0</v>
      </c>
      <c r="H313" s="147">
        <v>0</v>
      </c>
      <c r="I313" s="495">
        <f t="shared" si="16"/>
        <v>0</v>
      </c>
    </row>
    <row r="314" spans="1:9" x14ac:dyDescent="0.15">
      <c r="A314" s="135"/>
      <c r="B314" s="451" t="s">
        <v>925</v>
      </c>
      <c r="C314" s="135" t="s">
        <v>1128</v>
      </c>
      <c r="D314" s="141">
        <v>0</v>
      </c>
      <c r="E314" s="309">
        <v>0</v>
      </c>
      <c r="F314" s="141">
        <v>0</v>
      </c>
      <c r="G314" s="285">
        <v>0</v>
      </c>
      <c r="H314" s="147">
        <v>0</v>
      </c>
      <c r="I314" s="495">
        <f t="shared" si="16"/>
        <v>0</v>
      </c>
    </row>
    <row r="315" spans="1:9" x14ac:dyDescent="0.15">
      <c r="A315" s="135"/>
      <c r="B315" s="451" t="s">
        <v>926</v>
      </c>
      <c r="C315" s="135" t="s">
        <v>1129</v>
      </c>
      <c r="D315" s="141">
        <v>0</v>
      </c>
      <c r="E315" s="309">
        <v>0</v>
      </c>
      <c r="F315" s="141">
        <v>0</v>
      </c>
      <c r="G315" s="285">
        <v>0</v>
      </c>
      <c r="H315" s="147">
        <v>0</v>
      </c>
      <c r="I315" s="495">
        <f t="shared" si="16"/>
        <v>0</v>
      </c>
    </row>
    <row r="316" spans="1:9" x14ac:dyDescent="0.15">
      <c r="A316" s="135"/>
      <c r="B316" s="451" t="s">
        <v>927</v>
      </c>
      <c r="C316" s="135" t="s">
        <v>959</v>
      </c>
      <c r="D316" s="141">
        <v>0</v>
      </c>
      <c r="E316" s="309">
        <v>0</v>
      </c>
      <c r="F316" s="141">
        <v>0</v>
      </c>
      <c r="G316" s="285">
        <v>0</v>
      </c>
      <c r="H316" s="147">
        <v>0</v>
      </c>
      <c r="I316" s="495">
        <f t="shared" si="16"/>
        <v>0</v>
      </c>
    </row>
    <row r="317" spans="1:9" x14ac:dyDescent="0.15">
      <c r="A317" s="135"/>
      <c r="B317" s="451" t="s">
        <v>928</v>
      </c>
      <c r="C317" s="135" t="s">
        <v>961</v>
      </c>
      <c r="D317" s="141">
        <v>0</v>
      </c>
      <c r="E317" s="309">
        <v>0</v>
      </c>
      <c r="F317" s="141">
        <v>0</v>
      </c>
      <c r="G317" s="285">
        <v>0</v>
      </c>
      <c r="H317" s="147">
        <v>0</v>
      </c>
      <c r="I317" s="495">
        <f t="shared" si="16"/>
        <v>0</v>
      </c>
    </row>
    <row r="318" spans="1:9" x14ac:dyDescent="0.15">
      <c r="A318" s="135"/>
      <c r="B318" s="451" t="s">
        <v>962</v>
      </c>
      <c r="C318" s="135" t="s">
        <v>967</v>
      </c>
      <c r="D318" s="141">
        <v>0</v>
      </c>
      <c r="E318" s="309">
        <v>0</v>
      </c>
      <c r="F318" s="141">
        <v>0</v>
      </c>
      <c r="G318" s="285">
        <v>0</v>
      </c>
      <c r="H318" s="147">
        <v>0</v>
      </c>
      <c r="I318" s="495">
        <f t="shared" si="16"/>
        <v>0</v>
      </c>
    </row>
    <row r="319" spans="1:9" x14ac:dyDescent="0.15">
      <c r="A319" s="135"/>
      <c r="B319" s="451" t="s">
        <v>963</v>
      </c>
      <c r="C319" s="135" t="s">
        <v>1124</v>
      </c>
      <c r="D319" s="141">
        <v>0</v>
      </c>
      <c r="E319" s="309">
        <v>0</v>
      </c>
      <c r="F319" s="141">
        <v>0</v>
      </c>
      <c r="G319" s="285">
        <v>0</v>
      </c>
      <c r="H319" s="147">
        <v>0</v>
      </c>
      <c r="I319" s="495">
        <f t="shared" si="16"/>
        <v>0</v>
      </c>
    </row>
    <row r="320" spans="1:9" x14ac:dyDescent="0.15">
      <c r="A320" s="135"/>
      <c r="B320" s="451" t="s">
        <v>964</v>
      </c>
      <c r="C320" s="135" t="s">
        <v>1094</v>
      </c>
      <c r="D320" s="141">
        <v>0</v>
      </c>
      <c r="E320" s="309">
        <v>0</v>
      </c>
      <c r="F320" s="141">
        <v>0</v>
      </c>
      <c r="G320" s="285">
        <v>0</v>
      </c>
      <c r="H320" s="147">
        <v>0</v>
      </c>
      <c r="I320" s="495">
        <f t="shared" si="16"/>
        <v>0</v>
      </c>
    </row>
    <row r="321" spans="1:9" x14ac:dyDescent="0.15">
      <c r="A321" s="135"/>
      <c r="B321" s="451" t="s">
        <v>965</v>
      </c>
      <c r="C321" s="135" t="s">
        <v>1095</v>
      </c>
      <c r="D321" s="141">
        <v>0</v>
      </c>
      <c r="E321" s="309">
        <v>0</v>
      </c>
      <c r="F321" s="141">
        <v>0</v>
      </c>
      <c r="G321" s="285">
        <v>0</v>
      </c>
      <c r="H321" s="147">
        <v>0</v>
      </c>
      <c r="I321" s="495">
        <f t="shared" si="16"/>
        <v>0</v>
      </c>
    </row>
    <row r="322" spans="1:9" x14ac:dyDescent="0.15">
      <c r="A322" s="135"/>
      <c r="B322" s="451" t="s">
        <v>885</v>
      </c>
      <c r="C322" s="135" t="s">
        <v>1096</v>
      </c>
      <c r="D322" s="141">
        <v>0</v>
      </c>
      <c r="E322" s="309">
        <v>0</v>
      </c>
      <c r="F322" s="141">
        <v>0</v>
      </c>
      <c r="G322" s="285">
        <v>0</v>
      </c>
      <c r="H322" s="147">
        <v>0</v>
      </c>
      <c r="I322" s="495">
        <f t="shared" si="16"/>
        <v>0</v>
      </c>
    </row>
    <row r="323" spans="1:9" x14ac:dyDescent="0.15">
      <c r="A323" s="135"/>
      <c r="B323" s="451" t="s">
        <v>966</v>
      </c>
      <c r="C323" s="135" t="s">
        <v>1097</v>
      </c>
      <c r="D323" s="141">
        <v>0</v>
      </c>
      <c r="E323" s="309">
        <v>0</v>
      </c>
      <c r="F323" s="141">
        <v>0</v>
      </c>
      <c r="G323" s="285">
        <v>0</v>
      </c>
      <c r="H323" s="147">
        <v>0</v>
      </c>
      <c r="I323" s="495">
        <f t="shared" si="16"/>
        <v>0</v>
      </c>
    </row>
    <row r="324" spans="1:9" x14ac:dyDescent="0.15">
      <c r="A324" s="135"/>
      <c r="B324" s="451" t="s">
        <v>886</v>
      </c>
      <c r="C324" s="135" t="s">
        <v>1100</v>
      </c>
      <c r="D324" s="141">
        <v>0</v>
      </c>
      <c r="E324" s="309">
        <v>0</v>
      </c>
      <c r="F324" s="141">
        <v>0</v>
      </c>
      <c r="G324" s="285">
        <v>0</v>
      </c>
      <c r="H324" s="147">
        <v>0</v>
      </c>
      <c r="I324" s="495">
        <f t="shared" si="16"/>
        <v>0</v>
      </c>
    </row>
    <row r="325" spans="1:9" x14ac:dyDescent="0.15">
      <c r="A325" s="135"/>
      <c r="B325" s="451" t="s">
        <v>116</v>
      </c>
      <c r="C325" s="135" t="s">
        <v>1105</v>
      </c>
      <c r="D325" s="141">
        <v>0</v>
      </c>
      <c r="E325" s="309">
        <v>0</v>
      </c>
      <c r="F325" s="141">
        <v>0</v>
      </c>
      <c r="G325" s="285">
        <v>0</v>
      </c>
      <c r="H325" s="147">
        <v>0</v>
      </c>
      <c r="I325" s="495">
        <f t="shared" si="16"/>
        <v>0</v>
      </c>
    </row>
    <row r="326" spans="1:9" x14ac:dyDescent="0.15">
      <c r="A326" s="135"/>
      <c r="B326" s="451" t="s">
        <v>112</v>
      </c>
      <c r="C326" s="135" t="s">
        <v>1110</v>
      </c>
      <c r="D326" s="141">
        <v>0</v>
      </c>
      <c r="E326" s="309">
        <v>0</v>
      </c>
      <c r="F326" s="141">
        <v>0</v>
      </c>
      <c r="G326" s="285">
        <v>0</v>
      </c>
      <c r="H326" s="147">
        <v>0</v>
      </c>
      <c r="I326" s="495">
        <f t="shared" si="16"/>
        <v>0</v>
      </c>
    </row>
    <row r="327" spans="1:9" x14ac:dyDescent="0.15">
      <c r="A327" s="135"/>
      <c r="B327" s="451" t="s">
        <v>887</v>
      </c>
      <c r="C327" s="135" t="s">
        <v>1116</v>
      </c>
      <c r="D327" s="141">
        <v>0</v>
      </c>
      <c r="E327" s="309">
        <v>0</v>
      </c>
      <c r="F327" s="141">
        <v>0</v>
      </c>
      <c r="G327" s="285">
        <v>0</v>
      </c>
      <c r="H327" s="147">
        <v>0</v>
      </c>
      <c r="I327" s="495">
        <f t="shared" si="16"/>
        <v>0</v>
      </c>
    </row>
    <row r="328" spans="1:9" x14ac:dyDescent="0.15">
      <c r="A328" s="135"/>
      <c r="B328" s="451" t="s">
        <v>1112</v>
      </c>
      <c r="C328" s="135" t="s">
        <v>1117</v>
      </c>
      <c r="D328" s="141">
        <v>0</v>
      </c>
      <c r="E328" s="309">
        <v>0</v>
      </c>
      <c r="F328" s="141">
        <v>0</v>
      </c>
      <c r="G328" s="285">
        <v>0</v>
      </c>
      <c r="H328" s="147">
        <v>0</v>
      </c>
      <c r="I328" s="495">
        <f t="shared" si="16"/>
        <v>0</v>
      </c>
    </row>
    <row r="329" spans="1:9" x14ac:dyDescent="0.15">
      <c r="A329" s="135"/>
      <c r="B329" s="451" t="s">
        <v>1113</v>
      </c>
      <c r="C329" s="135" t="s">
        <v>1118</v>
      </c>
      <c r="D329" s="141">
        <v>0</v>
      </c>
      <c r="E329" s="309">
        <v>0</v>
      </c>
      <c r="F329" s="141">
        <v>0</v>
      </c>
      <c r="G329" s="285">
        <v>0</v>
      </c>
      <c r="H329" s="147">
        <v>0</v>
      </c>
      <c r="I329" s="495">
        <f t="shared" si="16"/>
        <v>0</v>
      </c>
    </row>
    <row r="330" spans="1:9" ht="11.25" thickBot="1" x14ac:dyDescent="0.2">
      <c r="A330" s="135"/>
      <c r="B330" s="451" t="s">
        <v>1114</v>
      </c>
      <c r="C330" s="135" t="s">
        <v>1119</v>
      </c>
      <c r="D330" s="141">
        <v>0</v>
      </c>
      <c r="E330" s="309">
        <v>0</v>
      </c>
      <c r="F330" s="141">
        <v>0</v>
      </c>
      <c r="G330" s="285">
        <v>0</v>
      </c>
      <c r="H330" s="147">
        <v>0</v>
      </c>
      <c r="I330" s="495">
        <f t="shared" si="16"/>
        <v>0</v>
      </c>
    </row>
    <row r="331" spans="1:9" ht="12" thickTop="1" thickBot="1" x14ac:dyDescent="0.2">
      <c r="A331" s="135"/>
      <c r="B331" s="451"/>
      <c r="C331" s="135" t="s">
        <v>1163</v>
      </c>
      <c r="D331" s="166">
        <f>SUM(D298:D330)</f>
        <v>0</v>
      </c>
      <c r="E331" s="297">
        <f>SUM(E298:E330)</f>
        <v>0</v>
      </c>
      <c r="F331" s="166">
        <f>SUM(F298:F330)</f>
        <v>0</v>
      </c>
      <c r="G331" s="166">
        <f>SUM(G298:G330)</f>
        <v>0</v>
      </c>
      <c r="H331" s="166">
        <f>SUM(H298:H330)</f>
        <v>0</v>
      </c>
      <c r="I331" s="166">
        <f t="shared" si="16"/>
        <v>0</v>
      </c>
    </row>
    <row r="332" spans="1:9" ht="11.25" thickTop="1" x14ac:dyDescent="0.15">
      <c r="A332" s="135"/>
      <c r="B332" s="135"/>
      <c r="C332" s="135"/>
      <c r="D332" s="14"/>
      <c r="E332" s="301"/>
      <c r="F332" s="14"/>
      <c r="G332" s="14"/>
      <c r="H332" s="14"/>
      <c r="I332" s="491"/>
    </row>
    <row r="333" spans="1:9" x14ac:dyDescent="0.15">
      <c r="A333" s="442" t="s">
        <v>1170</v>
      </c>
      <c r="B333" s="135"/>
      <c r="C333" s="135"/>
      <c r="D333" s="14"/>
      <c r="E333" s="301"/>
      <c r="F333" s="14"/>
      <c r="G333" s="14"/>
      <c r="H333" s="14"/>
      <c r="I333" s="491"/>
    </row>
    <row r="334" spans="1:9" hidden="1" x14ac:dyDescent="0.15">
      <c r="A334" s="416"/>
      <c r="B334" s="453" t="s">
        <v>880</v>
      </c>
      <c r="C334" s="454" t="s">
        <v>1164</v>
      </c>
      <c r="D334" s="308">
        <v>0</v>
      </c>
      <c r="E334" s="308">
        <v>0</v>
      </c>
      <c r="F334" s="308">
        <v>0</v>
      </c>
      <c r="G334" s="458"/>
      <c r="H334" s="457">
        <v>0</v>
      </c>
      <c r="I334" s="494">
        <f>SUM(G334+H334)</f>
        <v>0</v>
      </c>
    </row>
    <row r="335" spans="1:9" x14ac:dyDescent="0.15">
      <c r="A335" s="416"/>
      <c r="B335" s="453" t="s">
        <v>880</v>
      </c>
      <c r="C335" s="454" t="s">
        <v>337</v>
      </c>
      <c r="D335" s="308">
        <v>0</v>
      </c>
      <c r="E335" s="308">
        <v>0</v>
      </c>
      <c r="F335" s="308">
        <v>0</v>
      </c>
      <c r="G335" s="308">
        <v>0</v>
      </c>
      <c r="H335" s="457">
        <v>0</v>
      </c>
      <c r="I335" s="494">
        <f>SUM(G335+H335)</f>
        <v>0</v>
      </c>
    </row>
    <row r="336" spans="1:9" hidden="1" x14ac:dyDescent="0.15">
      <c r="A336" s="454"/>
      <c r="B336" s="453" t="s">
        <v>881</v>
      </c>
      <c r="C336" s="454" t="s">
        <v>382</v>
      </c>
      <c r="D336" s="308">
        <v>0</v>
      </c>
      <c r="E336" s="308">
        <v>0</v>
      </c>
      <c r="F336" s="308">
        <v>0</v>
      </c>
      <c r="G336" s="459"/>
      <c r="H336" s="457">
        <v>0</v>
      </c>
      <c r="I336" s="494">
        <f>SUM(G336+H336)</f>
        <v>0</v>
      </c>
    </row>
    <row r="337" spans="1:9" x14ac:dyDescent="0.15">
      <c r="A337" s="135"/>
      <c r="B337" s="451" t="s">
        <v>881</v>
      </c>
      <c r="C337" s="135" t="s">
        <v>338</v>
      </c>
      <c r="D337" s="144">
        <v>0</v>
      </c>
      <c r="E337" s="308">
        <v>0</v>
      </c>
      <c r="F337" s="144">
        <v>0</v>
      </c>
      <c r="G337" s="144">
        <v>0</v>
      </c>
      <c r="H337" s="147">
        <v>0</v>
      </c>
      <c r="I337" s="495">
        <f>SUM(G337+H337)</f>
        <v>0</v>
      </c>
    </row>
    <row r="338" spans="1:9" x14ac:dyDescent="0.15">
      <c r="A338" s="135"/>
      <c r="B338" s="451" t="s">
        <v>882</v>
      </c>
      <c r="C338" s="135" t="s">
        <v>1058</v>
      </c>
      <c r="D338" s="141">
        <v>0</v>
      </c>
      <c r="E338" s="309">
        <v>0</v>
      </c>
      <c r="F338" s="141">
        <v>0</v>
      </c>
      <c r="G338" s="285">
        <v>0</v>
      </c>
      <c r="H338" s="147">
        <v>0</v>
      </c>
      <c r="I338" s="495">
        <f t="shared" ref="I338:I367" si="18">SUM(G338+H338)</f>
        <v>0</v>
      </c>
    </row>
    <row r="339" spans="1:9" x14ac:dyDescent="0.15">
      <c r="A339" s="135"/>
      <c r="B339" s="451" t="s">
        <v>883</v>
      </c>
      <c r="C339" s="135" t="s">
        <v>1059</v>
      </c>
      <c r="D339" s="141">
        <v>0</v>
      </c>
      <c r="E339" s="309">
        <v>0</v>
      </c>
      <c r="F339" s="141">
        <v>0</v>
      </c>
      <c r="G339" s="285">
        <v>0</v>
      </c>
      <c r="H339" s="147">
        <v>0</v>
      </c>
      <c r="I339" s="495">
        <f t="shared" si="18"/>
        <v>0</v>
      </c>
    </row>
    <row r="340" spans="1:9" x14ac:dyDescent="0.15">
      <c r="A340" s="135"/>
      <c r="B340" s="451" t="s">
        <v>1060</v>
      </c>
      <c r="C340" s="135" t="s">
        <v>1061</v>
      </c>
      <c r="D340" s="141">
        <v>0</v>
      </c>
      <c r="E340" s="309">
        <v>0</v>
      </c>
      <c r="F340" s="141">
        <v>0</v>
      </c>
      <c r="G340" s="285">
        <v>0</v>
      </c>
      <c r="H340" s="147">
        <v>0</v>
      </c>
      <c r="I340" s="495">
        <f t="shared" si="18"/>
        <v>0</v>
      </c>
    </row>
    <row r="341" spans="1:9" x14ac:dyDescent="0.15">
      <c r="A341" s="135"/>
      <c r="B341" s="451" t="s">
        <v>1062</v>
      </c>
      <c r="C341" s="135" t="s">
        <v>1063</v>
      </c>
      <c r="D341" s="141">
        <v>0</v>
      </c>
      <c r="E341" s="309">
        <v>0</v>
      </c>
      <c r="F341" s="141">
        <v>0</v>
      </c>
      <c r="G341" s="285">
        <v>0</v>
      </c>
      <c r="H341" s="147">
        <v>0</v>
      </c>
      <c r="I341" s="495">
        <f t="shared" si="18"/>
        <v>0</v>
      </c>
    </row>
    <row r="342" spans="1:9" x14ac:dyDescent="0.15">
      <c r="A342" s="135"/>
      <c r="B342" s="451" t="s">
        <v>884</v>
      </c>
      <c r="C342" s="135" t="s">
        <v>1064</v>
      </c>
      <c r="D342" s="141">
        <v>0</v>
      </c>
      <c r="E342" s="309">
        <v>0</v>
      </c>
      <c r="F342" s="141">
        <v>0</v>
      </c>
      <c r="G342" s="285">
        <v>0</v>
      </c>
      <c r="H342" s="147">
        <v>0</v>
      </c>
      <c r="I342" s="495">
        <f t="shared" si="18"/>
        <v>0</v>
      </c>
    </row>
    <row r="343" spans="1:9" x14ac:dyDescent="0.15">
      <c r="A343" s="135"/>
      <c r="B343" s="451" t="s">
        <v>1067</v>
      </c>
      <c r="C343" s="135" t="s">
        <v>1074</v>
      </c>
      <c r="D343" s="141">
        <v>0</v>
      </c>
      <c r="E343" s="309">
        <v>0</v>
      </c>
      <c r="F343" s="141">
        <v>0</v>
      </c>
      <c r="G343" s="285">
        <v>0</v>
      </c>
      <c r="H343" s="147">
        <v>0</v>
      </c>
      <c r="I343" s="495">
        <f t="shared" si="18"/>
        <v>0</v>
      </c>
    </row>
    <row r="344" spans="1:9" x14ac:dyDescent="0.15">
      <c r="A344" s="135"/>
      <c r="B344" s="451" t="s">
        <v>1072</v>
      </c>
      <c r="C344" s="135" t="s">
        <v>920</v>
      </c>
      <c r="D344" s="141">
        <v>0</v>
      </c>
      <c r="E344" s="309">
        <v>0</v>
      </c>
      <c r="F344" s="141">
        <v>0</v>
      </c>
      <c r="G344" s="285">
        <v>0</v>
      </c>
      <c r="H344" s="147">
        <v>0</v>
      </c>
      <c r="I344" s="495">
        <f t="shared" si="18"/>
        <v>0</v>
      </c>
    </row>
    <row r="345" spans="1:9" x14ac:dyDescent="0.15">
      <c r="A345" s="135"/>
      <c r="B345" s="716" t="s">
        <v>155</v>
      </c>
      <c r="C345" s="703" t="s">
        <v>178</v>
      </c>
      <c r="D345" s="141">
        <v>0</v>
      </c>
      <c r="E345" s="309">
        <v>0</v>
      </c>
      <c r="F345" s="141">
        <v>0</v>
      </c>
      <c r="G345" s="285">
        <v>0</v>
      </c>
      <c r="H345" s="147">
        <v>0</v>
      </c>
      <c r="I345" s="495">
        <f t="shared" ref="I345" si="19">SUM(G345+H345)</f>
        <v>0</v>
      </c>
    </row>
    <row r="346" spans="1:9" x14ac:dyDescent="0.15">
      <c r="A346" s="135"/>
      <c r="B346" s="451" t="s">
        <v>921</v>
      </c>
      <c r="C346" s="135" t="s">
        <v>955</v>
      </c>
      <c r="D346" s="141">
        <v>0</v>
      </c>
      <c r="E346" s="309">
        <v>0</v>
      </c>
      <c r="F346" s="141">
        <v>0</v>
      </c>
      <c r="G346" s="285">
        <v>0</v>
      </c>
      <c r="H346" s="147">
        <v>0</v>
      </c>
      <c r="I346" s="495">
        <f t="shared" si="18"/>
        <v>0</v>
      </c>
    </row>
    <row r="347" spans="1:9" x14ac:dyDescent="0.15">
      <c r="A347" s="135"/>
      <c r="B347" s="451" t="s">
        <v>922</v>
      </c>
      <c r="C347" s="135" t="s">
        <v>1123</v>
      </c>
      <c r="D347" s="141">
        <v>0</v>
      </c>
      <c r="E347" s="309">
        <v>0</v>
      </c>
      <c r="F347" s="141">
        <v>0</v>
      </c>
      <c r="G347" s="285">
        <v>0</v>
      </c>
      <c r="H347" s="147">
        <v>0</v>
      </c>
      <c r="I347" s="495">
        <f t="shared" si="18"/>
        <v>0</v>
      </c>
    </row>
    <row r="348" spans="1:9" x14ac:dyDescent="0.15">
      <c r="A348" s="135"/>
      <c r="B348" s="451" t="s">
        <v>923</v>
      </c>
      <c r="C348" s="135" t="s">
        <v>957</v>
      </c>
      <c r="D348" s="141">
        <v>0</v>
      </c>
      <c r="E348" s="309">
        <v>0</v>
      </c>
      <c r="F348" s="141">
        <v>0</v>
      </c>
      <c r="G348" s="285">
        <v>0</v>
      </c>
      <c r="H348" s="147">
        <v>0</v>
      </c>
      <c r="I348" s="495">
        <f t="shared" si="18"/>
        <v>0</v>
      </c>
    </row>
    <row r="349" spans="1:9" x14ac:dyDescent="0.15">
      <c r="A349" s="135"/>
      <c r="B349" s="451" t="s">
        <v>924</v>
      </c>
      <c r="C349" s="135" t="s">
        <v>958</v>
      </c>
      <c r="D349" s="141">
        <v>0</v>
      </c>
      <c r="E349" s="309">
        <v>0</v>
      </c>
      <c r="F349" s="141">
        <v>0</v>
      </c>
      <c r="G349" s="285">
        <v>0</v>
      </c>
      <c r="H349" s="147">
        <v>0</v>
      </c>
      <c r="I349" s="495">
        <f t="shared" si="18"/>
        <v>0</v>
      </c>
    </row>
    <row r="350" spans="1:9" x14ac:dyDescent="0.15">
      <c r="A350" s="135"/>
      <c r="B350" s="451" t="s">
        <v>925</v>
      </c>
      <c r="C350" s="135" t="s">
        <v>1128</v>
      </c>
      <c r="D350" s="141">
        <v>0</v>
      </c>
      <c r="E350" s="309">
        <v>0</v>
      </c>
      <c r="F350" s="141">
        <v>0</v>
      </c>
      <c r="G350" s="285">
        <v>0</v>
      </c>
      <c r="H350" s="147">
        <v>0</v>
      </c>
      <c r="I350" s="495">
        <f t="shared" si="18"/>
        <v>0</v>
      </c>
    </row>
    <row r="351" spans="1:9" x14ac:dyDescent="0.15">
      <c r="A351" s="135"/>
      <c r="B351" s="451" t="s">
        <v>926</v>
      </c>
      <c r="C351" s="135" t="s">
        <v>1129</v>
      </c>
      <c r="D351" s="141">
        <v>0</v>
      </c>
      <c r="E351" s="309">
        <v>0</v>
      </c>
      <c r="F351" s="141">
        <v>0</v>
      </c>
      <c r="G351" s="285">
        <v>0</v>
      </c>
      <c r="H351" s="147">
        <v>0</v>
      </c>
      <c r="I351" s="495">
        <f t="shared" si="18"/>
        <v>0</v>
      </c>
    </row>
    <row r="352" spans="1:9" x14ac:dyDescent="0.15">
      <c r="A352" s="135"/>
      <c r="B352" s="451" t="s">
        <v>927</v>
      </c>
      <c r="C352" s="135" t="s">
        <v>959</v>
      </c>
      <c r="D352" s="141">
        <v>0</v>
      </c>
      <c r="E352" s="309">
        <v>0</v>
      </c>
      <c r="F352" s="141">
        <v>0</v>
      </c>
      <c r="G352" s="285">
        <v>0</v>
      </c>
      <c r="H352" s="147">
        <v>0</v>
      </c>
      <c r="I352" s="495">
        <f t="shared" si="18"/>
        <v>0</v>
      </c>
    </row>
    <row r="353" spans="1:9" x14ac:dyDescent="0.15">
      <c r="A353" s="135"/>
      <c r="B353" s="451" t="s">
        <v>928</v>
      </c>
      <c r="C353" s="135" t="s">
        <v>961</v>
      </c>
      <c r="D353" s="141">
        <v>0</v>
      </c>
      <c r="E353" s="309">
        <v>0</v>
      </c>
      <c r="F353" s="141">
        <v>0</v>
      </c>
      <c r="G353" s="285">
        <v>0</v>
      </c>
      <c r="H353" s="147">
        <v>0</v>
      </c>
      <c r="I353" s="495">
        <f t="shared" si="18"/>
        <v>0</v>
      </c>
    </row>
    <row r="354" spans="1:9" x14ac:dyDescent="0.15">
      <c r="A354" s="135"/>
      <c r="B354" s="451" t="s">
        <v>962</v>
      </c>
      <c r="C354" s="135" t="s">
        <v>967</v>
      </c>
      <c r="D354" s="141">
        <v>0</v>
      </c>
      <c r="E354" s="309">
        <v>0</v>
      </c>
      <c r="F354" s="141">
        <v>0</v>
      </c>
      <c r="G354" s="285">
        <v>0</v>
      </c>
      <c r="H354" s="147">
        <v>0</v>
      </c>
      <c r="I354" s="495">
        <f t="shared" si="18"/>
        <v>0</v>
      </c>
    </row>
    <row r="355" spans="1:9" x14ac:dyDescent="0.15">
      <c r="A355" s="135"/>
      <c r="B355" s="451" t="s">
        <v>963</v>
      </c>
      <c r="C355" s="135" t="s">
        <v>1124</v>
      </c>
      <c r="D355" s="141">
        <v>0</v>
      </c>
      <c r="E355" s="309">
        <v>0</v>
      </c>
      <c r="F355" s="141">
        <v>0</v>
      </c>
      <c r="G355" s="285">
        <v>0</v>
      </c>
      <c r="H355" s="147">
        <v>0</v>
      </c>
      <c r="I355" s="495">
        <f t="shared" si="18"/>
        <v>0</v>
      </c>
    </row>
    <row r="356" spans="1:9" x14ac:dyDescent="0.15">
      <c r="A356" s="135"/>
      <c r="B356" s="451" t="s">
        <v>964</v>
      </c>
      <c r="C356" s="135" t="s">
        <v>1094</v>
      </c>
      <c r="D356" s="141">
        <v>0</v>
      </c>
      <c r="E356" s="309">
        <v>0</v>
      </c>
      <c r="F356" s="141">
        <v>0</v>
      </c>
      <c r="G356" s="285">
        <v>0</v>
      </c>
      <c r="H356" s="147">
        <v>0</v>
      </c>
      <c r="I356" s="495">
        <f t="shared" si="18"/>
        <v>0</v>
      </c>
    </row>
    <row r="357" spans="1:9" x14ac:dyDescent="0.15">
      <c r="A357" s="135"/>
      <c r="B357" s="451" t="s">
        <v>965</v>
      </c>
      <c r="C357" s="135" t="s">
        <v>1095</v>
      </c>
      <c r="D357" s="141">
        <v>0</v>
      </c>
      <c r="E357" s="309">
        <v>0</v>
      </c>
      <c r="F357" s="141">
        <v>0</v>
      </c>
      <c r="G357" s="285">
        <v>0</v>
      </c>
      <c r="H357" s="147">
        <v>0</v>
      </c>
      <c r="I357" s="495">
        <f t="shared" si="18"/>
        <v>0</v>
      </c>
    </row>
    <row r="358" spans="1:9" x14ac:dyDescent="0.15">
      <c r="A358" s="135"/>
      <c r="B358" s="451" t="s">
        <v>885</v>
      </c>
      <c r="C358" s="135" t="s">
        <v>1096</v>
      </c>
      <c r="D358" s="141">
        <v>0</v>
      </c>
      <c r="E358" s="309">
        <v>0</v>
      </c>
      <c r="F358" s="141">
        <v>0</v>
      </c>
      <c r="G358" s="285">
        <v>0</v>
      </c>
      <c r="H358" s="147">
        <v>0</v>
      </c>
      <c r="I358" s="495">
        <f t="shared" si="18"/>
        <v>0</v>
      </c>
    </row>
    <row r="359" spans="1:9" x14ac:dyDescent="0.15">
      <c r="A359" s="135"/>
      <c r="B359" s="451" t="s">
        <v>966</v>
      </c>
      <c r="C359" s="135" t="s">
        <v>1097</v>
      </c>
      <c r="D359" s="141">
        <v>0</v>
      </c>
      <c r="E359" s="309">
        <v>0</v>
      </c>
      <c r="F359" s="141">
        <v>0</v>
      </c>
      <c r="G359" s="285">
        <v>0</v>
      </c>
      <c r="H359" s="147">
        <v>0</v>
      </c>
      <c r="I359" s="495">
        <f t="shared" si="18"/>
        <v>0</v>
      </c>
    </row>
    <row r="360" spans="1:9" x14ac:dyDescent="0.15">
      <c r="A360" s="135"/>
      <c r="B360" s="451" t="s">
        <v>886</v>
      </c>
      <c r="C360" s="135" t="s">
        <v>1100</v>
      </c>
      <c r="D360" s="141">
        <v>0</v>
      </c>
      <c r="E360" s="309">
        <v>0</v>
      </c>
      <c r="F360" s="141">
        <v>0</v>
      </c>
      <c r="G360" s="285">
        <v>0</v>
      </c>
      <c r="H360" s="147">
        <v>0</v>
      </c>
      <c r="I360" s="495">
        <f t="shared" si="18"/>
        <v>0</v>
      </c>
    </row>
    <row r="361" spans="1:9" x14ac:dyDescent="0.15">
      <c r="A361" s="135"/>
      <c r="B361" s="451" t="s">
        <v>116</v>
      </c>
      <c r="C361" s="135" t="s">
        <v>1105</v>
      </c>
      <c r="D361" s="141">
        <v>0</v>
      </c>
      <c r="E361" s="309">
        <v>0</v>
      </c>
      <c r="F361" s="141">
        <v>0</v>
      </c>
      <c r="G361" s="285">
        <v>0</v>
      </c>
      <c r="H361" s="147">
        <v>0</v>
      </c>
      <c r="I361" s="495">
        <f t="shared" si="18"/>
        <v>0</v>
      </c>
    </row>
    <row r="362" spans="1:9" x14ac:dyDescent="0.15">
      <c r="A362" s="135"/>
      <c r="B362" s="451" t="s">
        <v>112</v>
      </c>
      <c r="C362" s="135" t="s">
        <v>1110</v>
      </c>
      <c r="D362" s="141">
        <v>0</v>
      </c>
      <c r="E362" s="309">
        <v>0</v>
      </c>
      <c r="F362" s="141">
        <v>0</v>
      </c>
      <c r="G362" s="285">
        <v>0</v>
      </c>
      <c r="H362" s="147">
        <v>0</v>
      </c>
      <c r="I362" s="495">
        <f t="shared" si="18"/>
        <v>0</v>
      </c>
    </row>
    <row r="363" spans="1:9" x14ac:dyDescent="0.15">
      <c r="A363" s="135"/>
      <c r="B363" s="451" t="s">
        <v>887</v>
      </c>
      <c r="C363" s="135" t="s">
        <v>1116</v>
      </c>
      <c r="D363" s="141">
        <v>0</v>
      </c>
      <c r="E363" s="309">
        <v>0</v>
      </c>
      <c r="F363" s="141">
        <v>0</v>
      </c>
      <c r="G363" s="285">
        <v>0</v>
      </c>
      <c r="H363" s="147">
        <v>0</v>
      </c>
      <c r="I363" s="495">
        <f t="shared" si="18"/>
        <v>0</v>
      </c>
    </row>
    <row r="364" spans="1:9" x14ac:dyDescent="0.15">
      <c r="A364" s="135"/>
      <c r="B364" s="451" t="s">
        <v>1112</v>
      </c>
      <c r="C364" s="135" t="s">
        <v>1117</v>
      </c>
      <c r="D364" s="141">
        <v>0</v>
      </c>
      <c r="E364" s="309">
        <v>0</v>
      </c>
      <c r="F364" s="141">
        <v>0</v>
      </c>
      <c r="G364" s="285">
        <v>0</v>
      </c>
      <c r="H364" s="147">
        <v>0</v>
      </c>
      <c r="I364" s="495">
        <f t="shared" si="18"/>
        <v>0</v>
      </c>
    </row>
    <row r="365" spans="1:9" x14ac:dyDescent="0.15">
      <c r="A365" s="135"/>
      <c r="B365" s="451" t="s">
        <v>1113</v>
      </c>
      <c r="C365" s="135" t="s">
        <v>1118</v>
      </c>
      <c r="D365" s="141">
        <v>0</v>
      </c>
      <c r="E365" s="309">
        <v>0</v>
      </c>
      <c r="F365" s="141">
        <v>0</v>
      </c>
      <c r="G365" s="285">
        <v>0</v>
      </c>
      <c r="H365" s="147">
        <v>0</v>
      </c>
      <c r="I365" s="495">
        <f t="shared" si="18"/>
        <v>0</v>
      </c>
    </row>
    <row r="366" spans="1:9" ht="11.25" thickBot="1" x14ac:dyDescent="0.2">
      <c r="A366" s="135"/>
      <c r="B366" s="451" t="s">
        <v>1114</v>
      </c>
      <c r="C366" s="135" t="s">
        <v>1119</v>
      </c>
      <c r="D366" s="141">
        <v>0</v>
      </c>
      <c r="E366" s="309">
        <v>0</v>
      </c>
      <c r="F366" s="141">
        <v>0</v>
      </c>
      <c r="G366" s="285">
        <v>0</v>
      </c>
      <c r="H366" s="147">
        <v>0</v>
      </c>
      <c r="I366" s="495">
        <f t="shared" si="18"/>
        <v>0</v>
      </c>
    </row>
    <row r="367" spans="1:9" ht="12" thickTop="1" thickBot="1" x14ac:dyDescent="0.2">
      <c r="A367" s="135"/>
      <c r="B367" s="451"/>
      <c r="C367" s="135" t="s">
        <v>1171</v>
      </c>
      <c r="D367" s="166">
        <f>SUM(D334:D366)</f>
        <v>0</v>
      </c>
      <c r="E367" s="297">
        <f>SUM(E334:E366)</f>
        <v>0</v>
      </c>
      <c r="F367" s="166">
        <f>SUM(F334:F366)</f>
        <v>0</v>
      </c>
      <c r="G367" s="166">
        <f>SUM(G334:G366)</f>
        <v>0</v>
      </c>
      <c r="H367" s="166">
        <f>SUM(H334:H366)</f>
        <v>0</v>
      </c>
      <c r="I367" s="166">
        <f t="shared" si="18"/>
        <v>0</v>
      </c>
    </row>
    <row r="368" spans="1:9" ht="11.25" thickTop="1" x14ac:dyDescent="0.15">
      <c r="A368" s="135"/>
      <c r="B368" s="451"/>
      <c r="C368" s="135"/>
      <c r="D368" s="14"/>
      <c r="E368" s="301"/>
      <c r="F368" s="14"/>
      <c r="G368" s="14"/>
      <c r="H368" s="14"/>
      <c r="I368" s="491"/>
    </row>
    <row r="369" spans="1:9" x14ac:dyDescent="0.15">
      <c r="A369" s="442" t="s">
        <v>1174</v>
      </c>
      <c r="B369" s="135"/>
      <c r="C369" s="135"/>
      <c r="D369" s="14"/>
      <c r="E369" s="301"/>
      <c r="F369" s="14"/>
      <c r="G369" s="14"/>
      <c r="H369" s="14"/>
      <c r="I369" s="491"/>
    </row>
    <row r="370" spans="1:9" x14ac:dyDescent="0.15">
      <c r="A370" s="452" t="s">
        <v>1173</v>
      </c>
      <c r="B370" s="135"/>
      <c r="C370" s="135"/>
      <c r="D370" s="14"/>
      <c r="E370" s="301"/>
      <c r="F370" s="14"/>
      <c r="G370" s="14"/>
      <c r="H370" s="14"/>
      <c r="I370" s="491"/>
    </row>
    <row r="371" spans="1:9" hidden="1" x14ac:dyDescent="0.15">
      <c r="A371" s="416"/>
      <c r="B371" s="453" t="s">
        <v>880</v>
      </c>
      <c r="C371" s="454" t="s">
        <v>1164</v>
      </c>
      <c r="D371" s="308">
        <v>0</v>
      </c>
      <c r="E371" s="308">
        <v>0</v>
      </c>
      <c r="F371" s="308">
        <v>0</v>
      </c>
      <c r="G371" s="458"/>
      <c r="H371" s="457">
        <v>0</v>
      </c>
      <c r="I371" s="494">
        <f>SUM(G371+H371)</f>
        <v>0</v>
      </c>
    </row>
    <row r="372" spans="1:9" x14ac:dyDescent="0.15">
      <c r="A372" s="416"/>
      <c r="B372" s="453" t="s">
        <v>880</v>
      </c>
      <c r="C372" s="454" t="s">
        <v>337</v>
      </c>
      <c r="D372" s="308">
        <v>0</v>
      </c>
      <c r="E372" s="308">
        <v>0</v>
      </c>
      <c r="F372" s="308">
        <v>0</v>
      </c>
      <c r="G372" s="308">
        <v>0</v>
      </c>
      <c r="H372" s="457">
        <v>0</v>
      </c>
      <c r="I372" s="494">
        <f>SUM(G372+H372)</f>
        <v>0</v>
      </c>
    </row>
    <row r="373" spans="1:9" hidden="1" x14ac:dyDescent="0.15">
      <c r="A373" s="454"/>
      <c r="B373" s="453" t="s">
        <v>881</v>
      </c>
      <c r="C373" s="454" t="s">
        <v>382</v>
      </c>
      <c r="D373" s="308">
        <v>0</v>
      </c>
      <c r="E373" s="308">
        <v>0</v>
      </c>
      <c r="F373" s="308">
        <v>0</v>
      </c>
      <c r="G373" s="459"/>
      <c r="H373" s="457">
        <v>0</v>
      </c>
      <c r="I373" s="494">
        <f>SUM(G373+H373)</f>
        <v>0</v>
      </c>
    </row>
    <row r="374" spans="1:9" x14ac:dyDescent="0.15">
      <c r="A374" s="135"/>
      <c r="B374" s="451" t="s">
        <v>881</v>
      </c>
      <c r="C374" s="135" t="s">
        <v>338</v>
      </c>
      <c r="D374" s="144">
        <v>0</v>
      </c>
      <c r="E374" s="308">
        <v>0</v>
      </c>
      <c r="F374" s="144">
        <v>0</v>
      </c>
      <c r="G374" s="144">
        <v>0</v>
      </c>
      <c r="H374" s="147">
        <v>0</v>
      </c>
      <c r="I374" s="495">
        <f>SUM(G374+H374)</f>
        <v>0</v>
      </c>
    </row>
    <row r="375" spans="1:9" x14ac:dyDescent="0.15">
      <c r="A375" s="135"/>
      <c r="B375" s="453" t="s">
        <v>882</v>
      </c>
      <c r="C375" s="454" t="s">
        <v>1058</v>
      </c>
      <c r="D375" s="141">
        <v>0</v>
      </c>
      <c r="E375" s="309">
        <v>0</v>
      </c>
      <c r="F375" s="141">
        <v>0</v>
      </c>
      <c r="G375" s="285">
        <v>0</v>
      </c>
      <c r="H375" s="147">
        <v>0</v>
      </c>
      <c r="I375" s="495">
        <f t="shared" ref="I375:I403" si="20">SUM(G375+H375)</f>
        <v>0</v>
      </c>
    </row>
    <row r="376" spans="1:9" x14ac:dyDescent="0.15">
      <c r="A376" s="135"/>
      <c r="B376" s="453" t="s">
        <v>883</v>
      </c>
      <c r="C376" s="454" t="s">
        <v>1059</v>
      </c>
      <c r="D376" s="141">
        <v>0</v>
      </c>
      <c r="E376" s="309">
        <v>0</v>
      </c>
      <c r="F376" s="141">
        <v>0</v>
      </c>
      <c r="G376" s="285">
        <v>0</v>
      </c>
      <c r="H376" s="147">
        <v>0</v>
      </c>
      <c r="I376" s="495">
        <f t="shared" si="20"/>
        <v>0</v>
      </c>
    </row>
    <row r="377" spans="1:9" x14ac:dyDescent="0.15">
      <c r="A377" s="135"/>
      <c r="B377" s="453" t="s">
        <v>1060</v>
      </c>
      <c r="C377" s="454" t="s">
        <v>1061</v>
      </c>
      <c r="D377" s="141">
        <v>0</v>
      </c>
      <c r="E377" s="309">
        <v>0</v>
      </c>
      <c r="F377" s="141">
        <v>0</v>
      </c>
      <c r="G377" s="285">
        <v>0</v>
      </c>
      <c r="H377" s="147">
        <v>0</v>
      </c>
      <c r="I377" s="495">
        <f t="shared" si="20"/>
        <v>0</v>
      </c>
    </row>
    <row r="378" spans="1:9" x14ac:dyDescent="0.15">
      <c r="A378" s="135"/>
      <c r="B378" s="453" t="s">
        <v>1062</v>
      </c>
      <c r="C378" s="454" t="s">
        <v>1063</v>
      </c>
      <c r="D378" s="141">
        <v>0</v>
      </c>
      <c r="E378" s="309">
        <v>0</v>
      </c>
      <c r="F378" s="141">
        <v>0</v>
      </c>
      <c r="G378" s="285">
        <v>0</v>
      </c>
      <c r="H378" s="147">
        <v>0</v>
      </c>
      <c r="I378" s="495">
        <f t="shared" si="20"/>
        <v>0</v>
      </c>
    </row>
    <row r="379" spans="1:9" x14ac:dyDescent="0.15">
      <c r="A379" s="135"/>
      <c r="B379" s="453" t="s">
        <v>884</v>
      </c>
      <c r="C379" s="454" t="s">
        <v>1064</v>
      </c>
      <c r="D379" s="141">
        <v>0</v>
      </c>
      <c r="E379" s="309">
        <v>0</v>
      </c>
      <c r="F379" s="141">
        <v>0</v>
      </c>
      <c r="G379" s="285">
        <v>0</v>
      </c>
      <c r="H379" s="147">
        <v>0</v>
      </c>
      <c r="I379" s="495">
        <f t="shared" si="20"/>
        <v>0</v>
      </c>
    </row>
    <row r="380" spans="1:9" x14ac:dyDescent="0.15">
      <c r="A380" s="135"/>
      <c r="B380" s="453" t="s">
        <v>1067</v>
      </c>
      <c r="C380" s="454" t="s">
        <v>1074</v>
      </c>
      <c r="D380" s="141">
        <v>0</v>
      </c>
      <c r="E380" s="309">
        <v>0</v>
      </c>
      <c r="F380" s="141">
        <v>0</v>
      </c>
      <c r="G380" s="285">
        <v>0</v>
      </c>
      <c r="H380" s="147">
        <v>0</v>
      </c>
      <c r="I380" s="495">
        <f t="shared" si="20"/>
        <v>0</v>
      </c>
    </row>
    <row r="381" spans="1:9" x14ac:dyDescent="0.15">
      <c r="A381" s="135"/>
      <c r="B381" s="453" t="s">
        <v>1068</v>
      </c>
      <c r="C381" s="454" t="s">
        <v>1075</v>
      </c>
      <c r="D381" s="141">
        <v>0</v>
      </c>
      <c r="E381" s="309">
        <v>0</v>
      </c>
      <c r="F381" s="141">
        <v>0</v>
      </c>
      <c r="G381" s="285">
        <v>0</v>
      </c>
      <c r="H381" s="147">
        <v>0</v>
      </c>
      <c r="I381" s="495">
        <f t="shared" si="20"/>
        <v>0</v>
      </c>
    </row>
    <row r="382" spans="1:9" x14ac:dyDescent="0.15">
      <c r="A382" s="135"/>
      <c r="B382" s="453" t="s">
        <v>1072</v>
      </c>
      <c r="C382" s="454" t="s">
        <v>920</v>
      </c>
      <c r="D382" s="141">
        <v>0</v>
      </c>
      <c r="E382" s="309">
        <v>0</v>
      </c>
      <c r="F382" s="141">
        <v>0</v>
      </c>
      <c r="G382" s="285">
        <v>0</v>
      </c>
      <c r="H382" s="147">
        <v>0</v>
      </c>
      <c r="I382" s="495">
        <f t="shared" si="20"/>
        <v>0</v>
      </c>
    </row>
    <row r="383" spans="1:9" x14ac:dyDescent="0.15">
      <c r="A383" s="135"/>
      <c r="B383" s="717" t="s">
        <v>155</v>
      </c>
      <c r="C383" s="706" t="s">
        <v>178</v>
      </c>
      <c r="D383" s="141">
        <v>0</v>
      </c>
      <c r="E383" s="309">
        <v>0</v>
      </c>
      <c r="F383" s="141">
        <v>0</v>
      </c>
      <c r="G383" s="285">
        <v>0</v>
      </c>
      <c r="H383" s="147">
        <v>0</v>
      </c>
      <c r="I383" s="495">
        <f t="shared" ref="I383" si="21">SUM(G383+H383)</f>
        <v>0</v>
      </c>
    </row>
    <row r="384" spans="1:9" x14ac:dyDescent="0.15">
      <c r="A384" s="135"/>
      <c r="B384" s="453" t="s">
        <v>921</v>
      </c>
      <c r="C384" s="454" t="s">
        <v>955</v>
      </c>
      <c r="D384" s="141">
        <v>0</v>
      </c>
      <c r="E384" s="309">
        <v>0</v>
      </c>
      <c r="F384" s="141">
        <v>0</v>
      </c>
      <c r="G384" s="285">
        <v>0</v>
      </c>
      <c r="H384" s="147">
        <v>0</v>
      </c>
      <c r="I384" s="495">
        <f t="shared" si="20"/>
        <v>0</v>
      </c>
    </row>
    <row r="385" spans="1:9" x14ac:dyDescent="0.15">
      <c r="A385" s="135"/>
      <c r="B385" s="453" t="s">
        <v>922</v>
      </c>
      <c r="C385" s="454" t="s">
        <v>956</v>
      </c>
      <c r="D385" s="141">
        <v>0</v>
      </c>
      <c r="E385" s="309">
        <v>0</v>
      </c>
      <c r="F385" s="141">
        <v>0</v>
      </c>
      <c r="G385" s="285">
        <v>0</v>
      </c>
      <c r="H385" s="147">
        <v>0</v>
      </c>
      <c r="I385" s="495">
        <f t="shared" si="20"/>
        <v>0</v>
      </c>
    </row>
    <row r="386" spans="1:9" x14ac:dyDescent="0.15">
      <c r="A386" s="135"/>
      <c r="B386" s="453" t="s">
        <v>923</v>
      </c>
      <c r="C386" s="454" t="s">
        <v>957</v>
      </c>
      <c r="D386" s="141">
        <v>0</v>
      </c>
      <c r="E386" s="309">
        <v>0</v>
      </c>
      <c r="F386" s="141">
        <v>0</v>
      </c>
      <c r="G386" s="285">
        <v>0</v>
      </c>
      <c r="H386" s="147">
        <v>0</v>
      </c>
      <c r="I386" s="495">
        <f t="shared" si="20"/>
        <v>0</v>
      </c>
    </row>
    <row r="387" spans="1:9" x14ac:dyDescent="0.15">
      <c r="A387" s="135"/>
      <c r="B387" s="453" t="s">
        <v>924</v>
      </c>
      <c r="C387" s="454" t="s">
        <v>958</v>
      </c>
      <c r="D387" s="141">
        <v>0</v>
      </c>
      <c r="E387" s="309">
        <v>0</v>
      </c>
      <c r="F387" s="141">
        <v>0</v>
      </c>
      <c r="G387" s="285">
        <v>0</v>
      </c>
      <c r="H387" s="147">
        <v>0</v>
      </c>
      <c r="I387" s="495">
        <f t="shared" si="20"/>
        <v>0</v>
      </c>
    </row>
    <row r="388" spans="1:9" x14ac:dyDescent="0.15">
      <c r="A388" s="135"/>
      <c r="B388" s="453" t="s">
        <v>925</v>
      </c>
      <c r="C388" s="454" t="s">
        <v>1128</v>
      </c>
      <c r="D388" s="141">
        <v>0</v>
      </c>
      <c r="E388" s="309">
        <v>0</v>
      </c>
      <c r="F388" s="141">
        <v>0</v>
      </c>
      <c r="G388" s="285">
        <v>0</v>
      </c>
      <c r="H388" s="147">
        <v>0</v>
      </c>
      <c r="I388" s="495">
        <f t="shared" si="20"/>
        <v>0</v>
      </c>
    </row>
    <row r="389" spans="1:9" x14ac:dyDescent="0.15">
      <c r="A389" s="135"/>
      <c r="B389" s="453" t="s">
        <v>926</v>
      </c>
      <c r="C389" s="454" t="s">
        <v>1129</v>
      </c>
      <c r="D389" s="141">
        <v>0</v>
      </c>
      <c r="E389" s="309">
        <v>0</v>
      </c>
      <c r="F389" s="141">
        <v>0</v>
      </c>
      <c r="G389" s="285">
        <v>0</v>
      </c>
      <c r="H389" s="147">
        <v>0</v>
      </c>
      <c r="I389" s="495">
        <f t="shared" si="20"/>
        <v>0</v>
      </c>
    </row>
    <row r="390" spans="1:9" x14ac:dyDescent="0.15">
      <c r="A390" s="135"/>
      <c r="B390" s="453" t="s">
        <v>927</v>
      </c>
      <c r="C390" s="454" t="s">
        <v>959</v>
      </c>
      <c r="D390" s="141">
        <v>0</v>
      </c>
      <c r="E390" s="309">
        <v>0</v>
      </c>
      <c r="F390" s="141">
        <v>0</v>
      </c>
      <c r="G390" s="285">
        <v>0</v>
      </c>
      <c r="H390" s="147">
        <v>0</v>
      </c>
      <c r="I390" s="495">
        <f t="shared" si="20"/>
        <v>0</v>
      </c>
    </row>
    <row r="391" spans="1:9" x14ac:dyDescent="0.15">
      <c r="A391" s="135"/>
      <c r="B391" s="453" t="s">
        <v>928</v>
      </c>
      <c r="C391" s="454" t="s">
        <v>961</v>
      </c>
      <c r="D391" s="141">
        <v>0</v>
      </c>
      <c r="E391" s="309">
        <v>0</v>
      </c>
      <c r="F391" s="141">
        <v>0</v>
      </c>
      <c r="G391" s="285">
        <v>0</v>
      </c>
      <c r="H391" s="147">
        <v>0</v>
      </c>
      <c r="I391" s="495">
        <f t="shared" si="20"/>
        <v>0</v>
      </c>
    </row>
    <row r="392" spans="1:9" x14ac:dyDescent="0.15">
      <c r="A392" s="135"/>
      <c r="B392" s="453" t="s">
        <v>962</v>
      </c>
      <c r="C392" s="454" t="s">
        <v>967</v>
      </c>
      <c r="D392" s="141">
        <v>0</v>
      </c>
      <c r="E392" s="309">
        <v>0</v>
      </c>
      <c r="F392" s="141">
        <v>0</v>
      </c>
      <c r="G392" s="285">
        <v>0</v>
      </c>
      <c r="H392" s="147">
        <v>0</v>
      </c>
      <c r="I392" s="495">
        <f t="shared" si="20"/>
        <v>0</v>
      </c>
    </row>
    <row r="393" spans="1:9" x14ac:dyDescent="0.15">
      <c r="A393" s="135"/>
      <c r="B393" s="453" t="s">
        <v>963</v>
      </c>
      <c r="C393" s="454" t="s">
        <v>1093</v>
      </c>
      <c r="D393" s="141">
        <v>0</v>
      </c>
      <c r="E393" s="309">
        <v>0</v>
      </c>
      <c r="F393" s="141">
        <v>0</v>
      </c>
      <c r="G393" s="285">
        <v>0</v>
      </c>
      <c r="H393" s="147">
        <v>0</v>
      </c>
      <c r="I393" s="495">
        <f t="shared" si="20"/>
        <v>0</v>
      </c>
    </row>
    <row r="394" spans="1:9" x14ac:dyDescent="0.15">
      <c r="A394" s="135"/>
      <c r="B394" s="453" t="s">
        <v>964</v>
      </c>
      <c r="C394" s="454" t="s">
        <v>1094</v>
      </c>
      <c r="D394" s="141">
        <v>0</v>
      </c>
      <c r="E394" s="309">
        <v>0</v>
      </c>
      <c r="F394" s="141">
        <v>0</v>
      </c>
      <c r="G394" s="285">
        <v>0</v>
      </c>
      <c r="H394" s="147">
        <v>0</v>
      </c>
      <c r="I394" s="495">
        <f t="shared" si="20"/>
        <v>0</v>
      </c>
    </row>
    <row r="395" spans="1:9" x14ac:dyDescent="0.15">
      <c r="A395" s="135"/>
      <c r="B395" s="453" t="s">
        <v>965</v>
      </c>
      <c r="C395" s="454" t="s">
        <v>1095</v>
      </c>
      <c r="D395" s="141">
        <v>0</v>
      </c>
      <c r="E395" s="309">
        <v>0</v>
      </c>
      <c r="F395" s="141">
        <v>0</v>
      </c>
      <c r="G395" s="285">
        <v>0</v>
      </c>
      <c r="H395" s="147">
        <v>0</v>
      </c>
      <c r="I395" s="495">
        <f t="shared" si="20"/>
        <v>0</v>
      </c>
    </row>
    <row r="396" spans="1:9" x14ac:dyDescent="0.15">
      <c r="A396" s="135"/>
      <c r="B396" s="453" t="s">
        <v>885</v>
      </c>
      <c r="C396" s="454" t="s">
        <v>1096</v>
      </c>
      <c r="D396" s="141">
        <v>0</v>
      </c>
      <c r="E396" s="309">
        <v>0</v>
      </c>
      <c r="F396" s="141">
        <v>0</v>
      </c>
      <c r="G396" s="285">
        <v>0</v>
      </c>
      <c r="H396" s="147">
        <v>0</v>
      </c>
      <c r="I396" s="495">
        <f t="shared" si="20"/>
        <v>0</v>
      </c>
    </row>
    <row r="397" spans="1:9" x14ac:dyDescent="0.15">
      <c r="A397" s="135"/>
      <c r="B397" s="453" t="s">
        <v>966</v>
      </c>
      <c r="C397" s="454" t="s">
        <v>1097</v>
      </c>
      <c r="D397" s="141">
        <v>0</v>
      </c>
      <c r="E397" s="309">
        <v>0</v>
      </c>
      <c r="F397" s="141">
        <v>0</v>
      </c>
      <c r="G397" s="285">
        <v>0</v>
      </c>
      <c r="H397" s="147">
        <v>0</v>
      </c>
      <c r="I397" s="495">
        <f t="shared" si="20"/>
        <v>0</v>
      </c>
    </row>
    <row r="398" spans="1:9" x14ac:dyDescent="0.15">
      <c r="A398" s="135"/>
      <c r="B398" s="453" t="s">
        <v>886</v>
      </c>
      <c r="C398" s="454" t="s">
        <v>1100</v>
      </c>
      <c r="D398" s="141">
        <v>0</v>
      </c>
      <c r="E398" s="309">
        <v>0</v>
      </c>
      <c r="F398" s="141">
        <v>0</v>
      </c>
      <c r="G398" s="285">
        <v>0</v>
      </c>
      <c r="H398" s="147">
        <v>0</v>
      </c>
      <c r="I398" s="495">
        <f t="shared" si="20"/>
        <v>0</v>
      </c>
    </row>
    <row r="399" spans="1:9" x14ac:dyDescent="0.15">
      <c r="A399" s="135"/>
      <c r="B399" s="453" t="s">
        <v>116</v>
      </c>
      <c r="C399" s="454" t="s">
        <v>1105</v>
      </c>
      <c r="D399" s="141">
        <v>0</v>
      </c>
      <c r="E399" s="309">
        <v>0</v>
      </c>
      <c r="F399" s="141">
        <v>0</v>
      </c>
      <c r="G399" s="285">
        <v>0</v>
      </c>
      <c r="H399" s="147">
        <v>0</v>
      </c>
      <c r="I399" s="495">
        <f t="shared" si="20"/>
        <v>0</v>
      </c>
    </row>
    <row r="400" spans="1:9" x14ac:dyDescent="0.15">
      <c r="A400" s="135"/>
      <c r="B400" s="453" t="s">
        <v>112</v>
      </c>
      <c r="C400" s="454" t="s">
        <v>1110</v>
      </c>
      <c r="D400" s="141">
        <v>0</v>
      </c>
      <c r="E400" s="309">
        <v>0</v>
      </c>
      <c r="F400" s="141">
        <v>0</v>
      </c>
      <c r="G400" s="285">
        <v>0</v>
      </c>
      <c r="H400" s="147">
        <v>0</v>
      </c>
      <c r="I400" s="495">
        <f t="shared" si="20"/>
        <v>0</v>
      </c>
    </row>
    <row r="401" spans="1:9" x14ac:dyDescent="0.15">
      <c r="A401" s="135"/>
      <c r="B401" s="453" t="s">
        <v>887</v>
      </c>
      <c r="C401" s="454" t="s">
        <v>1116</v>
      </c>
      <c r="D401" s="141">
        <v>0</v>
      </c>
      <c r="E401" s="309">
        <v>0</v>
      </c>
      <c r="F401" s="141">
        <v>0</v>
      </c>
      <c r="G401" s="285">
        <v>0</v>
      </c>
      <c r="H401" s="147">
        <v>0</v>
      </c>
      <c r="I401" s="495">
        <f t="shared" si="20"/>
        <v>0</v>
      </c>
    </row>
    <row r="402" spans="1:9" x14ac:dyDescent="0.15">
      <c r="A402" s="135"/>
      <c r="B402" s="453" t="s">
        <v>1112</v>
      </c>
      <c r="C402" s="454" t="s">
        <v>1117</v>
      </c>
      <c r="D402" s="141">
        <v>0</v>
      </c>
      <c r="E402" s="309">
        <v>0</v>
      </c>
      <c r="F402" s="141">
        <v>0</v>
      </c>
      <c r="G402" s="285">
        <v>0</v>
      </c>
      <c r="H402" s="147">
        <v>0</v>
      </c>
      <c r="I402" s="495">
        <f t="shared" si="20"/>
        <v>0</v>
      </c>
    </row>
    <row r="403" spans="1:9" x14ac:dyDescent="0.15">
      <c r="A403" s="135"/>
      <c r="B403" s="453" t="s">
        <v>1113</v>
      </c>
      <c r="C403" s="454" t="s">
        <v>1118</v>
      </c>
      <c r="D403" s="141">
        <v>0</v>
      </c>
      <c r="E403" s="309">
        <v>0</v>
      </c>
      <c r="F403" s="141">
        <v>0</v>
      </c>
      <c r="G403" s="285">
        <v>0</v>
      </c>
      <c r="H403" s="147">
        <v>0</v>
      </c>
      <c r="I403" s="495">
        <f t="shared" si="20"/>
        <v>0</v>
      </c>
    </row>
    <row r="404" spans="1:9" ht="11.25" thickBot="1" x14ac:dyDescent="0.2">
      <c r="A404" s="135"/>
      <c r="B404" s="453" t="s">
        <v>1114</v>
      </c>
      <c r="C404" s="454" t="s">
        <v>1119</v>
      </c>
      <c r="D404" s="141">
        <v>0</v>
      </c>
      <c r="E404" s="309">
        <v>0</v>
      </c>
      <c r="F404" s="141">
        <v>0</v>
      </c>
      <c r="G404" s="285">
        <v>0</v>
      </c>
      <c r="H404" s="147">
        <v>0</v>
      </c>
      <c r="I404" s="495">
        <f>SUM(G404+H404)</f>
        <v>0</v>
      </c>
    </row>
    <row r="405" spans="1:9" ht="12" thickTop="1" thickBot="1" x14ac:dyDescent="0.2">
      <c r="A405" s="135"/>
      <c r="B405" s="453"/>
      <c r="C405" s="454" t="s">
        <v>1172</v>
      </c>
      <c r="D405" s="166">
        <f>SUM(D371:D404)</f>
        <v>0</v>
      </c>
      <c r="E405" s="297">
        <f>SUM(E371:E404)</f>
        <v>0</v>
      </c>
      <c r="F405" s="166">
        <f>SUM(F371:F404)</f>
        <v>0</v>
      </c>
      <c r="G405" s="166">
        <f>SUM(G371:G404)</f>
        <v>0</v>
      </c>
      <c r="H405" s="166">
        <f>SUM(H371:H404)</f>
        <v>0</v>
      </c>
      <c r="I405" s="166">
        <f>SUM(G405+H405)</f>
        <v>0</v>
      </c>
    </row>
    <row r="406" spans="1:9" ht="11.25" thickTop="1" x14ac:dyDescent="0.15">
      <c r="A406" s="135"/>
      <c r="B406" s="454"/>
      <c r="C406" s="454"/>
      <c r="D406" s="14"/>
      <c r="E406" s="301"/>
      <c r="F406" s="14"/>
      <c r="G406" s="14"/>
      <c r="H406" s="14"/>
      <c r="I406" s="491"/>
    </row>
    <row r="407" spans="1:9" x14ac:dyDescent="0.15">
      <c r="A407" s="452" t="s">
        <v>1175</v>
      </c>
      <c r="B407" s="454"/>
      <c r="C407" s="454"/>
      <c r="D407" s="14"/>
      <c r="E407" s="301"/>
      <c r="F407" s="14"/>
      <c r="G407" s="14"/>
      <c r="H407" s="14"/>
      <c r="I407" s="491"/>
    </row>
    <row r="408" spans="1:9" hidden="1" x14ac:dyDescent="0.15">
      <c r="A408" s="416"/>
      <c r="B408" s="453" t="s">
        <v>880</v>
      </c>
      <c r="C408" s="454" t="s">
        <v>1164</v>
      </c>
      <c r="D408" s="308">
        <v>0</v>
      </c>
      <c r="E408" s="308">
        <v>0</v>
      </c>
      <c r="F408" s="308">
        <v>0</v>
      </c>
      <c r="G408" s="458"/>
      <c r="H408" s="457">
        <v>0</v>
      </c>
      <c r="I408" s="494">
        <f>SUM(G408+H408)</f>
        <v>0</v>
      </c>
    </row>
    <row r="409" spans="1:9" x14ac:dyDescent="0.15">
      <c r="A409" s="416"/>
      <c r="B409" s="453" t="s">
        <v>880</v>
      </c>
      <c r="C409" s="454" t="s">
        <v>337</v>
      </c>
      <c r="D409" s="308">
        <v>0</v>
      </c>
      <c r="E409" s="308">
        <v>0</v>
      </c>
      <c r="F409" s="308">
        <v>0</v>
      </c>
      <c r="G409" s="308">
        <v>0</v>
      </c>
      <c r="H409" s="457">
        <v>0</v>
      </c>
      <c r="I409" s="494">
        <f>SUM(G409+H409)</f>
        <v>0</v>
      </c>
    </row>
    <row r="410" spans="1:9" hidden="1" x14ac:dyDescent="0.15">
      <c r="A410" s="454"/>
      <c r="B410" s="453" t="s">
        <v>881</v>
      </c>
      <c r="C410" s="454" t="s">
        <v>382</v>
      </c>
      <c r="D410" s="308">
        <v>0</v>
      </c>
      <c r="E410" s="308">
        <v>0</v>
      </c>
      <c r="F410" s="308">
        <v>0</v>
      </c>
      <c r="G410" s="459"/>
      <c r="H410" s="457">
        <v>0</v>
      </c>
      <c r="I410" s="494">
        <f>SUM(G410+H410)</f>
        <v>0</v>
      </c>
    </row>
    <row r="411" spans="1:9" x14ac:dyDescent="0.15">
      <c r="A411" s="135"/>
      <c r="B411" s="451" t="s">
        <v>881</v>
      </c>
      <c r="C411" s="135" t="s">
        <v>338</v>
      </c>
      <c r="D411" s="144">
        <v>0</v>
      </c>
      <c r="E411" s="308">
        <v>0</v>
      </c>
      <c r="F411" s="144">
        <v>0</v>
      </c>
      <c r="G411" s="144">
        <v>0</v>
      </c>
      <c r="H411" s="147">
        <v>0</v>
      </c>
      <c r="I411" s="495">
        <f>SUM(G411+H411)</f>
        <v>0</v>
      </c>
    </row>
    <row r="412" spans="1:9" x14ac:dyDescent="0.15">
      <c r="A412" s="135"/>
      <c r="B412" s="453" t="s">
        <v>882</v>
      </c>
      <c r="C412" s="454" t="s">
        <v>1058</v>
      </c>
      <c r="D412" s="141">
        <v>0</v>
      </c>
      <c r="E412" s="309">
        <v>0</v>
      </c>
      <c r="F412" s="141">
        <v>0</v>
      </c>
      <c r="G412" s="141">
        <v>0</v>
      </c>
      <c r="H412" s="147">
        <v>0</v>
      </c>
      <c r="I412" s="495">
        <f t="shared" ref="I412:I442" si="22">SUM(G412+H412)</f>
        <v>0</v>
      </c>
    </row>
    <row r="413" spans="1:9" x14ac:dyDescent="0.15">
      <c r="A413" s="135"/>
      <c r="B413" s="453" t="s">
        <v>883</v>
      </c>
      <c r="C413" s="454" t="s">
        <v>1059</v>
      </c>
      <c r="D413" s="141">
        <v>0</v>
      </c>
      <c r="E413" s="309">
        <v>0</v>
      </c>
      <c r="F413" s="141">
        <v>0</v>
      </c>
      <c r="G413" s="141">
        <v>0</v>
      </c>
      <c r="H413" s="147">
        <v>0</v>
      </c>
      <c r="I413" s="495">
        <f t="shared" si="22"/>
        <v>0</v>
      </c>
    </row>
    <row r="414" spans="1:9" x14ac:dyDescent="0.15">
      <c r="A414" s="135"/>
      <c r="B414" s="453" t="s">
        <v>1060</v>
      </c>
      <c r="C414" s="454" t="s">
        <v>1061</v>
      </c>
      <c r="D414" s="141">
        <v>0</v>
      </c>
      <c r="E414" s="309">
        <v>0</v>
      </c>
      <c r="F414" s="141">
        <v>0</v>
      </c>
      <c r="G414" s="141">
        <v>0</v>
      </c>
      <c r="H414" s="147">
        <v>0</v>
      </c>
      <c r="I414" s="495">
        <f t="shared" si="22"/>
        <v>0</v>
      </c>
    </row>
    <row r="415" spans="1:9" x14ac:dyDescent="0.15">
      <c r="A415" s="135"/>
      <c r="B415" s="453" t="s">
        <v>1062</v>
      </c>
      <c r="C415" s="454" t="s">
        <v>1063</v>
      </c>
      <c r="D415" s="141">
        <v>0</v>
      </c>
      <c r="E415" s="309">
        <v>0</v>
      </c>
      <c r="F415" s="141">
        <v>0</v>
      </c>
      <c r="G415" s="141">
        <v>0</v>
      </c>
      <c r="H415" s="147">
        <v>0</v>
      </c>
      <c r="I415" s="495">
        <f t="shared" si="22"/>
        <v>0</v>
      </c>
    </row>
    <row r="416" spans="1:9" x14ac:dyDescent="0.15">
      <c r="A416" s="135"/>
      <c r="B416" s="453" t="s">
        <v>884</v>
      </c>
      <c r="C416" s="454" t="s">
        <v>1064</v>
      </c>
      <c r="D416" s="141">
        <v>0</v>
      </c>
      <c r="E416" s="309">
        <v>0</v>
      </c>
      <c r="F416" s="141">
        <v>0</v>
      </c>
      <c r="G416" s="141">
        <v>0</v>
      </c>
      <c r="H416" s="147">
        <v>0</v>
      </c>
      <c r="I416" s="495">
        <f t="shared" si="22"/>
        <v>0</v>
      </c>
    </row>
    <row r="417" spans="1:9" x14ac:dyDescent="0.15">
      <c r="A417" s="135"/>
      <c r="B417" s="453" t="s">
        <v>1067</v>
      </c>
      <c r="C417" s="454" t="s">
        <v>1074</v>
      </c>
      <c r="D417" s="141">
        <v>0</v>
      </c>
      <c r="E417" s="309">
        <v>0</v>
      </c>
      <c r="F417" s="141">
        <v>0</v>
      </c>
      <c r="G417" s="141">
        <v>0</v>
      </c>
      <c r="H417" s="147">
        <v>0</v>
      </c>
      <c r="I417" s="495">
        <f t="shared" si="22"/>
        <v>0</v>
      </c>
    </row>
    <row r="418" spans="1:9" x14ac:dyDescent="0.15">
      <c r="A418" s="135"/>
      <c r="B418" s="453" t="s">
        <v>1068</v>
      </c>
      <c r="C418" s="454" t="s">
        <v>1075</v>
      </c>
      <c r="D418" s="141">
        <v>0</v>
      </c>
      <c r="E418" s="309">
        <v>0</v>
      </c>
      <c r="F418" s="141">
        <v>0</v>
      </c>
      <c r="G418" s="141">
        <v>0</v>
      </c>
      <c r="H418" s="147">
        <v>0</v>
      </c>
      <c r="I418" s="495">
        <f t="shared" si="22"/>
        <v>0</v>
      </c>
    </row>
    <row r="419" spans="1:9" x14ac:dyDescent="0.15">
      <c r="A419" s="135"/>
      <c r="B419" s="453" t="s">
        <v>1072</v>
      </c>
      <c r="C419" s="454" t="s">
        <v>920</v>
      </c>
      <c r="D419" s="141">
        <v>0</v>
      </c>
      <c r="E419" s="309">
        <v>0</v>
      </c>
      <c r="F419" s="141">
        <v>0</v>
      </c>
      <c r="G419" s="141">
        <v>0</v>
      </c>
      <c r="H419" s="147">
        <v>0</v>
      </c>
      <c r="I419" s="495">
        <f t="shared" si="22"/>
        <v>0</v>
      </c>
    </row>
    <row r="420" spans="1:9" x14ac:dyDescent="0.15">
      <c r="A420" s="135"/>
      <c r="B420" s="717" t="s">
        <v>155</v>
      </c>
      <c r="C420" s="706" t="s">
        <v>178</v>
      </c>
      <c r="D420" s="141">
        <v>0</v>
      </c>
      <c r="E420" s="309">
        <v>0</v>
      </c>
      <c r="F420" s="141">
        <v>0</v>
      </c>
      <c r="G420" s="141">
        <v>0</v>
      </c>
      <c r="H420" s="147">
        <v>0</v>
      </c>
      <c r="I420" s="495">
        <f t="shared" ref="I420" si="23">SUM(G420+H420)</f>
        <v>0</v>
      </c>
    </row>
    <row r="421" spans="1:9" x14ac:dyDescent="0.15">
      <c r="A421" s="135"/>
      <c r="B421" s="453" t="s">
        <v>921</v>
      </c>
      <c r="C421" s="454" t="s">
        <v>955</v>
      </c>
      <c r="D421" s="141">
        <v>0</v>
      </c>
      <c r="E421" s="309">
        <v>0</v>
      </c>
      <c r="F421" s="141">
        <v>0</v>
      </c>
      <c r="G421" s="141">
        <v>0</v>
      </c>
      <c r="H421" s="147">
        <v>0</v>
      </c>
      <c r="I421" s="495">
        <f t="shared" si="22"/>
        <v>0</v>
      </c>
    </row>
    <row r="422" spans="1:9" x14ac:dyDescent="0.15">
      <c r="A422" s="135"/>
      <c r="B422" s="453" t="s">
        <v>922</v>
      </c>
      <c r="C422" s="454" t="s">
        <v>956</v>
      </c>
      <c r="D422" s="141">
        <v>0</v>
      </c>
      <c r="E422" s="309">
        <v>0</v>
      </c>
      <c r="F422" s="141">
        <v>0</v>
      </c>
      <c r="G422" s="141">
        <v>0</v>
      </c>
      <c r="H422" s="147">
        <v>0</v>
      </c>
      <c r="I422" s="495">
        <f t="shared" si="22"/>
        <v>0</v>
      </c>
    </row>
    <row r="423" spans="1:9" x14ac:dyDescent="0.15">
      <c r="A423" s="135"/>
      <c r="B423" s="453" t="s">
        <v>923</v>
      </c>
      <c r="C423" s="454" t="s">
        <v>957</v>
      </c>
      <c r="D423" s="141">
        <v>0</v>
      </c>
      <c r="E423" s="309">
        <v>0</v>
      </c>
      <c r="F423" s="141">
        <v>0</v>
      </c>
      <c r="G423" s="141">
        <v>0</v>
      </c>
      <c r="H423" s="147">
        <v>0</v>
      </c>
      <c r="I423" s="495">
        <f t="shared" si="22"/>
        <v>0</v>
      </c>
    </row>
    <row r="424" spans="1:9" x14ac:dyDescent="0.15">
      <c r="A424" s="135"/>
      <c r="B424" s="453" t="s">
        <v>924</v>
      </c>
      <c r="C424" s="454" t="s">
        <v>958</v>
      </c>
      <c r="D424" s="141">
        <v>0</v>
      </c>
      <c r="E424" s="309">
        <v>0</v>
      </c>
      <c r="F424" s="141">
        <v>0</v>
      </c>
      <c r="G424" s="141">
        <v>0</v>
      </c>
      <c r="H424" s="147">
        <v>0</v>
      </c>
      <c r="I424" s="495">
        <f t="shared" si="22"/>
        <v>0</v>
      </c>
    </row>
    <row r="425" spans="1:9" x14ac:dyDescent="0.15">
      <c r="A425" s="135"/>
      <c r="B425" s="453" t="s">
        <v>925</v>
      </c>
      <c r="C425" s="454" t="s">
        <v>1128</v>
      </c>
      <c r="D425" s="141">
        <v>0</v>
      </c>
      <c r="E425" s="309">
        <v>0</v>
      </c>
      <c r="F425" s="141">
        <v>0</v>
      </c>
      <c r="G425" s="141">
        <v>0</v>
      </c>
      <c r="H425" s="147">
        <v>0</v>
      </c>
      <c r="I425" s="495">
        <f t="shared" si="22"/>
        <v>0</v>
      </c>
    </row>
    <row r="426" spans="1:9" x14ac:dyDescent="0.15">
      <c r="A426" s="135"/>
      <c r="B426" s="453" t="s">
        <v>926</v>
      </c>
      <c r="C426" s="454" t="s">
        <v>1129</v>
      </c>
      <c r="D426" s="141">
        <v>0</v>
      </c>
      <c r="E426" s="309">
        <v>0</v>
      </c>
      <c r="F426" s="141">
        <v>0</v>
      </c>
      <c r="G426" s="141">
        <v>0</v>
      </c>
      <c r="H426" s="147">
        <v>0</v>
      </c>
      <c r="I426" s="495">
        <f t="shared" si="22"/>
        <v>0</v>
      </c>
    </row>
    <row r="427" spans="1:9" x14ac:dyDescent="0.15">
      <c r="A427" s="135"/>
      <c r="B427" s="453" t="s">
        <v>927</v>
      </c>
      <c r="C427" s="454" t="s">
        <v>959</v>
      </c>
      <c r="D427" s="141">
        <v>0</v>
      </c>
      <c r="E427" s="309">
        <v>0</v>
      </c>
      <c r="F427" s="141">
        <v>0</v>
      </c>
      <c r="G427" s="141">
        <v>0</v>
      </c>
      <c r="H427" s="147">
        <v>0</v>
      </c>
      <c r="I427" s="495">
        <f t="shared" si="22"/>
        <v>0</v>
      </c>
    </row>
    <row r="428" spans="1:9" x14ac:dyDescent="0.15">
      <c r="A428" s="135"/>
      <c r="B428" s="453" t="s">
        <v>928</v>
      </c>
      <c r="C428" s="454" t="s">
        <v>961</v>
      </c>
      <c r="D428" s="141">
        <v>0</v>
      </c>
      <c r="E428" s="309">
        <v>0</v>
      </c>
      <c r="F428" s="141">
        <v>0</v>
      </c>
      <c r="G428" s="141">
        <v>0</v>
      </c>
      <c r="H428" s="147">
        <v>0</v>
      </c>
      <c r="I428" s="495">
        <f t="shared" si="22"/>
        <v>0</v>
      </c>
    </row>
    <row r="429" spans="1:9" x14ac:dyDescent="0.15">
      <c r="A429" s="135"/>
      <c r="B429" s="453" t="s">
        <v>962</v>
      </c>
      <c r="C429" s="454" t="s">
        <v>967</v>
      </c>
      <c r="D429" s="141">
        <v>0</v>
      </c>
      <c r="E429" s="309">
        <v>0</v>
      </c>
      <c r="F429" s="141">
        <v>0</v>
      </c>
      <c r="G429" s="141">
        <v>0</v>
      </c>
      <c r="H429" s="147">
        <v>0</v>
      </c>
      <c r="I429" s="495">
        <f t="shared" si="22"/>
        <v>0</v>
      </c>
    </row>
    <row r="430" spans="1:9" x14ac:dyDescent="0.15">
      <c r="A430" s="135"/>
      <c r="B430" s="453" t="s">
        <v>963</v>
      </c>
      <c r="C430" s="454" t="s">
        <v>1093</v>
      </c>
      <c r="D430" s="141">
        <v>0</v>
      </c>
      <c r="E430" s="309">
        <v>0</v>
      </c>
      <c r="F430" s="141">
        <v>0</v>
      </c>
      <c r="G430" s="141">
        <v>0</v>
      </c>
      <c r="H430" s="147">
        <v>0</v>
      </c>
      <c r="I430" s="495">
        <f t="shared" si="22"/>
        <v>0</v>
      </c>
    </row>
    <row r="431" spans="1:9" x14ac:dyDescent="0.15">
      <c r="A431" s="135"/>
      <c r="B431" s="453" t="s">
        <v>964</v>
      </c>
      <c r="C431" s="454" t="s">
        <v>1094</v>
      </c>
      <c r="D431" s="141">
        <v>0</v>
      </c>
      <c r="E431" s="309">
        <v>0</v>
      </c>
      <c r="F431" s="141">
        <v>0</v>
      </c>
      <c r="G431" s="141">
        <v>0</v>
      </c>
      <c r="H431" s="147">
        <v>0</v>
      </c>
      <c r="I431" s="495">
        <f t="shared" si="22"/>
        <v>0</v>
      </c>
    </row>
    <row r="432" spans="1:9" x14ac:dyDescent="0.15">
      <c r="A432" s="135"/>
      <c r="B432" s="453" t="s">
        <v>965</v>
      </c>
      <c r="C432" s="454" t="s">
        <v>1095</v>
      </c>
      <c r="D432" s="141">
        <v>0</v>
      </c>
      <c r="E432" s="309">
        <v>0</v>
      </c>
      <c r="F432" s="141">
        <v>0</v>
      </c>
      <c r="G432" s="141">
        <v>0</v>
      </c>
      <c r="H432" s="147">
        <v>0</v>
      </c>
      <c r="I432" s="495">
        <f t="shared" si="22"/>
        <v>0</v>
      </c>
    </row>
    <row r="433" spans="1:9" x14ac:dyDescent="0.15">
      <c r="A433" s="135"/>
      <c r="B433" s="453" t="s">
        <v>885</v>
      </c>
      <c r="C433" s="454" t="s">
        <v>1096</v>
      </c>
      <c r="D433" s="141">
        <v>0</v>
      </c>
      <c r="E433" s="309">
        <v>0</v>
      </c>
      <c r="F433" s="141">
        <v>0</v>
      </c>
      <c r="G433" s="141">
        <v>0</v>
      </c>
      <c r="H433" s="147">
        <v>0</v>
      </c>
      <c r="I433" s="495">
        <f t="shared" si="22"/>
        <v>0</v>
      </c>
    </row>
    <row r="434" spans="1:9" x14ac:dyDescent="0.15">
      <c r="A434" s="135"/>
      <c r="B434" s="453" t="s">
        <v>966</v>
      </c>
      <c r="C434" s="454" t="s">
        <v>1097</v>
      </c>
      <c r="D434" s="141">
        <v>0</v>
      </c>
      <c r="E434" s="309">
        <v>0</v>
      </c>
      <c r="F434" s="141">
        <v>0</v>
      </c>
      <c r="G434" s="141">
        <v>0</v>
      </c>
      <c r="H434" s="147">
        <v>0</v>
      </c>
      <c r="I434" s="495">
        <f t="shared" si="22"/>
        <v>0</v>
      </c>
    </row>
    <row r="435" spans="1:9" x14ac:dyDescent="0.15">
      <c r="A435" s="135"/>
      <c r="B435" s="453" t="s">
        <v>886</v>
      </c>
      <c r="C435" s="454" t="s">
        <v>1100</v>
      </c>
      <c r="D435" s="141">
        <v>0</v>
      </c>
      <c r="E435" s="309">
        <v>0</v>
      </c>
      <c r="F435" s="141">
        <v>0</v>
      </c>
      <c r="G435" s="141">
        <v>0</v>
      </c>
      <c r="H435" s="147">
        <v>0</v>
      </c>
      <c r="I435" s="495">
        <f t="shared" si="22"/>
        <v>0</v>
      </c>
    </row>
    <row r="436" spans="1:9" x14ac:dyDescent="0.15">
      <c r="A436" s="135"/>
      <c r="B436" s="453" t="s">
        <v>116</v>
      </c>
      <c r="C436" s="454" t="s">
        <v>1105</v>
      </c>
      <c r="D436" s="141">
        <v>0</v>
      </c>
      <c r="E436" s="309">
        <v>0</v>
      </c>
      <c r="F436" s="141">
        <v>0</v>
      </c>
      <c r="G436" s="141">
        <v>0</v>
      </c>
      <c r="H436" s="147">
        <v>0</v>
      </c>
      <c r="I436" s="495">
        <f t="shared" si="22"/>
        <v>0</v>
      </c>
    </row>
    <row r="437" spans="1:9" x14ac:dyDescent="0.15">
      <c r="A437" s="135"/>
      <c r="B437" s="453" t="s">
        <v>112</v>
      </c>
      <c r="C437" s="454" t="s">
        <v>1110</v>
      </c>
      <c r="D437" s="141">
        <v>0</v>
      </c>
      <c r="E437" s="309">
        <v>0</v>
      </c>
      <c r="F437" s="141">
        <v>0</v>
      </c>
      <c r="G437" s="141">
        <v>0</v>
      </c>
      <c r="H437" s="147">
        <v>0</v>
      </c>
      <c r="I437" s="495">
        <f t="shared" si="22"/>
        <v>0</v>
      </c>
    </row>
    <row r="438" spans="1:9" x14ac:dyDescent="0.15">
      <c r="A438" s="135"/>
      <c r="B438" s="453" t="s">
        <v>887</v>
      </c>
      <c r="C438" s="454" t="s">
        <v>1116</v>
      </c>
      <c r="D438" s="141">
        <v>0</v>
      </c>
      <c r="E438" s="309">
        <v>0</v>
      </c>
      <c r="F438" s="141">
        <v>0</v>
      </c>
      <c r="G438" s="141">
        <v>0</v>
      </c>
      <c r="H438" s="147">
        <v>0</v>
      </c>
      <c r="I438" s="495">
        <f t="shared" si="22"/>
        <v>0</v>
      </c>
    </row>
    <row r="439" spans="1:9" x14ac:dyDescent="0.15">
      <c r="A439" s="135"/>
      <c r="B439" s="453" t="s">
        <v>1112</v>
      </c>
      <c r="C439" s="454" t="s">
        <v>1117</v>
      </c>
      <c r="D439" s="141">
        <v>0</v>
      </c>
      <c r="E439" s="309">
        <v>0</v>
      </c>
      <c r="F439" s="141">
        <v>0</v>
      </c>
      <c r="G439" s="141">
        <v>0</v>
      </c>
      <c r="H439" s="147">
        <v>0</v>
      </c>
      <c r="I439" s="495">
        <f t="shared" si="22"/>
        <v>0</v>
      </c>
    </row>
    <row r="440" spans="1:9" x14ac:dyDescent="0.15">
      <c r="A440" s="135"/>
      <c r="B440" s="453" t="s">
        <v>1113</v>
      </c>
      <c r="C440" s="454" t="s">
        <v>1118</v>
      </c>
      <c r="D440" s="141">
        <v>0</v>
      </c>
      <c r="E440" s="309">
        <v>0</v>
      </c>
      <c r="F440" s="141">
        <v>0</v>
      </c>
      <c r="G440" s="141">
        <v>0</v>
      </c>
      <c r="H440" s="147">
        <v>0</v>
      </c>
      <c r="I440" s="495">
        <f t="shared" si="22"/>
        <v>0</v>
      </c>
    </row>
    <row r="441" spans="1:9" ht="11.25" thickBot="1" x14ac:dyDescent="0.2">
      <c r="A441" s="135"/>
      <c r="B441" s="453" t="s">
        <v>1114</v>
      </c>
      <c r="C441" s="454" t="s">
        <v>1119</v>
      </c>
      <c r="D441" s="141">
        <v>0</v>
      </c>
      <c r="E441" s="309">
        <v>0</v>
      </c>
      <c r="F441" s="141">
        <v>0</v>
      </c>
      <c r="G441" s="141">
        <v>0</v>
      </c>
      <c r="H441" s="147">
        <v>0</v>
      </c>
      <c r="I441" s="495">
        <f t="shared" si="22"/>
        <v>0</v>
      </c>
    </row>
    <row r="442" spans="1:9" ht="12" thickTop="1" thickBot="1" x14ac:dyDescent="0.2">
      <c r="A442" s="135"/>
      <c r="B442" s="453"/>
      <c r="C442" s="454" t="s">
        <v>1176</v>
      </c>
      <c r="D442" s="166">
        <f>SUM(D408:D441)</f>
        <v>0</v>
      </c>
      <c r="E442" s="297">
        <f>SUM(E408:E441)</f>
        <v>0</v>
      </c>
      <c r="F442" s="166">
        <f>SUM(F408:F441)</f>
        <v>0</v>
      </c>
      <c r="G442" s="166">
        <f>SUM(G408:G441)</f>
        <v>0</v>
      </c>
      <c r="H442" s="166">
        <f>SUM(H408:H441)</f>
        <v>0</v>
      </c>
      <c r="I442" s="166">
        <f t="shared" si="22"/>
        <v>0</v>
      </c>
    </row>
    <row r="443" spans="1:9" ht="11.25" thickTop="1" x14ac:dyDescent="0.15">
      <c r="A443" s="135"/>
      <c r="B443" s="454"/>
      <c r="C443" s="454"/>
      <c r="D443" s="14"/>
      <c r="E443" s="301"/>
      <c r="F443" s="14"/>
      <c r="G443" s="14"/>
      <c r="H443" s="14"/>
      <c r="I443" s="491"/>
    </row>
    <row r="444" spans="1:9" x14ac:dyDescent="0.15">
      <c r="A444" s="452" t="s">
        <v>1177</v>
      </c>
      <c r="B444" s="454"/>
      <c r="C444" s="454"/>
      <c r="D444" s="14"/>
      <c r="E444" s="301"/>
      <c r="F444" s="14"/>
      <c r="G444" s="14"/>
      <c r="H444" s="14"/>
      <c r="I444" s="491"/>
    </row>
    <row r="445" spans="1:9" hidden="1" x14ac:dyDescent="0.15">
      <c r="A445" s="416"/>
      <c r="B445" s="453" t="s">
        <v>880</v>
      </c>
      <c r="C445" s="454" t="s">
        <v>1164</v>
      </c>
      <c r="D445" s="308">
        <v>0</v>
      </c>
      <c r="E445" s="308">
        <v>0</v>
      </c>
      <c r="F445" s="308">
        <v>0</v>
      </c>
      <c r="G445" s="458"/>
      <c r="H445" s="457">
        <v>0</v>
      </c>
      <c r="I445" s="494">
        <f>SUM(G445+H445)</f>
        <v>0</v>
      </c>
    </row>
    <row r="446" spans="1:9" x14ac:dyDescent="0.15">
      <c r="A446" s="416"/>
      <c r="B446" s="453" t="s">
        <v>880</v>
      </c>
      <c r="C446" s="454" t="s">
        <v>337</v>
      </c>
      <c r="D446" s="308">
        <v>0</v>
      </c>
      <c r="E446" s="308">
        <v>0</v>
      </c>
      <c r="F446" s="308">
        <v>0</v>
      </c>
      <c r="G446" s="308">
        <v>0</v>
      </c>
      <c r="H446" s="457">
        <v>0</v>
      </c>
      <c r="I446" s="494">
        <f>SUM(G446+H446)</f>
        <v>0</v>
      </c>
    </row>
    <row r="447" spans="1:9" hidden="1" x14ac:dyDescent="0.15">
      <c r="A447" s="454"/>
      <c r="B447" s="453" t="s">
        <v>881</v>
      </c>
      <c r="C447" s="454" t="s">
        <v>382</v>
      </c>
      <c r="D447" s="308">
        <v>0</v>
      </c>
      <c r="E447" s="308">
        <v>0</v>
      </c>
      <c r="F447" s="308">
        <v>0</v>
      </c>
      <c r="G447" s="459"/>
      <c r="H447" s="457">
        <v>0</v>
      </c>
      <c r="I447" s="494">
        <f>SUM(G447+H447)</f>
        <v>0</v>
      </c>
    </row>
    <row r="448" spans="1:9" x14ac:dyDescent="0.15">
      <c r="A448" s="135"/>
      <c r="B448" s="451" t="s">
        <v>881</v>
      </c>
      <c r="C448" s="135" t="s">
        <v>338</v>
      </c>
      <c r="D448" s="144">
        <v>0</v>
      </c>
      <c r="E448" s="308">
        <v>0</v>
      </c>
      <c r="F448" s="144">
        <v>0</v>
      </c>
      <c r="G448" s="144">
        <v>0</v>
      </c>
      <c r="H448" s="147">
        <v>0</v>
      </c>
      <c r="I448" s="495">
        <f>SUM(G448+H448)</f>
        <v>0</v>
      </c>
    </row>
    <row r="449" spans="1:9" x14ac:dyDescent="0.15">
      <c r="A449" s="135"/>
      <c r="B449" s="453" t="s">
        <v>882</v>
      </c>
      <c r="C449" s="454" t="s">
        <v>1058</v>
      </c>
      <c r="D449" s="141">
        <v>0</v>
      </c>
      <c r="E449" s="309">
        <v>0</v>
      </c>
      <c r="F449" s="141">
        <v>0</v>
      </c>
      <c r="G449" s="285">
        <v>0</v>
      </c>
      <c r="H449" s="147">
        <v>0</v>
      </c>
      <c r="I449" s="495">
        <f t="shared" ref="I449:I479" si="24">SUM(G449+H449)</f>
        <v>0</v>
      </c>
    </row>
    <row r="450" spans="1:9" x14ac:dyDescent="0.15">
      <c r="A450" s="135"/>
      <c r="B450" s="453" t="s">
        <v>883</v>
      </c>
      <c r="C450" s="454" t="s">
        <v>1059</v>
      </c>
      <c r="D450" s="141">
        <v>0</v>
      </c>
      <c r="E450" s="309">
        <v>0</v>
      </c>
      <c r="F450" s="141">
        <v>0</v>
      </c>
      <c r="G450" s="285">
        <v>0</v>
      </c>
      <c r="H450" s="147">
        <v>0</v>
      </c>
      <c r="I450" s="495">
        <f t="shared" si="24"/>
        <v>0</v>
      </c>
    </row>
    <row r="451" spans="1:9" x14ac:dyDescent="0.15">
      <c r="A451" s="135"/>
      <c r="B451" s="453" t="s">
        <v>1060</v>
      </c>
      <c r="C451" s="454" t="s">
        <v>1061</v>
      </c>
      <c r="D451" s="141">
        <v>0</v>
      </c>
      <c r="E451" s="309">
        <v>0</v>
      </c>
      <c r="F451" s="141">
        <v>0</v>
      </c>
      <c r="G451" s="285">
        <v>0</v>
      </c>
      <c r="H451" s="147">
        <v>0</v>
      </c>
      <c r="I451" s="495">
        <f t="shared" si="24"/>
        <v>0</v>
      </c>
    </row>
    <row r="452" spans="1:9" x14ac:dyDescent="0.15">
      <c r="A452" s="135"/>
      <c r="B452" s="453" t="s">
        <v>1062</v>
      </c>
      <c r="C452" s="454" t="s">
        <v>1063</v>
      </c>
      <c r="D452" s="141">
        <v>0</v>
      </c>
      <c r="E452" s="309">
        <v>0</v>
      </c>
      <c r="F452" s="141">
        <v>0</v>
      </c>
      <c r="G452" s="285">
        <v>0</v>
      </c>
      <c r="H452" s="147">
        <v>0</v>
      </c>
      <c r="I452" s="495">
        <f t="shared" si="24"/>
        <v>0</v>
      </c>
    </row>
    <row r="453" spans="1:9" x14ac:dyDescent="0.15">
      <c r="A453" s="135"/>
      <c r="B453" s="453" t="s">
        <v>884</v>
      </c>
      <c r="C453" s="454" t="s">
        <v>1064</v>
      </c>
      <c r="D453" s="141">
        <v>0</v>
      </c>
      <c r="E453" s="309">
        <v>0</v>
      </c>
      <c r="F453" s="141">
        <v>0</v>
      </c>
      <c r="G453" s="285">
        <v>0</v>
      </c>
      <c r="H453" s="147">
        <v>0</v>
      </c>
      <c r="I453" s="495">
        <f t="shared" si="24"/>
        <v>0</v>
      </c>
    </row>
    <row r="454" spans="1:9" x14ac:dyDescent="0.15">
      <c r="A454" s="135"/>
      <c r="B454" s="453" t="s">
        <v>1067</v>
      </c>
      <c r="C454" s="454" t="s">
        <v>1074</v>
      </c>
      <c r="D454" s="141">
        <v>0</v>
      </c>
      <c r="E454" s="309">
        <v>0</v>
      </c>
      <c r="F454" s="141">
        <v>0</v>
      </c>
      <c r="G454" s="285">
        <v>0</v>
      </c>
      <c r="H454" s="147">
        <v>0</v>
      </c>
      <c r="I454" s="495">
        <f t="shared" si="24"/>
        <v>0</v>
      </c>
    </row>
    <row r="455" spans="1:9" x14ac:dyDescent="0.15">
      <c r="A455" s="135"/>
      <c r="B455" s="453" t="s">
        <v>1068</v>
      </c>
      <c r="C455" s="454" t="s">
        <v>1075</v>
      </c>
      <c r="D455" s="141">
        <v>0</v>
      </c>
      <c r="E455" s="309">
        <v>0</v>
      </c>
      <c r="F455" s="141">
        <v>0</v>
      </c>
      <c r="G455" s="285">
        <v>0</v>
      </c>
      <c r="H455" s="147">
        <v>0</v>
      </c>
      <c r="I455" s="495">
        <f t="shared" si="24"/>
        <v>0</v>
      </c>
    </row>
    <row r="456" spans="1:9" x14ac:dyDescent="0.15">
      <c r="A456" s="135"/>
      <c r="B456" s="453" t="s">
        <v>1072</v>
      </c>
      <c r="C456" s="454" t="s">
        <v>920</v>
      </c>
      <c r="D456" s="141">
        <v>0</v>
      </c>
      <c r="E456" s="309">
        <v>0</v>
      </c>
      <c r="F456" s="141">
        <v>0</v>
      </c>
      <c r="G456" s="285">
        <v>0</v>
      </c>
      <c r="H456" s="147">
        <v>0</v>
      </c>
      <c r="I456" s="495">
        <f t="shared" si="24"/>
        <v>0</v>
      </c>
    </row>
    <row r="457" spans="1:9" x14ac:dyDescent="0.15">
      <c r="A457" s="135"/>
      <c r="B457" s="717" t="s">
        <v>155</v>
      </c>
      <c r="C457" s="706" t="s">
        <v>178</v>
      </c>
      <c r="D457" s="141">
        <v>0</v>
      </c>
      <c r="E457" s="309">
        <v>0</v>
      </c>
      <c r="F457" s="141">
        <v>0</v>
      </c>
      <c r="G457" s="285">
        <v>0</v>
      </c>
      <c r="H457" s="147">
        <v>0</v>
      </c>
      <c r="I457" s="495">
        <f t="shared" ref="I457" si="25">SUM(G457+H457)</f>
        <v>0</v>
      </c>
    </row>
    <row r="458" spans="1:9" x14ac:dyDescent="0.15">
      <c r="A458" s="135"/>
      <c r="B458" s="453" t="s">
        <v>921</v>
      </c>
      <c r="C458" s="454" t="s">
        <v>955</v>
      </c>
      <c r="D458" s="141">
        <v>0</v>
      </c>
      <c r="E458" s="309">
        <v>0</v>
      </c>
      <c r="F458" s="141">
        <v>0</v>
      </c>
      <c r="G458" s="285">
        <v>0</v>
      </c>
      <c r="H458" s="147">
        <v>0</v>
      </c>
      <c r="I458" s="495">
        <f t="shared" si="24"/>
        <v>0</v>
      </c>
    </row>
    <row r="459" spans="1:9" x14ac:dyDescent="0.15">
      <c r="A459" s="135"/>
      <c r="B459" s="453" t="s">
        <v>922</v>
      </c>
      <c r="C459" s="454" t="s">
        <v>956</v>
      </c>
      <c r="D459" s="141">
        <v>0</v>
      </c>
      <c r="E459" s="309">
        <v>0</v>
      </c>
      <c r="F459" s="141">
        <v>0</v>
      </c>
      <c r="G459" s="285">
        <v>0</v>
      </c>
      <c r="H459" s="147">
        <v>0</v>
      </c>
      <c r="I459" s="495">
        <f t="shared" si="24"/>
        <v>0</v>
      </c>
    </row>
    <row r="460" spans="1:9" x14ac:dyDescent="0.15">
      <c r="A460" s="135"/>
      <c r="B460" s="453" t="s">
        <v>923</v>
      </c>
      <c r="C460" s="454" t="s">
        <v>957</v>
      </c>
      <c r="D460" s="141">
        <v>0</v>
      </c>
      <c r="E460" s="309">
        <v>0</v>
      </c>
      <c r="F460" s="141">
        <v>0</v>
      </c>
      <c r="G460" s="285">
        <v>0</v>
      </c>
      <c r="H460" s="147">
        <v>0</v>
      </c>
      <c r="I460" s="495">
        <f t="shared" si="24"/>
        <v>0</v>
      </c>
    </row>
    <row r="461" spans="1:9" x14ac:dyDescent="0.15">
      <c r="A461" s="135"/>
      <c r="B461" s="453" t="s">
        <v>924</v>
      </c>
      <c r="C461" s="454" t="s">
        <v>958</v>
      </c>
      <c r="D461" s="141">
        <v>0</v>
      </c>
      <c r="E461" s="309">
        <v>0</v>
      </c>
      <c r="F461" s="141">
        <v>0</v>
      </c>
      <c r="G461" s="285">
        <v>0</v>
      </c>
      <c r="H461" s="147">
        <v>0</v>
      </c>
      <c r="I461" s="495">
        <f t="shared" si="24"/>
        <v>0</v>
      </c>
    </row>
    <row r="462" spans="1:9" x14ac:dyDescent="0.15">
      <c r="A462" s="135"/>
      <c r="B462" s="453" t="s">
        <v>925</v>
      </c>
      <c r="C462" s="454" t="s">
        <v>1128</v>
      </c>
      <c r="D462" s="141">
        <v>0</v>
      </c>
      <c r="E462" s="309">
        <v>0</v>
      </c>
      <c r="F462" s="141">
        <v>0</v>
      </c>
      <c r="G462" s="285">
        <v>0</v>
      </c>
      <c r="H462" s="147">
        <v>0</v>
      </c>
      <c r="I462" s="495">
        <f t="shared" si="24"/>
        <v>0</v>
      </c>
    </row>
    <row r="463" spans="1:9" x14ac:dyDescent="0.15">
      <c r="A463" s="135"/>
      <c r="B463" s="453" t="s">
        <v>926</v>
      </c>
      <c r="C463" s="454" t="s">
        <v>1129</v>
      </c>
      <c r="D463" s="141">
        <v>0</v>
      </c>
      <c r="E463" s="309">
        <v>0</v>
      </c>
      <c r="F463" s="141">
        <v>0</v>
      </c>
      <c r="G463" s="285">
        <v>0</v>
      </c>
      <c r="H463" s="147">
        <v>0</v>
      </c>
      <c r="I463" s="495">
        <f t="shared" si="24"/>
        <v>0</v>
      </c>
    </row>
    <row r="464" spans="1:9" x14ac:dyDescent="0.15">
      <c r="A464" s="135"/>
      <c r="B464" s="453" t="s">
        <v>927</v>
      </c>
      <c r="C464" s="454" t="s">
        <v>959</v>
      </c>
      <c r="D464" s="141">
        <v>0</v>
      </c>
      <c r="E464" s="309">
        <v>0</v>
      </c>
      <c r="F464" s="141">
        <v>0</v>
      </c>
      <c r="G464" s="285">
        <v>0</v>
      </c>
      <c r="H464" s="147">
        <v>0</v>
      </c>
      <c r="I464" s="495">
        <f t="shared" si="24"/>
        <v>0</v>
      </c>
    </row>
    <row r="465" spans="1:9" x14ac:dyDescent="0.15">
      <c r="A465" s="135"/>
      <c r="B465" s="453" t="s">
        <v>928</v>
      </c>
      <c r="C465" s="454" t="s">
        <v>961</v>
      </c>
      <c r="D465" s="141">
        <v>0</v>
      </c>
      <c r="E465" s="309">
        <v>0</v>
      </c>
      <c r="F465" s="141">
        <v>0</v>
      </c>
      <c r="G465" s="285">
        <v>0</v>
      </c>
      <c r="H465" s="147">
        <v>0</v>
      </c>
      <c r="I465" s="495">
        <f t="shared" si="24"/>
        <v>0</v>
      </c>
    </row>
    <row r="466" spans="1:9" x14ac:dyDescent="0.15">
      <c r="A466" s="135"/>
      <c r="B466" s="453" t="s">
        <v>962</v>
      </c>
      <c r="C466" s="454" t="s">
        <v>967</v>
      </c>
      <c r="D466" s="141">
        <v>0</v>
      </c>
      <c r="E466" s="309">
        <v>0</v>
      </c>
      <c r="F466" s="141">
        <v>0</v>
      </c>
      <c r="G466" s="285">
        <v>0</v>
      </c>
      <c r="H466" s="147">
        <v>0</v>
      </c>
      <c r="I466" s="495">
        <f t="shared" si="24"/>
        <v>0</v>
      </c>
    </row>
    <row r="467" spans="1:9" x14ac:dyDescent="0.15">
      <c r="A467" s="135"/>
      <c r="B467" s="453" t="s">
        <v>963</v>
      </c>
      <c r="C467" s="454" t="s">
        <v>1093</v>
      </c>
      <c r="D467" s="141">
        <v>0</v>
      </c>
      <c r="E467" s="309">
        <v>0</v>
      </c>
      <c r="F467" s="141">
        <v>0</v>
      </c>
      <c r="G467" s="285">
        <v>0</v>
      </c>
      <c r="H467" s="147">
        <v>0</v>
      </c>
      <c r="I467" s="495">
        <f t="shared" si="24"/>
        <v>0</v>
      </c>
    </row>
    <row r="468" spans="1:9" x14ac:dyDescent="0.15">
      <c r="A468" s="135"/>
      <c r="B468" s="453" t="s">
        <v>964</v>
      </c>
      <c r="C468" s="454" t="s">
        <v>1094</v>
      </c>
      <c r="D468" s="141">
        <v>0</v>
      </c>
      <c r="E468" s="309">
        <v>0</v>
      </c>
      <c r="F468" s="141">
        <v>0</v>
      </c>
      <c r="G468" s="285">
        <v>0</v>
      </c>
      <c r="H468" s="147">
        <v>0</v>
      </c>
      <c r="I468" s="495">
        <f t="shared" si="24"/>
        <v>0</v>
      </c>
    </row>
    <row r="469" spans="1:9" x14ac:dyDescent="0.15">
      <c r="A469" s="135"/>
      <c r="B469" s="453" t="s">
        <v>965</v>
      </c>
      <c r="C469" s="454" t="s">
        <v>1095</v>
      </c>
      <c r="D469" s="141">
        <v>0</v>
      </c>
      <c r="E469" s="309">
        <v>0</v>
      </c>
      <c r="F469" s="141">
        <v>0</v>
      </c>
      <c r="G469" s="285">
        <v>0</v>
      </c>
      <c r="H469" s="147">
        <v>0</v>
      </c>
      <c r="I469" s="495">
        <f t="shared" si="24"/>
        <v>0</v>
      </c>
    </row>
    <row r="470" spans="1:9" x14ac:dyDescent="0.15">
      <c r="A470" s="135"/>
      <c r="B470" s="453" t="s">
        <v>885</v>
      </c>
      <c r="C470" s="454" t="s">
        <v>1096</v>
      </c>
      <c r="D470" s="141">
        <v>0</v>
      </c>
      <c r="E470" s="309">
        <v>0</v>
      </c>
      <c r="F470" s="141">
        <v>0</v>
      </c>
      <c r="G470" s="285">
        <v>0</v>
      </c>
      <c r="H470" s="147">
        <v>0</v>
      </c>
      <c r="I470" s="495">
        <f t="shared" si="24"/>
        <v>0</v>
      </c>
    </row>
    <row r="471" spans="1:9" x14ac:dyDescent="0.15">
      <c r="A471" s="135"/>
      <c r="B471" s="453" t="s">
        <v>966</v>
      </c>
      <c r="C471" s="454" t="s">
        <v>1097</v>
      </c>
      <c r="D471" s="141">
        <v>0</v>
      </c>
      <c r="E471" s="309">
        <v>0</v>
      </c>
      <c r="F471" s="141">
        <v>0</v>
      </c>
      <c r="G471" s="285">
        <v>0</v>
      </c>
      <c r="H471" s="147">
        <v>0</v>
      </c>
      <c r="I471" s="495">
        <f t="shared" si="24"/>
        <v>0</v>
      </c>
    </row>
    <row r="472" spans="1:9" x14ac:dyDescent="0.15">
      <c r="A472" s="135"/>
      <c r="B472" s="453" t="s">
        <v>886</v>
      </c>
      <c r="C472" s="454" t="s">
        <v>1100</v>
      </c>
      <c r="D472" s="141">
        <v>0</v>
      </c>
      <c r="E472" s="309">
        <v>0</v>
      </c>
      <c r="F472" s="141">
        <v>0</v>
      </c>
      <c r="G472" s="285">
        <v>0</v>
      </c>
      <c r="H472" s="147">
        <v>0</v>
      </c>
      <c r="I472" s="495">
        <f t="shared" si="24"/>
        <v>0</v>
      </c>
    </row>
    <row r="473" spans="1:9" x14ac:dyDescent="0.15">
      <c r="A473" s="135"/>
      <c r="B473" s="453" t="s">
        <v>116</v>
      </c>
      <c r="C473" s="454" t="s">
        <v>1105</v>
      </c>
      <c r="D473" s="141">
        <v>0</v>
      </c>
      <c r="E473" s="309">
        <v>0</v>
      </c>
      <c r="F473" s="141">
        <v>0</v>
      </c>
      <c r="G473" s="285">
        <v>0</v>
      </c>
      <c r="H473" s="147">
        <v>0</v>
      </c>
      <c r="I473" s="495">
        <f t="shared" si="24"/>
        <v>0</v>
      </c>
    </row>
    <row r="474" spans="1:9" x14ac:dyDescent="0.15">
      <c r="A474" s="135"/>
      <c r="B474" s="453" t="s">
        <v>112</v>
      </c>
      <c r="C474" s="454" t="s">
        <v>1110</v>
      </c>
      <c r="D474" s="141">
        <v>0</v>
      </c>
      <c r="E474" s="309">
        <v>0</v>
      </c>
      <c r="F474" s="141">
        <v>0</v>
      </c>
      <c r="G474" s="285">
        <v>0</v>
      </c>
      <c r="H474" s="147">
        <v>0</v>
      </c>
      <c r="I474" s="495">
        <f t="shared" si="24"/>
        <v>0</v>
      </c>
    </row>
    <row r="475" spans="1:9" x14ac:dyDescent="0.15">
      <c r="A475" s="135"/>
      <c r="B475" s="453" t="s">
        <v>887</v>
      </c>
      <c r="C475" s="454" t="s">
        <v>1116</v>
      </c>
      <c r="D475" s="141">
        <v>0</v>
      </c>
      <c r="E475" s="309">
        <v>0</v>
      </c>
      <c r="F475" s="141">
        <v>0</v>
      </c>
      <c r="G475" s="285">
        <v>0</v>
      </c>
      <c r="H475" s="147">
        <v>0</v>
      </c>
      <c r="I475" s="495">
        <f t="shared" si="24"/>
        <v>0</v>
      </c>
    </row>
    <row r="476" spans="1:9" x14ac:dyDescent="0.15">
      <c r="A476" s="135"/>
      <c r="B476" s="453" t="s">
        <v>1112</v>
      </c>
      <c r="C476" s="454" t="s">
        <v>1117</v>
      </c>
      <c r="D476" s="141">
        <v>0</v>
      </c>
      <c r="E476" s="309">
        <v>0</v>
      </c>
      <c r="F476" s="141">
        <v>0</v>
      </c>
      <c r="G476" s="285">
        <v>0</v>
      </c>
      <c r="H476" s="147">
        <v>0</v>
      </c>
      <c r="I476" s="495">
        <f t="shared" si="24"/>
        <v>0</v>
      </c>
    </row>
    <row r="477" spans="1:9" x14ac:dyDescent="0.15">
      <c r="A477" s="135"/>
      <c r="B477" s="453" t="s">
        <v>1113</v>
      </c>
      <c r="C477" s="454" t="s">
        <v>1118</v>
      </c>
      <c r="D477" s="141">
        <v>0</v>
      </c>
      <c r="E477" s="309">
        <v>0</v>
      </c>
      <c r="F477" s="141">
        <v>0</v>
      </c>
      <c r="G477" s="285">
        <v>0</v>
      </c>
      <c r="H477" s="147">
        <v>0</v>
      </c>
      <c r="I477" s="495">
        <f t="shared" si="24"/>
        <v>0</v>
      </c>
    </row>
    <row r="478" spans="1:9" ht="11.25" thickBot="1" x14ac:dyDescent="0.2">
      <c r="A478" s="135"/>
      <c r="B478" s="453" t="s">
        <v>1114</v>
      </c>
      <c r="C478" s="454" t="s">
        <v>1119</v>
      </c>
      <c r="D478" s="141">
        <v>0</v>
      </c>
      <c r="E478" s="309">
        <v>0</v>
      </c>
      <c r="F478" s="141">
        <v>0</v>
      </c>
      <c r="G478" s="285">
        <v>0</v>
      </c>
      <c r="H478" s="147">
        <v>0</v>
      </c>
      <c r="I478" s="495">
        <f t="shared" si="24"/>
        <v>0</v>
      </c>
    </row>
    <row r="479" spans="1:9" ht="12" thickTop="1" thickBot="1" x14ac:dyDescent="0.2">
      <c r="A479" s="135"/>
      <c r="B479" s="453"/>
      <c r="C479" s="454" t="s">
        <v>1178</v>
      </c>
      <c r="D479" s="166">
        <f>SUM(D445:D478)</f>
        <v>0</v>
      </c>
      <c r="E479" s="297">
        <f>SUM(E445:E478)</f>
        <v>0</v>
      </c>
      <c r="F479" s="166">
        <f>SUM(F445:F478)</f>
        <v>0</v>
      </c>
      <c r="G479" s="166">
        <f>SUM(G445:G478)</f>
        <v>0</v>
      </c>
      <c r="H479" s="166">
        <f>SUM(H445:H478)</f>
        <v>0</v>
      </c>
      <c r="I479" s="166">
        <f t="shared" si="24"/>
        <v>0</v>
      </c>
    </row>
    <row r="480" spans="1:9" ht="11.25" thickTop="1" x14ac:dyDescent="0.15">
      <c r="A480" s="135"/>
      <c r="B480" s="454"/>
      <c r="C480" s="454"/>
      <c r="D480" s="14"/>
      <c r="E480" s="301"/>
      <c r="F480" s="14"/>
      <c r="G480" s="14"/>
      <c r="H480" s="14"/>
      <c r="I480" s="491"/>
    </row>
    <row r="481" spans="1:9" x14ac:dyDescent="0.15">
      <c r="A481" s="452" t="s">
        <v>1179</v>
      </c>
      <c r="B481" s="454"/>
      <c r="C481" s="454"/>
      <c r="D481" s="14"/>
      <c r="E481" s="301"/>
      <c r="F481" s="14"/>
      <c r="G481" s="14"/>
      <c r="H481" s="14"/>
      <c r="I481" s="491"/>
    </row>
    <row r="482" spans="1:9" hidden="1" x14ac:dyDescent="0.15">
      <c r="A482" s="416"/>
      <c r="B482" s="453" t="s">
        <v>880</v>
      </c>
      <c r="C482" s="454" t="s">
        <v>1164</v>
      </c>
      <c r="D482" s="308">
        <v>0</v>
      </c>
      <c r="E482" s="308">
        <v>0</v>
      </c>
      <c r="F482" s="308">
        <v>0</v>
      </c>
      <c r="G482" s="458"/>
      <c r="H482" s="457">
        <v>0</v>
      </c>
      <c r="I482" s="494">
        <f>SUM(G482+H482)</f>
        <v>0</v>
      </c>
    </row>
    <row r="483" spans="1:9" x14ac:dyDescent="0.15">
      <c r="A483" s="416"/>
      <c r="B483" s="453" t="s">
        <v>880</v>
      </c>
      <c r="C483" s="454" t="s">
        <v>337</v>
      </c>
      <c r="D483" s="308">
        <v>0</v>
      </c>
      <c r="E483" s="308">
        <v>0</v>
      </c>
      <c r="F483" s="308">
        <v>0</v>
      </c>
      <c r="G483" s="308">
        <v>0</v>
      </c>
      <c r="H483" s="457">
        <v>0</v>
      </c>
      <c r="I483" s="494">
        <f>SUM(G483+H483)</f>
        <v>0</v>
      </c>
    </row>
    <row r="484" spans="1:9" hidden="1" x14ac:dyDescent="0.15">
      <c r="A484" s="454"/>
      <c r="B484" s="453" t="s">
        <v>881</v>
      </c>
      <c r="C484" s="454" t="s">
        <v>382</v>
      </c>
      <c r="D484" s="308">
        <v>0</v>
      </c>
      <c r="E484" s="308">
        <v>0</v>
      </c>
      <c r="F484" s="308">
        <v>0</v>
      </c>
      <c r="G484" s="459"/>
      <c r="H484" s="457">
        <v>0</v>
      </c>
      <c r="I484" s="494">
        <f>SUM(G484+H484)</f>
        <v>0</v>
      </c>
    </row>
    <row r="485" spans="1:9" x14ac:dyDescent="0.15">
      <c r="A485" s="135"/>
      <c r="B485" s="451" t="s">
        <v>881</v>
      </c>
      <c r="C485" s="135" t="s">
        <v>338</v>
      </c>
      <c r="D485" s="144">
        <v>0</v>
      </c>
      <c r="E485" s="308">
        <v>0</v>
      </c>
      <c r="F485" s="144">
        <v>0</v>
      </c>
      <c r="G485" s="144">
        <v>0</v>
      </c>
      <c r="H485" s="147">
        <v>0</v>
      </c>
      <c r="I485" s="495">
        <f>SUM(G485+H485)</f>
        <v>0</v>
      </c>
    </row>
    <row r="486" spans="1:9" x14ac:dyDescent="0.15">
      <c r="A486" s="135"/>
      <c r="B486" s="453" t="s">
        <v>882</v>
      </c>
      <c r="C486" s="454" t="s">
        <v>1058</v>
      </c>
      <c r="D486" s="141">
        <v>0</v>
      </c>
      <c r="E486" s="309">
        <v>0</v>
      </c>
      <c r="F486" s="141">
        <v>0</v>
      </c>
      <c r="G486" s="285">
        <v>0</v>
      </c>
      <c r="H486" s="147">
        <v>0</v>
      </c>
      <c r="I486" s="495">
        <f t="shared" ref="I486:I516" si="26">SUM(G486+H486)</f>
        <v>0</v>
      </c>
    </row>
    <row r="487" spans="1:9" x14ac:dyDescent="0.15">
      <c r="A487" s="135"/>
      <c r="B487" s="453" t="s">
        <v>883</v>
      </c>
      <c r="C487" s="454" t="s">
        <v>1059</v>
      </c>
      <c r="D487" s="141">
        <v>0</v>
      </c>
      <c r="E487" s="309">
        <v>0</v>
      </c>
      <c r="F487" s="141">
        <v>0</v>
      </c>
      <c r="G487" s="285">
        <v>0</v>
      </c>
      <c r="H487" s="147">
        <v>0</v>
      </c>
      <c r="I487" s="495">
        <f t="shared" si="26"/>
        <v>0</v>
      </c>
    </row>
    <row r="488" spans="1:9" x14ac:dyDescent="0.15">
      <c r="A488" s="135"/>
      <c r="B488" s="453" t="s">
        <v>1060</v>
      </c>
      <c r="C488" s="454" t="s">
        <v>1061</v>
      </c>
      <c r="D488" s="141">
        <v>0</v>
      </c>
      <c r="E488" s="309">
        <v>0</v>
      </c>
      <c r="F488" s="141">
        <v>0</v>
      </c>
      <c r="G488" s="285">
        <v>0</v>
      </c>
      <c r="H488" s="147">
        <v>0</v>
      </c>
      <c r="I488" s="495">
        <f t="shared" si="26"/>
        <v>0</v>
      </c>
    </row>
    <row r="489" spans="1:9" x14ac:dyDescent="0.15">
      <c r="A489" s="135"/>
      <c r="B489" s="453" t="s">
        <v>1062</v>
      </c>
      <c r="C489" s="454" t="s">
        <v>1063</v>
      </c>
      <c r="D489" s="141">
        <v>0</v>
      </c>
      <c r="E489" s="309">
        <v>0</v>
      </c>
      <c r="F489" s="141">
        <v>0</v>
      </c>
      <c r="G489" s="285">
        <v>0</v>
      </c>
      <c r="H489" s="147">
        <v>0</v>
      </c>
      <c r="I489" s="495">
        <f t="shared" si="26"/>
        <v>0</v>
      </c>
    </row>
    <row r="490" spans="1:9" x14ac:dyDescent="0.15">
      <c r="A490" s="135"/>
      <c r="B490" s="453" t="s">
        <v>884</v>
      </c>
      <c r="C490" s="454" t="s">
        <v>1064</v>
      </c>
      <c r="D490" s="141">
        <v>0</v>
      </c>
      <c r="E490" s="309">
        <v>0</v>
      </c>
      <c r="F490" s="141">
        <v>0</v>
      </c>
      <c r="G490" s="285">
        <v>0</v>
      </c>
      <c r="H490" s="147">
        <v>0</v>
      </c>
      <c r="I490" s="495">
        <f t="shared" si="26"/>
        <v>0</v>
      </c>
    </row>
    <row r="491" spans="1:9" x14ac:dyDescent="0.15">
      <c r="A491" s="135"/>
      <c r="B491" s="453" t="s">
        <v>1067</v>
      </c>
      <c r="C491" s="454" t="s">
        <v>1074</v>
      </c>
      <c r="D491" s="141">
        <v>0</v>
      </c>
      <c r="E491" s="309">
        <v>0</v>
      </c>
      <c r="F491" s="141">
        <v>0</v>
      </c>
      <c r="G491" s="285">
        <v>0</v>
      </c>
      <c r="H491" s="147">
        <v>0</v>
      </c>
      <c r="I491" s="495">
        <f t="shared" si="26"/>
        <v>0</v>
      </c>
    </row>
    <row r="492" spans="1:9" x14ac:dyDescent="0.15">
      <c r="A492" s="135"/>
      <c r="B492" s="453" t="s">
        <v>1068</v>
      </c>
      <c r="C492" s="454" t="s">
        <v>1075</v>
      </c>
      <c r="D492" s="141">
        <v>0</v>
      </c>
      <c r="E492" s="309">
        <v>0</v>
      </c>
      <c r="F492" s="141">
        <v>0</v>
      </c>
      <c r="G492" s="285">
        <v>0</v>
      </c>
      <c r="H492" s="147">
        <v>0</v>
      </c>
      <c r="I492" s="495">
        <f t="shared" si="26"/>
        <v>0</v>
      </c>
    </row>
    <row r="493" spans="1:9" x14ac:dyDescent="0.15">
      <c r="A493" s="135"/>
      <c r="B493" s="453" t="s">
        <v>1072</v>
      </c>
      <c r="C493" s="454" t="s">
        <v>920</v>
      </c>
      <c r="D493" s="141">
        <v>0</v>
      </c>
      <c r="E493" s="309">
        <v>0</v>
      </c>
      <c r="F493" s="141">
        <v>0</v>
      </c>
      <c r="G493" s="285">
        <v>0</v>
      </c>
      <c r="H493" s="147">
        <v>0</v>
      </c>
      <c r="I493" s="495">
        <f t="shared" si="26"/>
        <v>0</v>
      </c>
    </row>
    <row r="494" spans="1:9" x14ac:dyDescent="0.15">
      <c r="A494" s="135"/>
      <c r="B494" s="717" t="s">
        <v>155</v>
      </c>
      <c r="C494" s="706" t="s">
        <v>178</v>
      </c>
      <c r="D494" s="141">
        <v>0</v>
      </c>
      <c r="E494" s="309">
        <v>0</v>
      </c>
      <c r="F494" s="141">
        <v>0</v>
      </c>
      <c r="G494" s="285">
        <v>0</v>
      </c>
      <c r="H494" s="147">
        <v>0</v>
      </c>
      <c r="I494" s="495">
        <f t="shared" ref="I494" si="27">SUM(G494+H494)</f>
        <v>0</v>
      </c>
    </row>
    <row r="495" spans="1:9" x14ac:dyDescent="0.15">
      <c r="A495" s="135"/>
      <c r="B495" s="453" t="s">
        <v>921</v>
      </c>
      <c r="C495" s="454" t="s">
        <v>955</v>
      </c>
      <c r="D495" s="141">
        <v>0</v>
      </c>
      <c r="E495" s="309">
        <v>0</v>
      </c>
      <c r="F495" s="141">
        <v>0</v>
      </c>
      <c r="G495" s="285">
        <v>0</v>
      </c>
      <c r="H495" s="147">
        <v>0</v>
      </c>
      <c r="I495" s="495">
        <f t="shared" si="26"/>
        <v>0</v>
      </c>
    </row>
    <row r="496" spans="1:9" x14ac:dyDescent="0.15">
      <c r="A496" s="135"/>
      <c r="B496" s="453" t="s">
        <v>922</v>
      </c>
      <c r="C496" s="454" t="s">
        <v>956</v>
      </c>
      <c r="D496" s="141">
        <v>0</v>
      </c>
      <c r="E496" s="309">
        <v>0</v>
      </c>
      <c r="F496" s="141">
        <v>0</v>
      </c>
      <c r="G496" s="285">
        <v>0</v>
      </c>
      <c r="H496" s="147">
        <v>0</v>
      </c>
      <c r="I496" s="495">
        <f t="shared" si="26"/>
        <v>0</v>
      </c>
    </row>
    <row r="497" spans="1:9" x14ac:dyDescent="0.15">
      <c r="A497" s="135"/>
      <c r="B497" s="453" t="s">
        <v>923</v>
      </c>
      <c r="C497" s="454" t="s">
        <v>957</v>
      </c>
      <c r="D497" s="141">
        <v>0</v>
      </c>
      <c r="E497" s="309">
        <v>0</v>
      </c>
      <c r="F497" s="141">
        <v>0</v>
      </c>
      <c r="G497" s="285">
        <v>0</v>
      </c>
      <c r="H497" s="147">
        <v>0</v>
      </c>
      <c r="I497" s="495">
        <f t="shared" si="26"/>
        <v>0</v>
      </c>
    </row>
    <row r="498" spans="1:9" x14ac:dyDescent="0.15">
      <c r="A498" s="135"/>
      <c r="B498" s="453" t="s">
        <v>924</v>
      </c>
      <c r="C498" s="454" t="s">
        <v>958</v>
      </c>
      <c r="D498" s="141">
        <v>0</v>
      </c>
      <c r="E498" s="309">
        <v>0</v>
      </c>
      <c r="F498" s="141">
        <v>0</v>
      </c>
      <c r="G498" s="285">
        <v>0</v>
      </c>
      <c r="H498" s="147">
        <v>0</v>
      </c>
      <c r="I498" s="495">
        <f t="shared" si="26"/>
        <v>0</v>
      </c>
    </row>
    <row r="499" spans="1:9" x14ac:dyDescent="0.15">
      <c r="A499" s="135"/>
      <c r="B499" s="453" t="s">
        <v>925</v>
      </c>
      <c r="C499" s="454" t="s">
        <v>1128</v>
      </c>
      <c r="D499" s="141">
        <v>0</v>
      </c>
      <c r="E499" s="309">
        <v>0</v>
      </c>
      <c r="F499" s="141">
        <v>0</v>
      </c>
      <c r="G499" s="285">
        <v>0</v>
      </c>
      <c r="H499" s="147">
        <v>0</v>
      </c>
      <c r="I499" s="495">
        <f t="shared" si="26"/>
        <v>0</v>
      </c>
    </row>
    <row r="500" spans="1:9" x14ac:dyDescent="0.15">
      <c r="A500" s="135"/>
      <c r="B500" s="453" t="s">
        <v>926</v>
      </c>
      <c r="C500" s="454" t="s">
        <v>1129</v>
      </c>
      <c r="D500" s="141">
        <v>0</v>
      </c>
      <c r="E500" s="309">
        <v>0</v>
      </c>
      <c r="F500" s="141">
        <v>0</v>
      </c>
      <c r="G500" s="285">
        <v>0</v>
      </c>
      <c r="H500" s="147">
        <v>0</v>
      </c>
      <c r="I500" s="495">
        <f t="shared" si="26"/>
        <v>0</v>
      </c>
    </row>
    <row r="501" spans="1:9" x14ac:dyDescent="0.15">
      <c r="A501" s="135"/>
      <c r="B501" s="453" t="s">
        <v>927</v>
      </c>
      <c r="C501" s="454" t="s">
        <v>959</v>
      </c>
      <c r="D501" s="141">
        <v>0</v>
      </c>
      <c r="E501" s="309">
        <v>0</v>
      </c>
      <c r="F501" s="141">
        <v>0</v>
      </c>
      <c r="G501" s="285">
        <v>0</v>
      </c>
      <c r="H501" s="147">
        <v>0</v>
      </c>
      <c r="I501" s="495">
        <f t="shared" si="26"/>
        <v>0</v>
      </c>
    </row>
    <row r="502" spans="1:9" x14ac:dyDescent="0.15">
      <c r="A502" s="135"/>
      <c r="B502" s="453" t="s">
        <v>928</v>
      </c>
      <c r="C502" s="454" t="s">
        <v>961</v>
      </c>
      <c r="D502" s="141">
        <v>0</v>
      </c>
      <c r="E502" s="309">
        <v>0</v>
      </c>
      <c r="F502" s="141">
        <v>0</v>
      </c>
      <c r="G502" s="285">
        <v>0</v>
      </c>
      <c r="H502" s="147">
        <v>0</v>
      </c>
      <c r="I502" s="495">
        <f t="shared" si="26"/>
        <v>0</v>
      </c>
    </row>
    <row r="503" spans="1:9" x14ac:dyDescent="0.15">
      <c r="A503" s="135"/>
      <c r="B503" s="453" t="s">
        <v>962</v>
      </c>
      <c r="C503" s="454" t="s">
        <v>967</v>
      </c>
      <c r="D503" s="141">
        <v>0</v>
      </c>
      <c r="E503" s="309">
        <v>0</v>
      </c>
      <c r="F503" s="141">
        <v>0</v>
      </c>
      <c r="G503" s="285">
        <v>0</v>
      </c>
      <c r="H503" s="147">
        <v>0</v>
      </c>
      <c r="I503" s="495">
        <f t="shared" si="26"/>
        <v>0</v>
      </c>
    </row>
    <row r="504" spans="1:9" x14ac:dyDescent="0.15">
      <c r="A504" s="135"/>
      <c r="B504" s="453" t="s">
        <v>963</v>
      </c>
      <c r="C504" s="454" t="s">
        <v>1093</v>
      </c>
      <c r="D504" s="141">
        <v>0</v>
      </c>
      <c r="E504" s="309">
        <v>0</v>
      </c>
      <c r="F504" s="141">
        <v>0</v>
      </c>
      <c r="G504" s="285">
        <v>0</v>
      </c>
      <c r="H504" s="147">
        <v>0</v>
      </c>
      <c r="I504" s="495">
        <f t="shared" si="26"/>
        <v>0</v>
      </c>
    </row>
    <row r="505" spans="1:9" x14ac:dyDescent="0.15">
      <c r="A505" s="135"/>
      <c r="B505" s="453" t="s">
        <v>964</v>
      </c>
      <c r="C505" s="454" t="s">
        <v>1094</v>
      </c>
      <c r="D505" s="141">
        <v>0</v>
      </c>
      <c r="E505" s="309">
        <v>0</v>
      </c>
      <c r="F505" s="141">
        <v>0</v>
      </c>
      <c r="G505" s="285">
        <v>0</v>
      </c>
      <c r="H505" s="147">
        <v>0</v>
      </c>
      <c r="I505" s="495">
        <f t="shared" si="26"/>
        <v>0</v>
      </c>
    </row>
    <row r="506" spans="1:9" x14ac:dyDescent="0.15">
      <c r="A506" s="135"/>
      <c r="B506" s="453" t="s">
        <v>965</v>
      </c>
      <c r="C506" s="454" t="s">
        <v>1095</v>
      </c>
      <c r="D506" s="141">
        <v>0</v>
      </c>
      <c r="E506" s="309">
        <v>0</v>
      </c>
      <c r="F506" s="141">
        <v>0</v>
      </c>
      <c r="G506" s="285">
        <v>0</v>
      </c>
      <c r="H506" s="147">
        <v>0</v>
      </c>
      <c r="I506" s="495">
        <f t="shared" si="26"/>
        <v>0</v>
      </c>
    </row>
    <row r="507" spans="1:9" x14ac:dyDescent="0.15">
      <c r="A507" s="135"/>
      <c r="B507" s="453" t="s">
        <v>885</v>
      </c>
      <c r="C507" s="454" t="s">
        <v>1096</v>
      </c>
      <c r="D507" s="141">
        <v>0</v>
      </c>
      <c r="E507" s="309">
        <v>0</v>
      </c>
      <c r="F507" s="141">
        <v>0</v>
      </c>
      <c r="G507" s="285">
        <v>0</v>
      </c>
      <c r="H507" s="147">
        <v>0</v>
      </c>
      <c r="I507" s="495">
        <f t="shared" si="26"/>
        <v>0</v>
      </c>
    </row>
    <row r="508" spans="1:9" x14ac:dyDescent="0.15">
      <c r="A508" s="135"/>
      <c r="B508" s="453" t="s">
        <v>966</v>
      </c>
      <c r="C508" s="454" t="s">
        <v>1097</v>
      </c>
      <c r="D508" s="141">
        <v>0</v>
      </c>
      <c r="E508" s="309">
        <v>0</v>
      </c>
      <c r="F508" s="141">
        <v>0</v>
      </c>
      <c r="G508" s="285">
        <v>0</v>
      </c>
      <c r="H508" s="147">
        <v>0</v>
      </c>
      <c r="I508" s="495">
        <f t="shared" si="26"/>
        <v>0</v>
      </c>
    </row>
    <row r="509" spans="1:9" x14ac:dyDescent="0.15">
      <c r="A509" s="135"/>
      <c r="B509" s="453" t="s">
        <v>886</v>
      </c>
      <c r="C509" s="454" t="s">
        <v>1100</v>
      </c>
      <c r="D509" s="141">
        <v>0</v>
      </c>
      <c r="E509" s="309">
        <v>0</v>
      </c>
      <c r="F509" s="141">
        <v>0</v>
      </c>
      <c r="G509" s="285">
        <v>0</v>
      </c>
      <c r="H509" s="147">
        <v>0</v>
      </c>
      <c r="I509" s="495">
        <f t="shared" si="26"/>
        <v>0</v>
      </c>
    </row>
    <row r="510" spans="1:9" x14ac:dyDescent="0.15">
      <c r="A510" s="135"/>
      <c r="B510" s="453" t="s">
        <v>116</v>
      </c>
      <c r="C510" s="454" t="s">
        <v>1105</v>
      </c>
      <c r="D510" s="141">
        <v>0</v>
      </c>
      <c r="E510" s="309">
        <v>0</v>
      </c>
      <c r="F510" s="141">
        <v>0</v>
      </c>
      <c r="G510" s="285">
        <v>0</v>
      </c>
      <c r="H510" s="147">
        <v>0</v>
      </c>
      <c r="I510" s="495">
        <f t="shared" si="26"/>
        <v>0</v>
      </c>
    </row>
    <row r="511" spans="1:9" x14ac:dyDescent="0.15">
      <c r="A511" s="135"/>
      <c r="B511" s="453" t="s">
        <v>112</v>
      </c>
      <c r="C511" s="454" t="s">
        <v>1110</v>
      </c>
      <c r="D511" s="141">
        <v>0</v>
      </c>
      <c r="E511" s="309">
        <v>0</v>
      </c>
      <c r="F511" s="141">
        <v>0</v>
      </c>
      <c r="G511" s="285">
        <v>0</v>
      </c>
      <c r="H511" s="147">
        <v>0</v>
      </c>
      <c r="I511" s="495">
        <f t="shared" si="26"/>
        <v>0</v>
      </c>
    </row>
    <row r="512" spans="1:9" x14ac:dyDescent="0.15">
      <c r="A512" s="135"/>
      <c r="B512" s="453" t="s">
        <v>887</v>
      </c>
      <c r="C512" s="454" t="s">
        <v>1116</v>
      </c>
      <c r="D512" s="141">
        <v>0</v>
      </c>
      <c r="E512" s="309">
        <v>0</v>
      </c>
      <c r="F512" s="141">
        <v>0</v>
      </c>
      <c r="G512" s="285">
        <v>0</v>
      </c>
      <c r="H512" s="147">
        <v>0</v>
      </c>
      <c r="I512" s="495">
        <f t="shared" si="26"/>
        <v>0</v>
      </c>
    </row>
    <row r="513" spans="1:9" x14ac:dyDescent="0.15">
      <c r="A513" s="135"/>
      <c r="B513" s="453" t="s">
        <v>1112</v>
      </c>
      <c r="C513" s="454" t="s">
        <v>1117</v>
      </c>
      <c r="D513" s="141">
        <v>0</v>
      </c>
      <c r="E513" s="309">
        <v>0</v>
      </c>
      <c r="F513" s="141">
        <v>0</v>
      </c>
      <c r="G513" s="285">
        <v>0</v>
      </c>
      <c r="H513" s="147">
        <v>0</v>
      </c>
      <c r="I513" s="495">
        <f t="shared" si="26"/>
        <v>0</v>
      </c>
    </row>
    <row r="514" spans="1:9" x14ac:dyDescent="0.15">
      <c r="A514" s="135"/>
      <c r="B514" s="453" t="s">
        <v>1113</v>
      </c>
      <c r="C514" s="454" t="s">
        <v>1118</v>
      </c>
      <c r="D514" s="141">
        <v>0</v>
      </c>
      <c r="E514" s="309">
        <v>0</v>
      </c>
      <c r="F514" s="141">
        <v>0</v>
      </c>
      <c r="G514" s="285">
        <v>0</v>
      </c>
      <c r="H514" s="147">
        <v>0</v>
      </c>
      <c r="I514" s="495">
        <f t="shared" si="26"/>
        <v>0</v>
      </c>
    </row>
    <row r="515" spans="1:9" ht="11.25" thickBot="1" x14ac:dyDescent="0.2">
      <c r="A515" s="135"/>
      <c r="B515" s="453" t="s">
        <v>1114</v>
      </c>
      <c r="C515" s="454" t="s">
        <v>1119</v>
      </c>
      <c r="D515" s="141">
        <v>0</v>
      </c>
      <c r="E515" s="309">
        <v>0</v>
      </c>
      <c r="F515" s="141">
        <v>0</v>
      </c>
      <c r="G515" s="285">
        <v>0</v>
      </c>
      <c r="H515" s="147">
        <v>0</v>
      </c>
      <c r="I515" s="495">
        <f t="shared" si="26"/>
        <v>0</v>
      </c>
    </row>
    <row r="516" spans="1:9" ht="12" thickTop="1" thickBot="1" x14ac:dyDescent="0.2">
      <c r="A516" s="135"/>
      <c r="B516" s="453"/>
      <c r="C516" s="454" t="s">
        <v>1180</v>
      </c>
      <c r="D516" s="166">
        <f>SUM(D482:D515)</f>
        <v>0</v>
      </c>
      <c r="E516" s="297">
        <f>SUM(E482:E515)</f>
        <v>0</v>
      </c>
      <c r="F516" s="166">
        <f>SUM(F482:F515)</f>
        <v>0</v>
      </c>
      <c r="G516" s="166">
        <f>SUM(G482:G515)</f>
        <v>0</v>
      </c>
      <c r="H516" s="166">
        <f>SUM(H482:H515)</f>
        <v>0</v>
      </c>
      <c r="I516" s="166">
        <f t="shared" si="26"/>
        <v>0</v>
      </c>
    </row>
    <row r="517" spans="1:9" ht="11.25" thickTop="1" x14ac:dyDescent="0.15">
      <c r="A517" s="135"/>
      <c r="B517" s="454"/>
      <c r="C517" s="454"/>
      <c r="D517" s="14"/>
      <c r="E517" s="301"/>
      <c r="F517" s="14"/>
      <c r="G517" s="14"/>
      <c r="H517" s="14"/>
      <c r="I517" s="491"/>
    </row>
    <row r="518" spans="1:9" x14ac:dyDescent="0.15">
      <c r="A518" s="452" t="s">
        <v>1181</v>
      </c>
      <c r="B518" s="454"/>
      <c r="C518" s="454"/>
      <c r="D518" s="14"/>
      <c r="E518" s="301"/>
      <c r="F518" s="14"/>
      <c r="G518" s="14"/>
      <c r="H518" s="14"/>
      <c r="I518" s="491"/>
    </row>
    <row r="519" spans="1:9" hidden="1" x14ac:dyDescent="0.15">
      <c r="A519" s="416"/>
      <c r="B519" s="453" t="s">
        <v>880</v>
      </c>
      <c r="C519" s="454" t="s">
        <v>1164</v>
      </c>
      <c r="D519" s="308">
        <v>0</v>
      </c>
      <c r="E519" s="308">
        <v>0</v>
      </c>
      <c r="F519" s="308">
        <v>0</v>
      </c>
      <c r="G519" s="458"/>
      <c r="H519" s="457">
        <v>0</v>
      </c>
      <c r="I519" s="494">
        <f>SUM(G519+H519)</f>
        <v>0</v>
      </c>
    </row>
    <row r="520" spans="1:9" x14ac:dyDescent="0.15">
      <c r="A520" s="416"/>
      <c r="B520" s="453" t="s">
        <v>880</v>
      </c>
      <c r="C520" s="454" t="s">
        <v>337</v>
      </c>
      <c r="D520" s="308">
        <v>0</v>
      </c>
      <c r="E520" s="308">
        <v>0</v>
      </c>
      <c r="F520" s="308">
        <v>0</v>
      </c>
      <c r="G520" s="308">
        <v>0</v>
      </c>
      <c r="H520" s="457">
        <v>0</v>
      </c>
      <c r="I520" s="494">
        <f>SUM(G520+H520)</f>
        <v>0</v>
      </c>
    </row>
    <row r="521" spans="1:9" hidden="1" x14ac:dyDescent="0.15">
      <c r="A521" s="454"/>
      <c r="B521" s="453" t="s">
        <v>881</v>
      </c>
      <c r="C521" s="454" t="s">
        <v>382</v>
      </c>
      <c r="D521" s="308">
        <v>0</v>
      </c>
      <c r="E521" s="308">
        <v>0</v>
      </c>
      <c r="F521" s="308">
        <v>0</v>
      </c>
      <c r="G521" s="459"/>
      <c r="H521" s="457">
        <v>0</v>
      </c>
      <c r="I521" s="494">
        <f>SUM(G521+H521)</f>
        <v>0</v>
      </c>
    </row>
    <row r="522" spans="1:9" x14ac:dyDescent="0.15">
      <c r="A522" s="135"/>
      <c r="B522" s="451" t="s">
        <v>881</v>
      </c>
      <c r="C522" s="135" t="s">
        <v>338</v>
      </c>
      <c r="D522" s="144">
        <v>0</v>
      </c>
      <c r="E522" s="308">
        <v>0</v>
      </c>
      <c r="F522" s="144">
        <v>0</v>
      </c>
      <c r="G522" s="144">
        <v>0</v>
      </c>
      <c r="H522" s="147">
        <v>0</v>
      </c>
      <c r="I522" s="495">
        <f>SUM(G522+H522)</f>
        <v>0</v>
      </c>
    </row>
    <row r="523" spans="1:9" x14ac:dyDescent="0.15">
      <c r="A523" s="135"/>
      <c r="B523" s="453" t="s">
        <v>882</v>
      </c>
      <c r="C523" s="454" t="s">
        <v>1058</v>
      </c>
      <c r="D523" s="141">
        <v>0</v>
      </c>
      <c r="E523" s="309">
        <v>0</v>
      </c>
      <c r="F523" s="141">
        <v>0</v>
      </c>
      <c r="G523" s="141">
        <v>0</v>
      </c>
      <c r="H523" s="147">
        <v>0</v>
      </c>
      <c r="I523" s="495">
        <f t="shared" ref="I523:I553" si="28">SUM(G523+H523)</f>
        <v>0</v>
      </c>
    </row>
    <row r="524" spans="1:9" x14ac:dyDescent="0.15">
      <c r="A524" s="135"/>
      <c r="B524" s="453" t="s">
        <v>883</v>
      </c>
      <c r="C524" s="454" t="s">
        <v>1059</v>
      </c>
      <c r="D524" s="141">
        <v>0</v>
      </c>
      <c r="E524" s="309">
        <v>0</v>
      </c>
      <c r="F524" s="141">
        <v>0</v>
      </c>
      <c r="G524" s="141">
        <v>0</v>
      </c>
      <c r="H524" s="147">
        <v>0</v>
      </c>
      <c r="I524" s="495">
        <f t="shared" si="28"/>
        <v>0</v>
      </c>
    </row>
    <row r="525" spans="1:9" x14ac:dyDescent="0.15">
      <c r="A525" s="135"/>
      <c r="B525" s="453" t="s">
        <v>1060</v>
      </c>
      <c r="C525" s="454" t="s">
        <v>1061</v>
      </c>
      <c r="D525" s="141">
        <v>0</v>
      </c>
      <c r="E525" s="309">
        <v>0</v>
      </c>
      <c r="F525" s="141">
        <v>0</v>
      </c>
      <c r="G525" s="141">
        <v>0</v>
      </c>
      <c r="H525" s="147">
        <v>0</v>
      </c>
      <c r="I525" s="495">
        <f t="shared" si="28"/>
        <v>0</v>
      </c>
    </row>
    <row r="526" spans="1:9" x14ac:dyDescent="0.15">
      <c r="A526" s="135"/>
      <c r="B526" s="453" t="s">
        <v>1062</v>
      </c>
      <c r="C526" s="454" t="s">
        <v>1063</v>
      </c>
      <c r="D526" s="141">
        <v>0</v>
      </c>
      <c r="E526" s="309">
        <v>0</v>
      </c>
      <c r="F526" s="141">
        <v>0</v>
      </c>
      <c r="G526" s="141">
        <v>0</v>
      </c>
      <c r="H526" s="147">
        <v>0</v>
      </c>
      <c r="I526" s="495">
        <f t="shared" si="28"/>
        <v>0</v>
      </c>
    </row>
    <row r="527" spans="1:9" x14ac:dyDescent="0.15">
      <c r="A527" s="135"/>
      <c r="B527" s="453" t="s">
        <v>884</v>
      </c>
      <c r="C527" s="454" t="s">
        <v>1064</v>
      </c>
      <c r="D527" s="141">
        <v>0</v>
      </c>
      <c r="E527" s="309">
        <v>0</v>
      </c>
      <c r="F527" s="141">
        <v>0</v>
      </c>
      <c r="G527" s="141">
        <v>0</v>
      </c>
      <c r="H527" s="147">
        <v>0</v>
      </c>
      <c r="I527" s="495">
        <f t="shared" si="28"/>
        <v>0</v>
      </c>
    </row>
    <row r="528" spans="1:9" x14ac:dyDescent="0.15">
      <c r="A528" s="135"/>
      <c r="B528" s="453" t="s">
        <v>1067</v>
      </c>
      <c r="C528" s="454" t="s">
        <v>1074</v>
      </c>
      <c r="D528" s="141">
        <v>0</v>
      </c>
      <c r="E528" s="309">
        <v>0</v>
      </c>
      <c r="F528" s="141">
        <v>0</v>
      </c>
      <c r="G528" s="141">
        <v>0</v>
      </c>
      <c r="H528" s="147">
        <v>0</v>
      </c>
      <c r="I528" s="495">
        <f t="shared" si="28"/>
        <v>0</v>
      </c>
    </row>
    <row r="529" spans="1:11" x14ac:dyDescent="0.15">
      <c r="A529" s="135"/>
      <c r="B529" s="453" t="s">
        <v>1068</v>
      </c>
      <c r="C529" s="454" t="s">
        <v>1075</v>
      </c>
      <c r="D529" s="141">
        <v>0</v>
      </c>
      <c r="E529" s="309">
        <v>0</v>
      </c>
      <c r="F529" s="141">
        <v>0</v>
      </c>
      <c r="G529" s="141">
        <v>0</v>
      </c>
      <c r="H529" s="147">
        <v>0</v>
      </c>
      <c r="I529" s="495">
        <f t="shared" si="28"/>
        <v>0</v>
      </c>
    </row>
    <row r="530" spans="1:11" x14ac:dyDescent="0.15">
      <c r="A530" s="135"/>
      <c r="B530" s="453" t="s">
        <v>1072</v>
      </c>
      <c r="C530" s="454" t="s">
        <v>920</v>
      </c>
      <c r="D530" s="141">
        <v>0</v>
      </c>
      <c r="E530" s="309">
        <v>0</v>
      </c>
      <c r="F530" s="141">
        <v>0</v>
      </c>
      <c r="G530" s="141">
        <v>0</v>
      </c>
      <c r="H530" s="147">
        <v>0</v>
      </c>
      <c r="I530" s="495">
        <f t="shared" si="28"/>
        <v>0</v>
      </c>
    </row>
    <row r="531" spans="1:11" x14ac:dyDescent="0.15">
      <c r="A531" s="135"/>
      <c r="B531" s="717" t="s">
        <v>155</v>
      </c>
      <c r="C531" s="706" t="s">
        <v>178</v>
      </c>
      <c r="D531" s="141">
        <v>0</v>
      </c>
      <c r="E531" s="309">
        <v>0</v>
      </c>
      <c r="F531" s="141">
        <v>0</v>
      </c>
      <c r="G531" s="141">
        <v>0</v>
      </c>
      <c r="H531" s="147">
        <v>0</v>
      </c>
      <c r="I531" s="495">
        <f t="shared" ref="I531" si="29">SUM(G531+H531)</f>
        <v>0</v>
      </c>
    </row>
    <row r="532" spans="1:11" x14ac:dyDescent="0.15">
      <c r="A532" s="135"/>
      <c r="B532" s="453" t="s">
        <v>921</v>
      </c>
      <c r="C532" s="454" t="s">
        <v>955</v>
      </c>
      <c r="D532" s="141">
        <v>0</v>
      </c>
      <c r="E532" s="309">
        <v>0</v>
      </c>
      <c r="F532" s="141">
        <v>0</v>
      </c>
      <c r="G532" s="141">
        <v>0</v>
      </c>
      <c r="H532" s="147">
        <v>0</v>
      </c>
      <c r="I532" s="495">
        <f t="shared" si="28"/>
        <v>0</v>
      </c>
    </row>
    <row r="533" spans="1:11" x14ac:dyDescent="0.15">
      <c r="A533" s="135"/>
      <c r="B533" s="453" t="s">
        <v>922</v>
      </c>
      <c r="C533" s="454" t="s">
        <v>956</v>
      </c>
      <c r="D533" s="141">
        <v>0</v>
      </c>
      <c r="E533" s="309">
        <v>0</v>
      </c>
      <c r="F533" s="141">
        <v>0</v>
      </c>
      <c r="G533" s="141">
        <v>0</v>
      </c>
      <c r="H533" s="147">
        <v>0</v>
      </c>
      <c r="I533" s="495">
        <f t="shared" si="28"/>
        <v>0</v>
      </c>
    </row>
    <row r="534" spans="1:11" x14ac:dyDescent="0.15">
      <c r="A534" s="135"/>
      <c r="B534" s="453" t="s">
        <v>923</v>
      </c>
      <c r="C534" s="454" t="s">
        <v>957</v>
      </c>
      <c r="D534" s="141">
        <v>0</v>
      </c>
      <c r="E534" s="309">
        <v>0</v>
      </c>
      <c r="F534" s="141">
        <v>0</v>
      </c>
      <c r="G534" s="141">
        <v>0</v>
      </c>
      <c r="H534" s="147">
        <v>0</v>
      </c>
      <c r="I534" s="495">
        <f t="shared" si="28"/>
        <v>0</v>
      </c>
    </row>
    <row r="535" spans="1:11" x14ac:dyDescent="0.15">
      <c r="A535" s="135"/>
      <c r="B535" s="453" t="s">
        <v>924</v>
      </c>
      <c r="C535" s="454" t="s">
        <v>958</v>
      </c>
      <c r="D535" s="141">
        <v>0</v>
      </c>
      <c r="E535" s="309">
        <v>0</v>
      </c>
      <c r="F535" s="141">
        <v>0</v>
      </c>
      <c r="G535" s="141">
        <v>0</v>
      </c>
      <c r="H535" s="147">
        <v>0</v>
      </c>
      <c r="I535" s="495">
        <f t="shared" si="28"/>
        <v>0</v>
      </c>
    </row>
    <row r="536" spans="1:11" x14ac:dyDescent="0.15">
      <c r="A536" s="135"/>
      <c r="B536" s="453" t="s">
        <v>925</v>
      </c>
      <c r="C536" s="454" t="s">
        <v>1128</v>
      </c>
      <c r="D536" s="141">
        <v>0</v>
      </c>
      <c r="E536" s="309">
        <v>0</v>
      </c>
      <c r="F536" s="141">
        <v>0</v>
      </c>
      <c r="G536" s="141">
        <v>0</v>
      </c>
      <c r="H536" s="147">
        <v>0</v>
      </c>
      <c r="I536" s="495">
        <f t="shared" si="28"/>
        <v>0</v>
      </c>
    </row>
    <row r="537" spans="1:11" x14ac:dyDescent="0.15">
      <c r="A537" s="135"/>
      <c r="B537" s="453" t="s">
        <v>926</v>
      </c>
      <c r="C537" s="454" t="s">
        <v>1129</v>
      </c>
      <c r="D537" s="141">
        <v>0</v>
      </c>
      <c r="E537" s="309">
        <v>0</v>
      </c>
      <c r="F537" s="141">
        <v>0</v>
      </c>
      <c r="G537" s="141">
        <v>0</v>
      </c>
      <c r="H537" s="147">
        <v>0</v>
      </c>
      <c r="I537" s="495">
        <f t="shared" si="28"/>
        <v>0</v>
      </c>
    </row>
    <row r="538" spans="1:11" x14ac:dyDescent="0.15">
      <c r="A538" s="135"/>
      <c r="B538" s="453" t="s">
        <v>927</v>
      </c>
      <c r="C538" s="454" t="s">
        <v>959</v>
      </c>
      <c r="D538" s="141">
        <v>0</v>
      </c>
      <c r="E538" s="309">
        <v>0</v>
      </c>
      <c r="F538" s="141">
        <v>0</v>
      </c>
      <c r="G538" s="141">
        <v>0</v>
      </c>
      <c r="H538" s="147">
        <v>0</v>
      </c>
      <c r="I538" s="495">
        <f t="shared" si="28"/>
        <v>0</v>
      </c>
    </row>
    <row r="539" spans="1:11" x14ac:dyDescent="0.15">
      <c r="A539" s="135"/>
      <c r="B539" s="453" t="s">
        <v>928</v>
      </c>
      <c r="C539" s="454" t="s">
        <v>961</v>
      </c>
      <c r="D539" s="141">
        <v>0</v>
      </c>
      <c r="E539" s="309">
        <v>0</v>
      </c>
      <c r="F539" s="141">
        <v>0</v>
      </c>
      <c r="G539" s="141">
        <v>0</v>
      </c>
      <c r="H539" s="147">
        <v>0</v>
      </c>
      <c r="I539" s="495">
        <f t="shared" si="28"/>
        <v>0</v>
      </c>
      <c r="K539" s="416"/>
    </row>
    <row r="540" spans="1:11" x14ac:dyDescent="0.15">
      <c r="A540" s="135"/>
      <c r="B540" s="453" t="s">
        <v>962</v>
      </c>
      <c r="C540" s="454" t="s">
        <v>967</v>
      </c>
      <c r="D540" s="141">
        <v>0</v>
      </c>
      <c r="E540" s="309">
        <v>0</v>
      </c>
      <c r="F540" s="141">
        <v>0</v>
      </c>
      <c r="G540" s="141">
        <v>0</v>
      </c>
      <c r="H540" s="147">
        <v>0</v>
      </c>
      <c r="I540" s="495">
        <f t="shared" si="28"/>
        <v>0</v>
      </c>
    </row>
    <row r="541" spans="1:11" x14ac:dyDescent="0.15">
      <c r="A541" s="135"/>
      <c r="B541" s="453" t="s">
        <v>963</v>
      </c>
      <c r="C541" s="454" t="s">
        <v>1093</v>
      </c>
      <c r="D541" s="141">
        <v>0</v>
      </c>
      <c r="E541" s="309">
        <v>0</v>
      </c>
      <c r="F541" s="141">
        <v>0</v>
      </c>
      <c r="G541" s="141">
        <v>0</v>
      </c>
      <c r="H541" s="147">
        <v>0</v>
      </c>
      <c r="I541" s="495">
        <f t="shared" si="28"/>
        <v>0</v>
      </c>
    </row>
    <row r="542" spans="1:11" x14ac:dyDescent="0.15">
      <c r="A542" s="135"/>
      <c r="B542" s="453" t="s">
        <v>964</v>
      </c>
      <c r="C542" s="454" t="s">
        <v>1094</v>
      </c>
      <c r="D542" s="141">
        <v>0</v>
      </c>
      <c r="E542" s="309">
        <v>0</v>
      </c>
      <c r="F542" s="141">
        <v>0</v>
      </c>
      <c r="G542" s="141">
        <v>0</v>
      </c>
      <c r="H542" s="147">
        <v>0</v>
      </c>
      <c r="I542" s="495">
        <f t="shared" si="28"/>
        <v>0</v>
      </c>
    </row>
    <row r="543" spans="1:11" x14ac:dyDescent="0.15">
      <c r="A543" s="135"/>
      <c r="B543" s="453" t="s">
        <v>965</v>
      </c>
      <c r="C543" s="454" t="s">
        <v>1095</v>
      </c>
      <c r="D543" s="141">
        <v>0</v>
      </c>
      <c r="E543" s="309">
        <v>0</v>
      </c>
      <c r="F543" s="141">
        <v>0</v>
      </c>
      <c r="G543" s="141">
        <v>0</v>
      </c>
      <c r="H543" s="147">
        <v>0</v>
      </c>
      <c r="I543" s="495">
        <f t="shared" si="28"/>
        <v>0</v>
      </c>
      <c r="K543" s="416"/>
    </row>
    <row r="544" spans="1:11" x14ac:dyDescent="0.15">
      <c r="A544" s="135"/>
      <c r="B544" s="453" t="s">
        <v>885</v>
      </c>
      <c r="C544" s="454" t="s">
        <v>1096</v>
      </c>
      <c r="D544" s="141">
        <v>0</v>
      </c>
      <c r="E544" s="309">
        <v>0</v>
      </c>
      <c r="F544" s="141">
        <v>0</v>
      </c>
      <c r="G544" s="141">
        <v>0</v>
      </c>
      <c r="H544" s="147">
        <v>0</v>
      </c>
      <c r="I544" s="495">
        <f t="shared" si="28"/>
        <v>0</v>
      </c>
    </row>
    <row r="545" spans="1:11" x14ac:dyDescent="0.15">
      <c r="A545" s="135"/>
      <c r="B545" s="453" t="s">
        <v>966</v>
      </c>
      <c r="C545" s="454" t="s">
        <v>1097</v>
      </c>
      <c r="D545" s="141">
        <v>0</v>
      </c>
      <c r="E545" s="309">
        <v>0</v>
      </c>
      <c r="F545" s="141">
        <v>0</v>
      </c>
      <c r="G545" s="141">
        <v>0</v>
      </c>
      <c r="H545" s="147">
        <v>0</v>
      </c>
      <c r="I545" s="495">
        <f t="shared" si="28"/>
        <v>0</v>
      </c>
    </row>
    <row r="546" spans="1:11" x14ac:dyDescent="0.15">
      <c r="A546" s="135"/>
      <c r="B546" s="453" t="s">
        <v>886</v>
      </c>
      <c r="C546" s="454" t="s">
        <v>1100</v>
      </c>
      <c r="D546" s="141">
        <v>0</v>
      </c>
      <c r="E546" s="309">
        <v>0</v>
      </c>
      <c r="F546" s="141">
        <v>0</v>
      </c>
      <c r="G546" s="141">
        <v>0</v>
      </c>
      <c r="H546" s="147">
        <v>0</v>
      </c>
      <c r="I546" s="495">
        <f t="shared" si="28"/>
        <v>0</v>
      </c>
      <c r="K546" s="416"/>
    </row>
    <row r="547" spans="1:11" x14ac:dyDescent="0.15">
      <c r="A547" s="135"/>
      <c r="B547" s="453" t="s">
        <v>116</v>
      </c>
      <c r="C547" s="454" t="s">
        <v>1105</v>
      </c>
      <c r="D547" s="141">
        <v>0</v>
      </c>
      <c r="E547" s="309">
        <v>0</v>
      </c>
      <c r="F547" s="141">
        <v>0</v>
      </c>
      <c r="G547" s="141">
        <v>0</v>
      </c>
      <c r="H547" s="147">
        <v>0</v>
      </c>
      <c r="I547" s="495">
        <f t="shared" si="28"/>
        <v>0</v>
      </c>
    </row>
    <row r="548" spans="1:11" x14ac:dyDescent="0.15">
      <c r="A548" s="135"/>
      <c r="B548" s="453" t="s">
        <v>112</v>
      </c>
      <c r="C548" s="454" t="s">
        <v>1110</v>
      </c>
      <c r="D548" s="141">
        <v>0</v>
      </c>
      <c r="E548" s="309">
        <v>0</v>
      </c>
      <c r="F548" s="141">
        <v>0</v>
      </c>
      <c r="G548" s="141">
        <v>0</v>
      </c>
      <c r="H548" s="147">
        <v>0</v>
      </c>
      <c r="I548" s="495">
        <f t="shared" si="28"/>
        <v>0</v>
      </c>
    </row>
    <row r="549" spans="1:11" x14ac:dyDescent="0.15">
      <c r="A549" s="135"/>
      <c r="B549" s="453" t="s">
        <v>887</v>
      </c>
      <c r="C549" s="454" t="s">
        <v>1116</v>
      </c>
      <c r="D549" s="141">
        <v>0</v>
      </c>
      <c r="E549" s="309">
        <v>0</v>
      </c>
      <c r="F549" s="141">
        <v>0</v>
      </c>
      <c r="G549" s="141">
        <v>0</v>
      </c>
      <c r="H549" s="147">
        <v>0</v>
      </c>
      <c r="I549" s="495">
        <f t="shared" si="28"/>
        <v>0</v>
      </c>
    </row>
    <row r="550" spans="1:11" x14ac:dyDescent="0.15">
      <c r="A550" s="135"/>
      <c r="B550" s="453" t="s">
        <v>1112</v>
      </c>
      <c r="C550" s="454" t="s">
        <v>1117</v>
      </c>
      <c r="D550" s="141">
        <v>0</v>
      </c>
      <c r="E550" s="309">
        <v>0</v>
      </c>
      <c r="F550" s="141">
        <v>0</v>
      </c>
      <c r="G550" s="141">
        <v>0</v>
      </c>
      <c r="H550" s="147">
        <v>0</v>
      </c>
      <c r="I550" s="495">
        <f t="shared" si="28"/>
        <v>0</v>
      </c>
    </row>
    <row r="551" spans="1:11" x14ac:dyDescent="0.15">
      <c r="A551" s="135"/>
      <c r="B551" s="453" t="s">
        <v>1113</v>
      </c>
      <c r="C551" s="454" t="s">
        <v>1118</v>
      </c>
      <c r="D551" s="141">
        <v>0</v>
      </c>
      <c r="E551" s="309">
        <v>0</v>
      </c>
      <c r="F551" s="141">
        <v>0</v>
      </c>
      <c r="G551" s="141">
        <v>0</v>
      </c>
      <c r="H551" s="147">
        <v>0</v>
      </c>
      <c r="I551" s="495">
        <f t="shared" si="28"/>
        <v>0</v>
      </c>
    </row>
    <row r="552" spans="1:11" ht="11.25" thickBot="1" x14ac:dyDescent="0.2">
      <c r="A552" s="135"/>
      <c r="B552" s="453" t="s">
        <v>1114</v>
      </c>
      <c r="C552" s="454" t="s">
        <v>1119</v>
      </c>
      <c r="D552" s="141">
        <v>0</v>
      </c>
      <c r="E552" s="309">
        <v>0</v>
      </c>
      <c r="F552" s="141">
        <v>0</v>
      </c>
      <c r="G552" s="141">
        <v>0</v>
      </c>
      <c r="H552" s="147">
        <v>0</v>
      </c>
      <c r="I552" s="495">
        <f t="shared" si="28"/>
        <v>0</v>
      </c>
    </row>
    <row r="553" spans="1:11" ht="12" thickTop="1" thickBot="1" x14ac:dyDescent="0.2">
      <c r="A553" s="135"/>
      <c r="B553" s="453"/>
      <c r="C553" s="454" t="s">
        <v>1078</v>
      </c>
      <c r="D553" s="166">
        <f>SUM(D519:D552)</f>
        <v>0</v>
      </c>
      <c r="E553" s="297">
        <f>SUM(E519:E552)</f>
        <v>0</v>
      </c>
      <c r="F553" s="166">
        <f>SUM(F519:F552)</f>
        <v>0</v>
      </c>
      <c r="G553" s="166">
        <f>SUM(G519:G552)</f>
        <v>0</v>
      </c>
      <c r="H553" s="166">
        <f>SUM(H519:H552)</f>
        <v>0</v>
      </c>
      <c r="I553" s="166">
        <f t="shared" si="28"/>
        <v>0</v>
      </c>
    </row>
    <row r="554" spans="1:11" ht="11.25" thickTop="1" x14ac:dyDescent="0.15">
      <c r="A554" s="135"/>
      <c r="B554" s="454"/>
      <c r="C554" s="454"/>
      <c r="D554" s="14"/>
      <c r="E554" s="301"/>
      <c r="F554" s="14"/>
      <c r="G554" s="14"/>
      <c r="H554" s="14"/>
      <c r="I554" s="491"/>
    </row>
    <row r="555" spans="1:11" x14ac:dyDescent="0.15">
      <c r="A555" s="452" t="s">
        <v>1079</v>
      </c>
      <c r="B555" s="454"/>
      <c r="C555" s="454"/>
      <c r="D555" s="14"/>
      <c r="E555" s="301"/>
      <c r="F555" s="14"/>
      <c r="G555" s="14"/>
      <c r="H555" s="14"/>
      <c r="I555" s="491"/>
    </row>
    <row r="556" spans="1:11" hidden="1" x14ac:dyDescent="0.15">
      <c r="A556" s="416"/>
      <c r="B556" s="453" t="s">
        <v>880</v>
      </c>
      <c r="C556" s="454" t="s">
        <v>1164</v>
      </c>
      <c r="D556" s="308">
        <v>0</v>
      </c>
      <c r="E556" s="308">
        <v>0</v>
      </c>
      <c r="F556" s="308">
        <v>0</v>
      </c>
      <c r="G556" s="458"/>
      <c r="H556" s="457">
        <v>0</v>
      </c>
      <c r="I556" s="494">
        <f>SUM(G556+H556)</f>
        <v>0</v>
      </c>
    </row>
    <row r="557" spans="1:11" x14ac:dyDescent="0.15">
      <c r="A557" s="416"/>
      <c r="B557" s="453" t="s">
        <v>880</v>
      </c>
      <c r="C557" s="454" t="s">
        <v>337</v>
      </c>
      <c r="D557" s="308">
        <v>0</v>
      </c>
      <c r="E557" s="308">
        <v>0</v>
      </c>
      <c r="F557" s="308">
        <v>0</v>
      </c>
      <c r="G557" s="308">
        <v>0</v>
      </c>
      <c r="H557" s="457">
        <v>0</v>
      </c>
      <c r="I557" s="494">
        <f>SUM(G557+H557)</f>
        <v>0</v>
      </c>
    </row>
    <row r="558" spans="1:11" hidden="1" x14ac:dyDescent="0.15">
      <c r="A558" s="454"/>
      <c r="B558" s="453" t="s">
        <v>881</v>
      </c>
      <c r="C558" s="454" t="s">
        <v>382</v>
      </c>
      <c r="D558" s="308">
        <v>0</v>
      </c>
      <c r="E558" s="308">
        <v>0</v>
      </c>
      <c r="F558" s="308">
        <v>0</v>
      </c>
      <c r="G558" s="459"/>
      <c r="H558" s="457">
        <v>0</v>
      </c>
      <c r="I558" s="494">
        <f>SUM(G558+H558)</f>
        <v>0</v>
      </c>
    </row>
    <row r="559" spans="1:11" x14ac:dyDescent="0.15">
      <c r="A559" s="135"/>
      <c r="B559" s="451" t="s">
        <v>881</v>
      </c>
      <c r="C559" s="135" t="s">
        <v>338</v>
      </c>
      <c r="D559" s="144">
        <v>0</v>
      </c>
      <c r="E559" s="308">
        <v>0</v>
      </c>
      <c r="F559" s="144">
        <v>0</v>
      </c>
      <c r="G559" s="144">
        <v>0</v>
      </c>
      <c r="H559" s="147">
        <v>0</v>
      </c>
      <c r="I559" s="495">
        <f>SUM(G559+H559)</f>
        <v>0</v>
      </c>
    </row>
    <row r="560" spans="1:11" x14ac:dyDescent="0.15">
      <c r="A560" s="135"/>
      <c r="B560" s="453" t="s">
        <v>882</v>
      </c>
      <c r="C560" s="454" t="s">
        <v>1058</v>
      </c>
      <c r="D560" s="141">
        <v>0</v>
      </c>
      <c r="E560" s="309">
        <v>0</v>
      </c>
      <c r="F560" s="141">
        <v>0</v>
      </c>
      <c r="G560" s="141">
        <v>0</v>
      </c>
      <c r="H560" s="147">
        <v>0</v>
      </c>
      <c r="I560" s="495">
        <f t="shared" ref="I560:I590" si="30">SUM(G560+H560)</f>
        <v>0</v>
      </c>
    </row>
    <row r="561" spans="1:9" x14ac:dyDescent="0.15">
      <c r="A561" s="135"/>
      <c r="B561" s="453" t="s">
        <v>883</v>
      </c>
      <c r="C561" s="454" t="s">
        <v>1059</v>
      </c>
      <c r="D561" s="141">
        <v>0</v>
      </c>
      <c r="E561" s="309">
        <v>0</v>
      </c>
      <c r="F561" s="141">
        <v>0</v>
      </c>
      <c r="G561" s="141">
        <v>0</v>
      </c>
      <c r="H561" s="147">
        <v>0</v>
      </c>
      <c r="I561" s="495">
        <f t="shared" si="30"/>
        <v>0</v>
      </c>
    </row>
    <row r="562" spans="1:9" x14ac:dyDescent="0.15">
      <c r="A562" s="135"/>
      <c r="B562" s="453" t="s">
        <v>1060</v>
      </c>
      <c r="C562" s="454" t="s">
        <v>1061</v>
      </c>
      <c r="D562" s="141">
        <v>0</v>
      </c>
      <c r="E562" s="309">
        <v>0</v>
      </c>
      <c r="F562" s="141">
        <v>0</v>
      </c>
      <c r="G562" s="141">
        <v>0</v>
      </c>
      <c r="H562" s="147">
        <v>0</v>
      </c>
      <c r="I562" s="495">
        <f t="shared" si="30"/>
        <v>0</v>
      </c>
    </row>
    <row r="563" spans="1:9" x14ac:dyDescent="0.15">
      <c r="A563" s="135"/>
      <c r="B563" s="453" t="s">
        <v>1062</v>
      </c>
      <c r="C563" s="454" t="s">
        <v>1063</v>
      </c>
      <c r="D563" s="141">
        <v>0</v>
      </c>
      <c r="E563" s="309">
        <v>0</v>
      </c>
      <c r="F563" s="141">
        <v>0</v>
      </c>
      <c r="G563" s="141">
        <v>0</v>
      </c>
      <c r="H563" s="147">
        <v>0</v>
      </c>
      <c r="I563" s="495">
        <f t="shared" si="30"/>
        <v>0</v>
      </c>
    </row>
    <row r="564" spans="1:9" x14ac:dyDescent="0.15">
      <c r="A564" s="135"/>
      <c r="B564" s="453" t="s">
        <v>884</v>
      </c>
      <c r="C564" s="454" t="s">
        <v>1064</v>
      </c>
      <c r="D564" s="141">
        <v>0</v>
      </c>
      <c r="E564" s="309">
        <v>0</v>
      </c>
      <c r="F564" s="141">
        <v>0</v>
      </c>
      <c r="G564" s="141">
        <v>0</v>
      </c>
      <c r="H564" s="147">
        <v>0</v>
      </c>
      <c r="I564" s="495">
        <f t="shared" si="30"/>
        <v>0</v>
      </c>
    </row>
    <row r="565" spans="1:9" x14ac:dyDescent="0.15">
      <c r="A565" s="135"/>
      <c r="B565" s="453" t="s">
        <v>1067</v>
      </c>
      <c r="C565" s="454" t="s">
        <v>1074</v>
      </c>
      <c r="D565" s="141">
        <v>0</v>
      </c>
      <c r="E565" s="309">
        <v>0</v>
      </c>
      <c r="F565" s="141">
        <v>0</v>
      </c>
      <c r="G565" s="141">
        <v>0</v>
      </c>
      <c r="H565" s="147">
        <v>0</v>
      </c>
      <c r="I565" s="495">
        <f t="shared" si="30"/>
        <v>0</v>
      </c>
    </row>
    <row r="566" spans="1:9" x14ac:dyDescent="0.15">
      <c r="A566" s="135"/>
      <c r="B566" s="453" t="s">
        <v>1068</v>
      </c>
      <c r="C566" s="454" t="s">
        <v>1075</v>
      </c>
      <c r="D566" s="141">
        <v>0</v>
      </c>
      <c r="E566" s="309">
        <v>0</v>
      </c>
      <c r="F566" s="141">
        <v>0</v>
      </c>
      <c r="G566" s="141">
        <v>0</v>
      </c>
      <c r="H566" s="147">
        <v>0</v>
      </c>
      <c r="I566" s="495">
        <f t="shared" si="30"/>
        <v>0</v>
      </c>
    </row>
    <row r="567" spans="1:9" x14ac:dyDescent="0.15">
      <c r="A567" s="135"/>
      <c r="B567" s="453" t="s">
        <v>1072</v>
      </c>
      <c r="C567" s="454" t="s">
        <v>920</v>
      </c>
      <c r="D567" s="141">
        <v>0</v>
      </c>
      <c r="E567" s="309">
        <v>0</v>
      </c>
      <c r="F567" s="141">
        <v>0</v>
      </c>
      <c r="G567" s="141">
        <v>0</v>
      </c>
      <c r="H567" s="147">
        <v>0</v>
      </c>
      <c r="I567" s="495">
        <f t="shared" si="30"/>
        <v>0</v>
      </c>
    </row>
    <row r="568" spans="1:9" x14ac:dyDescent="0.15">
      <c r="A568" s="135"/>
      <c r="B568" s="717" t="s">
        <v>155</v>
      </c>
      <c r="C568" s="706" t="s">
        <v>178</v>
      </c>
      <c r="D568" s="141">
        <v>0</v>
      </c>
      <c r="E568" s="309">
        <v>0</v>
      </c>
      <c r="F568" s="141">
        <v>0</v>
      </c>
      <c r="G568" s="141">
        <v>0</v>
      </c>
      <c r="H568" s="147">
        <v>0</v>
      </c>
      <c r="I568" s="495">
        <f t="shared" ref="I568" si="31">SUM(G568+H568)</f>
        <v>0</v>
      </c>
    </row>
    <row r="569" spans="1:9" x14ac:dyDescent="0.15">
      <c r="A569" s="135"/>
      <c r="B569" s="453" t="s">
        <v>921</v>
      </c>
      <c r="C569" s="454" t="s">
        <v>955</v>
      </c>
      <c r="D569" s="141">
        <v>0</v>
      </c>
      <c r="E569" s="309">
        <v>0</v>
      </c>
      <c r="F569" s="141">
        <v>0</v>
      </c>
      <c r="G569" s="141">
        <v>0</v>
      </c>
      <c r="H569" s="147">
        <v>0</v>
      </c>
      <c r="I569" s="495">
        <f t="shared" si="30"/>
        <v>0</v>
      </c>
    </row>
    <row r="570" spans="1:9" x14ac:dyDescent="0.15">
      <c r="A570" s="135"/>
      <c r="B570" s="453" t="s">
        <v>922</v>
      </c>
      <c r="C570" s="454" t="s">
        <v>956</v>
      </c>
      <c r="D570" s="141">
        <v>0</v>
      </c>
      <c r="E570" s="309">
        <v>0</v>
      </c>
      <c r="F570" s="141">
        <v>0</v>
      </c>
      <c r="G570" s="141">
        <v>0</v>
      </c>
      <c r="H570" s="147">
        <v>0</v>
      </c>
      <c r="I570" s="495">
        <f t="shared" si="30"/>
        <v>0</v>
      </c>
    </row>
    <row r="571" spans="1:9" x14ac:dyDescent="0.15">
      <c r="A571" s="135"/>
      <c r="B571" s="453" t="s">
        <v>923</v>
      </c>
      <c r="C571" s="454" t="s">
        <v>957</v>
      </c>
      <c r="D571" s="141">
        <v>0</v>
      </c>
      <c r="E571" s="309">
        <v>0</v>
      </c>
      <c r="F571" s="141">
        <v>0</v>
      </c>
      <c r="G571" s="141">
        <v>0</v>
      </c>
      <c r="H571" s="147">
        <v>0</v>
      </c>
      <c r="I571" s="495">
        <f t="shared" si="30"/>
        <v>0</v>
      </c>
    </row>
    <row r="572" spans="1:9" x14ac:dyDescent="0.15">
      <c r="A572" s="135"/>
      <c r="B572" s="453" t="s">
        <v>924</v>
      </c>
      <c r="C572" s="454" t="s">
        <v>958</v>
      </c>
      <c r="D572" s="141">
        <v>0</v>
      </c>
      <c r="E572" s="309">
        <v>0</v>
      </c>
      <c r="F572" s="141">
        <v>0</v>
      </c>
      <c r="G572" s="141">
        <v>0</v>
      </c>
      <c r="H572" s="147">
        <v>0</v>
      </c>
      <c r="I572" s="495">
        <f t="shared" si="30"/>
        <v>0</v>
      </c>
    </row>
    <row r="573" spans="1:9" x14ac:dyDescent="0.15">
      <c r="A573" s="135"/>
      <c r="B573" s="453" t="s">
        <v>925</v>
      </c>
      <c r="C573" s="454" t="s">
        <v>1128</v>
      </c>
      <c r="D573" s="141">
        <v>0</v>
      </c>
      <c r="E573" s="309">
        <v>0</v>
      </c>
      <c r="F573" s="141">
        <v>0</v>
      </c>
      <c r="G573" s="141">
        <v>0</v>
      </c>
      <c r="H573" s="147">
        <v>0</v>
      </c>
      <c r="I573" s="495">
        <f t="shared" si="30"/>
        <v>0</v>
      </c>
    </row>
    <row r="574" spans="1:9" x14ac:dyDescent="0.15">
      <c r="A574" s="135"/>
      <c r="B574" s="453" t="s">
        <v>926</v>
      </c>
      <c r="C574" s="454" t="s">
        <v>1129</v>
      </c>
      <c r="D574" s="141">
        <v>0</v>
      </c>
      <c r="E574" s="309">
        <v>0</v>
      </c>
      <c r="F574" s="141">
        <v>0</v>
      </c>
      <c r="G574" s="141">
        <v>0</v>
      </c>
      <c r="H574" s="147">
        <v>0</v>
      </c>
      <c r="I574" s="495">
        <f t="shared" si="30"/>
        <v>0</v>
      </c>
    </row>
    <row r="575" spans="1:9" x14ac:dyDescent="0.15">
      <c r="A575" s="135"/>
      <c r="B575" s="453" t="s">
        <v>927</v>
      </c>
      <c r="C575" s="454" t="s">
        <v>959</v>
      </c>
      <c r="D575" s="141">
        <v>0</v>
      </c>
      <c r="E575" s="309">
        <v>0</v>
      </c>
      <c r="F575" s="141">
        <v>0</v>
      </c>
      <c r="G575" s="141">
        <v>0</v>
      </c>
      <c r="H575" s="147">
        <v>0</v>
      </c>
      <c r="I575" s="495">
        <f t="shared" si="30"/>
        <v>0</v>
      </c>
    </row>
    <row r="576" spans="1:9" x14ac:dyDescent="0.15">
      <c r="A576" s="135"/>
      <c r="B576" s="453" t="s">
        <v>928</v>
      </c>
      <c r="C576" s="454" t="s">
        <v>961</v>
      </c>
      <c r="D576" s="141">
        <v>0</v>
      </c>
      <c r="E576" s="309">
        <v>0</v>
      </c>
      <c r="F576" s="141">
        <v>0</v>
      </c>
      <c r="G576" s="141">
        <v>0</v>
      </c>
      <c r="H576" s="147">
        <v>0</v>
      </c>
      <c r="I576" s="495">
        <f t="shared" si="30"/>
        <v>0</v>
      </c>
    </row>
    <row r="577" spans="1:9" x14ac:dyDescent="0.15">
      <c r="A577" s="135"/>
      <c r="B577" s="453" t="s">
        <v>962</v>
      </c>
      <c r="C577" s="454" t="s">
        <v>967</v>
      </c>
      <c r="D577" s="141">
        <v>0</v>
      </c>
      <c r="E577" s="309">
        <v>0</v>
      </c>
      <c r="F577" s="141">
        <v>0</v>
      </c>
      <c r="G577" s="141">
        <v>0</v>
      </c>
      <c r="H577" s="147">
        <v>0</v>
      </c>
      <c r="I577" s="495">
        <f t="shared" si="30"/>
        <v>0</v>
      </c>
    </row>
    <row r="578" spans="1:9" x14ac:dyDescent="0.15">
      <c r="A578" s="135"/>
      <c r="B578" s="453" t="s">
        <v>963</v>
      </c>
      <c r="C578" s="454" t="s">
        <v>1093</v>
      </c>
      <c r="D578" s="141">
        <v>0</v>
      </c>
      <c r="E578" s="309">
        <v>0</v>
      </c>
      <c r="F578" s="141">
        <v>0</v>
      </c>
      <c r="G578" s="141">
        <v>0</v>
      </c>
      <c r="H578" s="147">
        <v>0</v>
      </c>
      <c r="I578" s="495">
        <f t="shared" si="30"/>
        <v>0</v>
      </c>
    </row>
    <row r="579" spans="1:9" x14ac:dyDescent="0.15">
      <c r="A579" s="135"/>
      <c r="B579" s="453" t="s">
        <v>964</v>
      </c>
      <c r="C579" s="454" t="s">
        <v>1094</v>
      </c>
      <c r="D579" s="141">
        <v>0</v>
      </c>
      <c r="E579" s="309">
        <v>0</v>
      </c>
      <c r="F579" s="141">
        <v>0</v>
      </c>
      <c r="G579" s="141">
        <v>0</v>
      </c>
      <c r="H579" s="147">
        <v>0</v>
      </c>
      <c r="I579" s="495">
        <f t="shared" si="30"/>
        <v>0</v>
      </c>
    </row>
    <row r="580" spans="1:9" x14ac:dyDescent="0.15">
      <c r="A580" s="135"/>
      <c r="B580" s="453" t="s">
        <v>965</v>
      </c>
      <c r="C580" s="454" t="s">
        <v>1095</v>
      </c>
      <c r="D580" s="141">
        <v>0</v>
      </c>
      <c r="E580" s="309">
        <v>0</v>
      </c>
      <c r="F580" s="141">
        <v>0</v>
      </c>
      <c r="G580" s="141">
        <v>0</v>
      </c>
      <c r="H580" s="147">
        <v>0</v>
      </c>
      <c r="I580" s="495">
        <f t="shared" si="30"/>
        <v>0</v>
      </c>
    </row>
    <row r="581" spans="1:9" x14ac:dyDescent="0.15">
      <c r="A581" s="135"/>
      <c r="B581" s="453" t="s">
        <v>885</v>
      </c>
      <c r="C581" s="454" t="s">
        <v>1096</v>
      </c>
      <c r="D581" s="141">
        <v>0</v>
      </c>
      <c r="E581" s="309">
        <v>0</v>
      </c>
      <c r="F581" s="141">
        <v>0</v>
      </c>
      <c r="G581" s="141">
        <v>0</v>
      </c>
      <c r="H581" s="147">
        <v>0</v>
      </c>
      <c r="I581" s="495">
        <f t="shared" si="30"/>
        <v>0</v>
      </c>
    </row>
    <row r="582" spans="1:9" x14ac:dyDescent="0.15">
      <c r="A582" s="135"/>
      <c r="B582" s="453" t="s">
        <v>966</v>
      </c>
      <c r="C582" s="454" t="s">
        <v>1097</v>
      </c>
      <c r="D582" s="141">
        <v>0</v>
      </c>
      <c r="E582" s="309">
        <v>0</v>
      </c>
      <c r="F582" s="141">
        <v>0</v>
      </c>
      <c r="G582" s="141">
        <v>0</v>
      </c>
      <c r="H582" s="147">
        <v>0</v>
      </c>
      <c r="I582" s="495">
        <f t="shared" si="30"/>
        <v>0</v>
      </c>
    </row>
    <row r="583" spans="1:9" x14ac:dyDescent="0.15">
      <c r="A583" s="135"/>
      <c r="B583" s="453" t="s">
        <v>886</v>
      </c>
      <c r="C583" s="454" t="s">
        <v>1100</v>
      </c>
      <c r="D583" s="141">
        <v>0</v>
      </c>
      <c r="E583" s="309">
        <v>0</v>
      </c>
      <c r="F583" s="141">
        <v>0</v>
      </c>
      <c r="G583" s="141">
        <v>0</v>
      </c>
      <c r="H583" s="147">
        <v>0</v>
      </c>
      <c r="I583" s="495">
        <f t="shared" si="30"/>
        <v>0</v>
      </c>
    </row>
    <row r="584" spans="1:9" x14ac:dyDescent="0.15">
      <c r="A584" s="135"/>
      <c r="B584" s="453" t="s">
        <v>116</v>
      </c>
      <c r="C584" s="454" t="s">
        <v>1105</v>
      </c>
      <c r="D584" s="141">
        <v>0</v>
      </c>
      <c r="E584" s="309">
        <v>0</v>
      </c>
      <c r="F584" s="141">
        <v>0</v>
      </c>
      <c r="G584" s="141">
        <v>0</v>
      </c>
      <c r="H584" s="147">
        <v>0</v>
      </c>
      <c r="I584" s="495">
        <f t="shared" si="30"/>
        <v>0</v>
      </c>
    </row>
    <row r="585" spans="1:9" x14ac:dyDescent="0.15">
      <c r="A585" s="135"/>
      <c r="B585" s="453" t="s">
        <v>112</v>
      </c>
      <c r="C585" s="454" t="s">
        <v>1110</v>
      </c>
      <c r="D585" s="141">
        <v>0</v>
      </c>
      <c r="E585" s="309">
        <v>0</v>
      </c>
      <c r="F585" s="141">
        <v>0</v>
      </c>
      <c r="G585" s="141">
        <v>0</v>
      </c>
      <c r="H585" s="147">
        <v>0</v>
      </c>
      <c r="I585" s="495">
        <f t="shared" si="30"/>
        <v>0</v>
      </c>
    </row>
    <row r="586" spans="1:9" x14ac:dyDescent="0.15">
      <c r="A586" s="135"/>
      <c r="B586" s="453" t="s">
        <v>887</v>
      </c>
      <c r="C586" s="454" t="s">
        <v>1116</v>
      </c>
      <c r="D586" s="141">
        <v>0</v>
      </c>
      <c r="E586" s="309">
        <v>0</v>
      </c>
      <c r="F586" s="141">
        <v>0</v>
      </c>
      <c r="G586" s="141">
        <v>0</v>
      </c>
      <c r="H586" s="147">
        <v>0</v>
      </c>
      <c r="I586" s="495">
        <f t="shared" si="30"/>
        <v>0</v>
      </c>
    </row>
    <row r="587" spans="1:9" x14ac:dyDescent="0.15">
      <c r="A587" s="135"/>
      <c r="B587" s="453" t="s">
        <v>1112</v>
      </c>
      <c r="C587" s="454" t="s">
        <v>1117</v>
      </c>
      <c r="D587" s="141">
        <v>0</v>
      </c>
      <c r="E587" s="309">
        <v>0</v>
      </c>
      <c r="F587" s="141">
        <v>0</v>
      </c>
      <c r="G587" s="141">
        <v>0</v>
      </c>
      <c r="H587" s="147">
        <v>0</v>
      </c>
      <c r="I587" s="495">
        <f t="shared" si="30"/>
        <v>0</v>
      </c>
    </row>
    <row r="588" spans="1:9" x14ac:dyDescent="0.15">
      <c r="A588" s="135"/>
      <c r="B588" s="453" t="s">
        <v>1113</v>
      </c>
      <c r="C588" s="454" t="s">
        <v>1118</v>
      </c>
      <c r="D588" s="141">
        <v>0</v>
      </c>
      <c r="E588" s="309">
        <v>0</v>
      </c>
      <c r="F588" s="141">
        <v>0</v>
      </c>
      <c r="G588" s="141">
        <v>0</v>
      </c>
      <c r="H588" s="147">
        <v>0</v>
      </c>
      <c r="I588" s="495">
        <f t="shared" si="30"/>
        <v>0</v>
      </c>
    </row>
    <row r="589" spans="1:9" ht="11.25" thickBot="1" x14ac:dyDescent="0.2">
      <c r="A589" s="135"/>
      <c r="B589" s="453" t="s">
        <v>1114</v>
      </c>
      <c r="C589" s="454" t="s">
        <v>1119</v>
      </c>
      <c r="D589" s="141">
        <v>0</v>
      </c>
      <c r="E589" s="309">
        <v>0</v>
      </c>
      <c r="F589" s="141">
        <v>0</v>
      </c>
      <c r="G589" s="141">
        <v>0</v>
      </c>
      <c r="H589" s="147">
        <v>0</v>
      </c>
      <c r="I589" s="495">
        <f t="shared" si="30"/>
        <v>0</v>
      </c>
    </row>
    <row r="590" spans="1:9" ht="12" thickTop="1" thickBot="1" x14ac:dyDescent="0.2">
      <c r="A590" s="135"/>
      <c r="B590" s="453"/>
      <c r="C590" s="454" t="s">
        <v>1080</v>
      </c>
      <c r="D590" s="166">
        <f>SUM(D556:D589)</f>
        <v>0</v>
      </c>
      <c r="E590" s="297">
        <f>SUM(E556:E589)</f>
        <v>0</v>
      </c>
      <c r="F590" s="166">
        <f>SUM(F556:F589)</f>
        <v>0</v>
      </c>
      <c r="G590" s="166">
        <f>SUM(G556:G589)</f>
        <v>0</v>
      </c>
      <c r="H590" s="166">
        <f>SUM(H556:H589)</f>
        <v>0</v>
      </c>
      <c r="I590" s="166">
        <f t="shared" si="30"/>
        <v>0</v>
      </c>
    </row>
    <row r="591" spans="1:9" ht="11.25" thickTop="1" x14ac:dyDescent="0.15">
      <c r="A591" s="135"/>
      <c r="B591" s="454"/>
      <c r="C591" s="454"/>
      <c r="D591" s="14"/>
      <c r="E591" s="301"/>
      <c r="F591" s="14"/>
      <c r="G591" s="14"/>
      <c r="H591" s="14"/>
      <c r="I591" s="491"/>
    </row>
    <row r="592" spans="1:9" x14ac:dyDescent="0.15">
      <c r="A592" s="452" t="s">
        <v>1081</v>
      </c>
      <c r="B592" s="454"/>
      <c r="C592" s="454"/>
      <c r="D592" s="14"/>
      <c r="E592" s="301"/>
      <c r="F592" s="14"/>
      <c r="G592" s="14"/>
      <c r="H592" s="14"/>
      <c r="I592" s="491"/>
    </row>
    <row r="593" spans="1:9" hidden="1" x14ac:dyDescent="0.15">
      <c r="A593" s="416"/>
      <c r="B593" s="453" t="s">
        <v>880</v>
      </c>
      <c r="C593" s="454" t="s">
        <v>1164</v>
      </c>
      <c r="D593" s="308">
        <v>0</v>
      </c>
      <c r="E593" s="308">
        <v>0</v>
      </c>
      <c r="F593" s="308">
        <v>0</v>
      </c>
      <c r="G593" s="458"/>
      <c r="H593" s="457">
        <v>0</v>
      </c>
      <c r="I593" s="494">
        <f>SUM(G593+H593)</f>
        <v>0</v>
      </c>
    </row>
    <row r="594" spans="1:9" x14ac:dyDescent="0.15">
      <c r="A594" s="416"/>
      <c r="B594" s="453" t="s">
        <v>880</v>
      </c>
      <c r="C594" s="454" t="s">
        <v>337</v>
      </c>
      <c r="D594" s="308">
        <v>0</v>
      </c>
      <c r="E594" s="308">
        <v>0</v>
      </c>
      <c r="F594" s="308">
        <v>0</v>
      </c>
      <c r="G594" s="308">
        <v>0</v>
      </c>
      <c r="H594" s="457">
        <v>0</v>
      </c>
      <c r="I594" s="494">
        <f>SUM(G594+H594)</f>
        <v>0</v>
      </c>
    </row>
    <row r="595" spans="1:9" hidden="1" x14ac:dyDescent="0.15">
      <c r="A595" s="454"/>
      <c r="B595" s="453" t="s">
        <v>881</v>
      </c>
      <c r="C595" s="454" t="s">
        <v>382</v>
      </c>
      <c r="D595" s="308">
        <v>0</v>
      </c>
      <c r="E595" s="308">
        <v>0</v>
      </c>
      <c r="F595" s="308">
        <v>0</v>
      </c>
      <c r="G595" s="459"/>
      <c r="H595" s="457">
        <v>0</v>
      </c>
      <c r="I595" s="494">
        <f>SUM(G595+H595)</f>
        <v>0</v>
      </c>
    </row>
    <row r="596" spans="1:9" x14ac:dyDescent="0.15">
      <c r="A596" s="454"/>
      <c r="B596" s="453" t="s">
        <v>881</v>
      </c>
      <c r="C596" s="454" t="s">
        <v>338</v>
      </c>
      <c r="D596" s="308">
        <v>0</v>
      </c>
      <c r="E596" s="308">
        <v>0</v>
      </c>
      <c r="F596" s="308">
        <v>0</v>
      </c>
      <c r="G596" s="308">
        <v>0</v>
      </c>
      <c r="H596" s="457">
        <v>0</v>
      </c>
      <c r="I596" s="494">
        <f>SUM(G596+H596)</f>
        <v>0</v>
      </c>
    </row>
    <row r="597" spans="1:9" x14ac:dyDescent="0.15">
      <c r="A597" s="135"/>
      <c r="B597" s="453" t="s">
        <v>882</v>
      </c>
      <c r="C597" s="454" t="s">
        <v>1058</v>
      </c>
      <c r="D597" s="141">
        <v>0</v>
      </c>
      <c r="E597" s="309">
        <v>0</v>
      </c>
      <c r="F597" s="141">
        <v>0</v>
      </c>
      <c r="G597" s="285">
        <v>0</v>
      </c>
      <c r="H597" s="147">
        <v>0</v>
      </c>
      <c r="I597" s="495">
        <f t="shared" ref="I597:I627" si="32">SUM(G597+H597)</f>
        <v>0</v>
      </c>
    </row>
    <row r="598" spans="1:9" x14ac:dyDescent="0.15">
      <c r="A598" s="135"/>
      <c r="B598" s="453" t="s">
        <v>883</v>
      </c>
      <c r="C598" s="454" t="s">
        <v>1059</v>
      </c>
      <c r="D598" s="141">
        <v>0</v>
      </c>
      <c r="E598" s="309">
        <v>0</v>
      </c>
      <c r="F598" s="141">
        <v>0</v>
      </c>
      <c r="G598" s="285">
        <v>0</v>
      </c>
      <c r="H598" s="147">
        <v>0</v>
      </c>
      <c r="I598" s="495">
        <f t="shared" si="32"/>
        <v>0</v>
      </c>
    </row>
    <row r="599" spans="1:9" x14ac:dyDescent="0.15">
      <c r="A599" s="135"/>
      <c r="B599" s="453" t="s">
        <v>1060</v>
      </c>
      <c r="C599" s="454" t="s">
        <v>1061</v>
      </c>
      <c r="D599" s="141">
        <v>0</v>
      </c>
      <c r="E599" s="309">
        <v>0</v>
      </c>
      <c r="F599" s="141">
        <v>0</v>
      </c>
      <c r="G599" s="285">
        <v>0</v>
      </c>
      <c r="H599" s="147">
        <v>0</v>
      </c>
      <c r="I599" s="495">
        <f t="shared" si="32"/>
        <v>0</v>
      </c>
    </row>
    <row r="600" spans="1:9" x14ac:dyDescent="0.15">
      <c r="A600" s="135"/>
      <c r="B600" s="453" t="s">
        <v>1062</v>
      </c>
      <c r="C600" s="454" t="s">
        <v>1063</v>
      </c>
      <c r="D600" s="141">
        <v>0</v>
      </c>
      <c r="E600" s="309">
        <v>0</v>
      </c>
      <c r="F600" s="141">
        <v>0</v>
      </c>
      <c r="G600" s="285">
        <v>0</v>
      </c>
      <c r="H600" s="147">
        <v>0</v>
      </c>
      <c r="I600" s="495">
        <f t="shared" si="32"/>
        <v>0</v>
      </c>
    </row>
    <row r="601" spans="1:9" x14ac:dyDescent="0.15">
      <c r="A601" s="135"/>
      <c r="B601" s="453" t="s">
        <v>884</v>
      </c>
      <c r="C601" s="454" t="s">
        <v>1064</v>
      </c>
      <c r="D601" s="141">
        <v>0</v>
      </c>
      <c r="E601" s="309">
        <v>0</v>
      </c>
      <c r="F601" s="141">
        <v>0</v>
      </c>
      <c r="G601" s="285">
        <v>0</v>
      </c>
      <c r="H601" s="147">
        <v>0</v>
      </c>
      <c r="I601" s="495">
        <f t="shared" si="32"/>
        <v>0</v>
      </c>
    </row>
    <row r="602" spans="1:9" x14ac:dyDescent="0.15">
      <c r="A602" s="135"/>
      <c r="B602" s="453" t="s">
        <v>1067</v>
      </c>
      <c r="C602" s="454" t="s">
        <v>1074</v>
      </c>
      <c r="D602" s="141">
        <v>0</v>
      </c>
      <c r="E602" s="309">
        <v>0</v>
      </c>
      <c r="F602" s="141">
        <v>0</v>
      </c>
      <c r="G602" s="285">
        <v>0</v>
      </c>
      <c r="H602" s="147">
        <v>0</v>
      </c>
      <c r="I602" s="495">
        <f t="shared" si="32"/>
        <v>0</v>
      </c>
    </row>
    <row r="603" spans="1:9" x14ac:dyDescent="0.15">
      <c r="A603" s="135"/>
      <c r="B603" s="453" t="s">
        <v>1068</v>
      </c>
      <c r="C603" s="454" t="s">
        <v>1075</v>
      </c>
      <c r="D603" s="141">
        <v>0</v>
      </c>
      <c r="E603" s="309">
        <v>0</v>
      </c>
      <c r="F603" s="141">
        <v>0</v>
      </c>
      <c r="G603" s="285">
        <v>0</v>
      </c>
      <c r="H603" s="147">
        <v>0</v>
      </c>
      <c r="I603" s="495">
        <f t="shared" si="32"/>
        <v>0</v>
      </c>
    </row>
    <row r="604" spans="1:9" x14ac:dyDescent="0.15">
      <c r="A604" s="135"/>
      <c r="B604" s="453" t="s">
        <v>1072</v>
      </c>
      <c r="C604" s="454" t="s">
        <v>920</v>
      </c>
      <c r="D604" s="141">
        <v>0</v>
      </c>
      <c r="E604" s="309">
        <v>0</v>
      </c>
      <c r="F604" s="141">
        <v>0</v>
      </c>
      <c r="G604" s="285">
        <v>0</v>
      </c>
      <c r="H604" s="147">
        <v>0</v>
      </c>
      <c r="I604" s="495">
        <f t="shared" si="32"/>
        <v>0</v>
      </c>
    </row>
    <row r="605" spans="1:9" x14ac:dyDescent="0.15">
      <c r="A605" s="135"/>
      <c r="B605" s="717" t="s">
        <v>155</v>
      </c>
      <c r="C605" s="706" t="s">
        <v>178</v>
      </c>
      <c r="D605" s="141">
        <v>0</v>
      </c>
      <c r="E605" s="309">
        <v>0</v>
      </c>
      <c r="F605" s="141">
        <v>0</v>
      </c>
      <c r="G605" s="285">
        <v>0</v>
      </c>
      <c r="H605" s="147">
        <v>0</v>
      </c>
      <c r="I605" s="495">
        <f t="shared" ref="I605" si="33">SUM(G605+H605)</f>
        <v>0</v>
      </c>
    </row>
    <row r="606" spans="1:9" x14ac:dyDescent="0.15">
      <c r="A606" s="135"/>
      <c r="B606" s="453" t="s">
        <v>921</v>
      </c>
      <c r="C606" s="454" t="s">
        <v>955</v>
      </c>
      <c r="D606" s="141">
        <v>0</v>
      </c>
      <c r="E606" s="309">
        <v>0</v>
      </c>
      <c r="F606" s="141">
        <v>0</v>
      </c>
      <c r="G606" s="285">
        <v>0</v>
      </c>
      <c r="H606" s="147">
        <v>0</v>
      </c>
      <c r="I606" s="495">
        <f t="shared" si="32"/>
        <v>0</v>
      </c>
    </row>
    <row r="607" spans="1:9" x14ac:dyDescent="0.15">
      <c r="A607" s="135"/>
      <c r="B607" s="453" t="s">
        <v>922</v>
      </c>
      <c r="C607" s="454" t="s">
        <v>956</v>
      </c>
      <c r="D607" s="141">
        <v>0</v>
      </c>
      <c r="E607" s="309">
        <v>0</v>
      </c>
      <c r="F607" s="141">
        <v>0</v>
      </c>
      <c r="G607" s="285">
        <v>0</v>
      </c>
      <c r="H607" s="147">
        <v>0</v>
      </c>
      <c r="I607" s="495">
        <f t="shared" si="32"/>
        <v>0</v>
      </c>
    </row>
    <row r="608" spans="1:9" x14ac:dyDescent="0.15">
      <c r="A608" s="135"/>
      <c r="B608" s="453" t="s">
        <v>923</v>
      </c>
      <c r="C608" s="454" t="s">
        <v>957</v>
      </c>
      <c r="D608" s="141">
        <v>0</v>
      </c>
      <c r="E608" s="309">
        <v>0</v>
      </c>
      <c r="F608" s="141">
        <v>0</v>
      </c>
      <c r="G608" s="285">
        <v>0</v>
      </c>
      <c r="H608" s="147">
        <v>0</v>
      </c>
      <c r="I608" s="495">
        <f t="shared" si="32"/>
        <v>0</v>
      </c>
    </row>
    <row r="609" spans="1:9" x14ac:dyDescent="0.15">
      <c r="A609" s="135"/>
      <c r="B609" s="453" t="s">
        <v>924</v>
      </c>
      <c r="C609" s="454" t="s">
        <v>958</v>
      </c>
      <c r="D609" s="141">
        <v>0</v>
      </c>
      <c r="E609" s="309">
        <v>0</v>
      </c>
      <c r="F609" s="141">
        <v>0</v>
      </c>
      <c r="G609" s="285">
        <v>0</v>
      </c>
      <c r="H609" s="147">
        <v>0</v>
      </c>
      <c r="I609" s="495">
        <f t="shared" si="32"/>
        <v>0</v>
      </c>
    </row>
    <row r="610" spans="1:9" x14ac:dyDescent="0.15">
      <c r="A610" s="135"/>
      <c r="B610" s="453" t="s">
        <v>925</v>
      </c>
      <c r="C610" s="454" t="s">
        <v>1128</v>
      </c>
      <c r="D610" s="141">
        <v>0</v>
      </c>
      <c r="E610" s="309">
        <v>0</v>
      </c>
      <c r="F610" s="141">
        <v>0</v>
      </c>
      <c r="G610" s="285">
        <v>0</v>
      </c>
      <c r="H610" s="147">
        <v>0</v>
      </c>
      <c r="I610" s="495">
        <f t="shared" si="32"/>
        <v>0</v>
      </c>
    </row>
    <row r="611" spans="1:9" x14ac:dyDescent="0.15">
      <c r="A611" s="135"/>
      <c r="B611" s="453" t="s">
        <v>926</v>
      </c>
      <c r="C611" s="454" t="s">
        <v>1129</v>
      </c>
      <c r="D611" s="141">
        <v>0</v>
      </c>
      <c r="E611" s="309">
        <v>0</v>
      </c>
      <c r="F611" s="141">
        <v>0</v>
      </c>
      <c r="G611" s="285">
        <v>0</v>
      </c>
      <c r="H611" s="147">
        <v>0</v>
      </c>
      <c r="I611" s="495">
        <f t="shared" si="32"/>
        <v>0</v>
      </c>
    </row>
    <row r="612" spans="1:9" x14ac:dyDescent="0.15">
      <c r="A612" s="135"/>
      <c r="B612" s="453" t="s">
        <v>927</v>
      </c>
      <c r="C612" s="454" t="s">
        <v>959</v>
      </c>
      <c r="D612" s="141">
        <v>0</v>
      </c>
      <c r="E612" s="309">
        <v>0</v>
      </c>
      <c r="F612" s="141">
        <v>0</v>
      </c>
      <c r="G612" s="285">
        <v>0</v>
      </c>
      <c r="H612" s="147">
        <v>0</v>
      </c>
      <c r="I612" s="495">
        <f t="shared" si="32"/>
        <v>0</v>
      </c>
    </row>
    <row r="613" spans="1:9" x14ac:dyDescent="0.15">
      <c r="A613" s="135"/>
      <c r="B613" s="453" t="s">
        <v>928</v>
      </c>
      <c r="C613" s="454" t="s">
        <v>961</v>
      </c>
      <c r="D613" s="141">
        <v>0</v>
      </c>
      <c r="E613" s="309">
        <v>0</v>
      </c>
      <c r="F613" s="141">
        <v>0</v>
      </c>
      <c r="G613" s="285">
        <v>0</v>
      </c>
      <c r="H613" s="147">
        <v>0</v>
      </c>
      <c r="I613" s="495">
        <f t="shared" si="32"/>
        <v>0</v>
      </c>
    </row>
    <row r="614" spans="1:9" x14ac:dyDescent="0.15">
      <c r="A614" s="135"/>
      <c r="B614" s="453" t="s">
        <v>962</v>
      </c>
      <c r="C614" s="454" t="s">
        <v>967</v>
      </c>
      <c r="D614" s="141">
        <v>0</v>
      </c>
      <c r="E614" s="309">
        <v>0</v>
      </c>
      <c r="F614" s="141">
        <v>0</v>
      </c>
      <c r="G614" s="285">
        <v>0</v>
      </c>
      <c r="H614" s="147">
        <v>0</v>
      </c>
      <c r="I614" s="495">
        <f t="shared" si="32"/>
        <v>0</v>
      </c>
    </row>
    <row r="615" spans="1:9" x14ac:dyDescent="0.15">
      <c r="A615" s="135"/>
      <c r="B615" s="453" t="s">
        <v>963</v>
      </c>
      <c r="C615" s="454" t="s">
        <v>1093</v>
      </c>
      <c r="D615" s="141">
        <v>0</v>
      </c>
      <c r="E615" s="309">
        <v>0</v>
      </c>
      <c r="F615" s="141">
        <v>0</v>
      </c>
      <c r="G615" s="285">
        <v>0</v>
      </c>
      <c r="H615" s="147">
        <v>0</v>
      </c>
      <c r="I615" s="495">
        <f t="shared" si="32"/>
        <v>0</v>
      </c>
    </row>
    <row r="616" spans="1:9" x14ac:dyDescent="0.15">
      <c r="A616" s="135"/>
      <c r="B616" s="453" t="s">
        <v>964</v>
      </c>
      <c r="C616" s="454" t="s">
        <v>1094</v>
      </c>
      <c r="D616" s="141">
        <v>0</v>
      </c>
      <c r="E616" s="309">
        <v>0</v>
      </c>
      <c r="F616" s="141">
        <v>0</v>
      </c>
      <c r="G616" s="285">
        <v>0</v>
      </c>
      <c r="H616" s="147">
        <v>0</v>
      </c>
      <c r="I616" s="495">
        <f t="shared" si="32"/>
        <v>0</v>
      </c>
    </row>
    <row r="617" spans="1:9" x14ac:dyDescent="0.15">
      <c r="A617" s="135"/>
      <c r="B617" s="453" t="s">
        <v>965</v>
      </c>
      <c r="C617" s="454" t="s">
        <v>1095</v>
      </c>
      <c r="D617" s="141">
        <v>0</v>
      </c>
      <c r="E617" s="309">
        <v>0</v>
      </c>
      <c r="F617" s="141">
        <v>0</v>
      </c>
      <c r="G617" s="285">
        <v>0</v>
      </c>
      <c r="H617" s="147">
        <v>0</v>
      </c>
      <c r="I617" s="495">
        <f t="shared" si="32"/>
        <v>0</v>
      </c>
    </row>
    <row r="618" spans="1:9" x14ac:dyDescent="0.15">
      <c r="A618" s="135"/>
      <c r="B618" s="453" t="s">
        <v>885</v>
      </c>
      <c r="C618" s="454" t="s">
        <v>1096</v>
      </c>
      <c r="D618" s="141">
        <v>0</v>
      </c>
      <c r="E618" s="309">
        <v>0</v>
      </c>
      <c r="F618" s="141">
        <v>0</v>
      </c>
      <c r="G618" s="285">
        <v>0</v>
      </c>
      <c r="H618" s="147">
        <v>0</v>
      </c>
      <c r="I618" s="495">
        <f t="shared" si="32"/>
        <v>0</v>
      </c>
    </row>
    <row r="619" spans="1:9" x14ac:dyDescent="0.15">
      <c r="A619" s="135"/>
      <c r="B619" s="453" t="s">
        <v>966</v>
      </c>
      <c r="C619" s="454" t="s">
        <v>1097</v>
      </c>
      <c r="D619" s="141">
        <v>0</v>
      </c>
      <c r="E619" s="309">
        <v>0</v>
      </c>
      <c r="F619" s="141">
        <v>0</v>
      </c>
      <c r="G619" s="285">
        <v>0</v>
      </c>
      <c r="H619" s="147">
        <v>0</v>
      </c>
      <c r="I619" s="495">
        <f t="shared" si="32"/>
        <v>0</v>
      </c>
    </row>
    <row r="620" spans="1:9" x14ac:dyDescent="0.15">
      <c r="A620" s="135"/>
      <c r="B620" s="453" t="s">
        <v>886</v>
      </c>
      <c r="C620" s="454" t="s">
        <v>1100</v>
      </c>
      <c r="D620" s="141">
        <v>0</v>
      </c>
      <c r="E620" s="309">
        <v>0</v>
      </c>
      <c r="F620" s="141">
        <v>0</v>
      </c>
      <c r="G620" s="285">
        <v>0</v>
      </c>
      <c r="H620" s="147">
        <v>0</v>
      </c>
      <c r="I620" s="495">
        <f t="shared" si="32"/>
        <v>0</v>
      </c>
    </row>
    <row r="621" spans="1:9" x14ac:dyDescent="0.15">
      <c r="A621" s="135"/>
      <c r="B621" s="453" t="s">
        <v>116</v>
      </c>
      <c r="C621" s="454" t="s">
        <v>1105</v>
      </c>
      <c r="D621" s="141">
        <v>0</v>
      </c>
      <c r="E621" s="309">
        <v>0</v>
      </c>
      <c r="F621" s="141">
        <v>0</v>
      </c>
      <c r="G621" s="285">
        <v>0</v>
      </c>
      <c r="H621" s="147">
        <v>0</v>
      </c>
      <c r="I621" s="495">
        <f t="shared" si="32"/>
        <v>0</v>
      </c>
    </row>
    <row r="622" spans="1:9" x14ac:dyDescent="0.15">
      <c r="A622" s="135"/>
      <c r="B622" s="453" t="s">
        <v>112</v>
      </c>
      <c r="C622" s="454" t="s">
        <v>1110</v>
      </c>
      <c r="D622" s="141">
        <v>0</v>
      </c>
      <c r="E622" s="309">
        <v>0</v>
      </c>
      <c r="F622" s="141">
        <v>0</v>
      </c>
      <c r="G622" s="285">
        <v>0</v>
      </c>
      <c r="H622" s="147">
        <v>0</v>
      </c>
      <c r="I622" s="495">
        <f t="shared" si="32"/>
        <v>0</v>
      </c>
    </row>
    <row r="623" spans="1:9" x14ac:dyDescent="0.15">
      <c r="A623" s="135"/>
      <c r="B623" s="453" t="s">
        <v>887</v>
      </c>
      <c r="C623" s="454" t="s">
        <v>1116</v>
      </c>
      <c r="D623" s="141">
        <v>0</v>
      </c>
      <c r="E623" s="309">
        <v>0</v>
      </c>
      <c r="F623" s="141">
        <v>0</v>
      </c>
      <c r="G623" s="285">
        <v>0</v>
      </c>
      <c r="H623" s="147">
        <v>0</v>
      </c>
      <c r="I623" s="495">
        <f t="shared" si="32"/>
        <v>0</v>
      </c>
    </row>
    <row r="624" spans="1:9" x14ac:dyDescent="0.15">
      <c r="A624" s="135"/>
      <c r="B624" s="453" t="s">
        <v>1112</v>
      </c>
      <c r="C624" s="454" t="s">
        <v>1117</v>
      </c>
      <c r="D624" s="141">
        <v>0</v>
      </c>
      <c r="E624" s="309">
        <v>0</v>
      </c>
      <c r="F624" s="141">
        <v>0</v>
      </c>
      <c r="G624" s="285">
        <v>0</v>
      </c>
      <c r="H624" s="147">
        <v>0</v>
      </c>
      <c r="I624" s="495">
        <f t="shared" si="32"/>
        <v>0</v>
      </c>
    </row>
    <row r="625" spans="1:9" x14ac:dyDescent="0.15">
      <c r="A625" s="135"/>
      <c r="B625" s="453" t="s">
        <v>1113</v>
      </c>
      <c r="C625" s="454" t="s">
        <v>1118</v>
      </c>
      <c r="D625" s="141">
        <v>0</v>
      </c>
      <c r="E625" s="309">
        <v>0</v>
      </c>
      <c r="F625" s="141">
        <v>0</v>
      </c>
      <c r="G625" s="285">
        <v>0</v>
      </c>
      <c r="H625" s="147">
        <v>0</v>
      </c>
      <c r="I625" s="495">
        <f t="shared" si="32"/>
        <v>0</v>
      </c>
    </row>
    <row r="626" spans="1:9" ht="11.25" thickBot="1" x14ac:dyDescent="0.2">
      <c r="A626" s="135"/>
      <c r="B626" s="453" t="s">
        <v>1114</v>
      </c>
      <c r="C626" s="454" t="s">
        <v>1119</v>
      </c>
      <c r="D626" s="141">
        <v>0</v>
      </c>
      <c r="E626" s="309">
        <v>0</v>
      </c>
      <c r="F626" s="141">
        <v>0</v>
      </c>
      <c r="G626" s="285">
        <v>0</v>
      </c>
      <c r="H626" s="147">
        <v>0</v>
      </c>
      <c r="I626" s="495">
        <f t="shared" si="32"/>
        <v>0</v>
      </c>
    </row>
    <row r="627" spans="1:9" ht="12" thickTop="1" thickBot="1" x14ac:dyDescent="0.2">
      <c r="A627" s="135"/>
      <c r="B627" s="453"/>
      <c r="C627" s="454" t="s">
        <v>1082</v>
      </c>
      <c r="D627" s="166">
        <f>SUM(D593:D626)</f>
        <v>0</v>
      </c>
      <c r="E627" s="297">
        <f>SUM(E593:E626)</f>
        <v>0</v>
      </c>
      <c r="F627" s="166">
        <f>SUM(F593:F626)</f>
        <v>0</v>
      </c>
      <c r="G627" s="166">
        <f>SUM(G593:G626)</f>
        <v>0</v>
      </c>
      <c r="H627" s="166">
        <f>SUM(H593:H626)</f>
        <v>0</v>
      </c>
      <c r="I627" s="166">
        <f t="shared" si="32"/>
        <v>0</v>
      </c>
    </row>
    <row r="628" spans="1:9" ht="11.25" thickTop="1" x14ac:dyDescent="0.15">
      <c r="A628" s="135"/>
      <c r="B628" s="454"/>
      <c r="C628" s="454"/>
      <c r="D628" s="14"/>
      <c r="E628" s="301"/>
      <c r="F628" s="14"/>
      <c r="G628" s="14"/>
      <c r="H628" s="14"/>
      <c r="I628" s="491"/>
    </row>
    <row r="629" spans="1:9" x14ac:dyDescent="0.15">
      <c r="A629" s="452" t="s">
        <v>1083</v>
      </c>
      <c r="B629" s="454"/>
      <c r="C629" s="454"/>
      <c r="D629" s="14"/>
      <c r="E629" s="301"/>
      <c r="F629" s="14"/>
      <c r="G629" s="14"/>
      <c r="H629" s="14"/>
      <c r="I629" s="491"/>
    </row>
    <row r="630" spans="1:9" hidden="1" x14ac:dyDescent="0.15">
      <c r="A630" s="416"/>
      <c r="B630" s="453" t="s">
        <v>880</v>
      </c>
      <c r="C630" s="454" t="s">
        <v>1164</v>
      </c>
      <c r="D630" s="308">
        <v>0</v>
      </c>
      <c r="E630" s="308">
        <v>0</v>
      </c>
      <c r="F630" s="308">
        <v>0</v>
      </c>
      <c r="G630" s="458"/>
      <c r="H630" s="457">
        <v>0</v>
      </c>
      <c r="I630" s="494">
        <f>SUM(G630+H630)</f>
        <v>0</v>
      </c>
    </row>
    <row r="631" spans="1:9" x14ac:dyDescent="0.15">
      <c r="A631" s="416"/>
      <c r="B631" s="453" t="s">
        <v>880</v>
      </c>
      <c r="C631" s="454" t="s">
        <v>337</v>
      </c>
      <c r="D631" s="308">
        <v>0</v>
      </c>
      <c r="E631" s="308">
        <v>0</v>
      </c>
      <c r="F631" s="308">
        <v>0</v>
      </c>
      <c r="G631" s="308">
        <v>0</v>
      </c>
      <c r="H631" s="457">
        <v>0</v>
      </c>
      <c r="I631" s="494">
        <f>SUM(G631+H631)</f>
        <v>0</v>
      </c>
    </row>
    <row r="632" spans="1:9" hidden="1" x14ac:dyDescent="0.15">
      <c r="A632" s="454"/>
      <c r="B632" s="453" t="s">
        <v>881</v>
      </c>
      <c r="C632" s="454" t="s">
        <v>382</v>
      </c>
      <c r="D632" s="308">
        <v>0</v>
      </c>
      <c r="E632" s="308">
        <v>0</v>
      </c>
      <c r="F632" s="308">
        <v>0</v>
      </c>
      <c r="G632" s="459"/>
      <c r="H632" s="457">
        <v>0</v>
      </c>
      <c r="I632" s="494">
        <f>SUM(G632+H632)</f>
        <v>0</v>
      </c>
    </row>
    <row r="633" spans="1:9" x14ac:dyDescent="0.15">
      <c r="A633" s="135"/>
      <c r="B633" s="451" t="s">
        <v>881</v>
      </c>
      <c r="C633" s="135" t="s">
        <v>338</v>
      </c>
      <c r="D633" s="144">
        <v>0</v>
      </c>
      <c r="E633" s="308">
        <v>0</v>
      </c>
      <c r="F633" s="144">
        <v>0</v>
      </c>
      <c r="G633" s="144">
        <v>0</v>
      </c>
      <c r="H633" s="147">
        <v>0</v>
      </c>
      <c r="I633" s="495">
        <f>SUM(G633+H633)</f>
        <v>0</v>
      </c>
    </row>
    <row r="634" spans="1:9" x14ac:dyDescent="0.15">
      <c r="A634" s="135"/>
      <c r="B634" s="453" t="s">
        <v>882</v>
      </c>
      <c r="C634" s="454" t="s">
        <v>1058</v>
      </c>
      <c r="D634" s="141">
        <v>0</v>
      </c>
      <c r="E634" s="309">
        <v>0</v>
      </c>
      <c r="F634" s="141">
        <v>0</v>
      </c>
      <c r="G634" s="141">
        <v>0</v>
      </c>
      <c r="H634" s="147">
        <v>0</v>
      </c>
      <c r="I634" s="495">
        <f t="shared" ref="I634:I663" si="34">SUM(G634+H634)</f>
        <v>0</v>
      </c>
    </row>
    <row r="635" spans="1:9" x14ac:dyDescent="0.15">
      <c r="A635" s="135"/>
      <c r="B635" s="453" t="s">
        <v>883</v>
      </c>
      <c r="C635" s="454" t="s">
        <v>1059</v>
      </c>
      <c r="D635" s="141">
        <v>0</v>
      </c>
      <c r="E635" s="309">
        <v>0</v>
      </c>
      <c r="F635" s="141">
        <v>0</v>
      </c>
      <c r="G635" s="141">
        <v>0</v>
      </c>
      <c r="H635" s="147">
        <v>0</v>
      </c>
      <c r="I635" s="495">
        <f t="shared" si="34"/>
        <v>0</v>
      </c>
    </row>
    <row r="636" spans="1:9" x14ac:dyDescent="0.15">
      <c r="A636" s="135"/>
      <c r="B636" s="453" t="s">
        <v>1060</v>
      </c>
      <c r="C636" s="454" t="s">
        <v>1061</v>
      </c>
      <c r="D636" s="141">
        <v>0</v>
      </c>
      <c r="E636" s="309">
        <v>0</v>
      </c>
      <c r="F636" s="141">
        <v>0</v>
      </c>
      <c r="G636" s="141">
        <v>0</v>
      </c>
      <c r="H636" s="147">
        <v>0</v>
      </c>
      <c r="I636" s="495">
        <f t="shared" si="34"/>
        <v>0</v>
      </c>
    </row>
    <row r="637" spans="1:9" x14ac:dyDescent="0.15">
      <c r="A637" s="135"/>
      <c r="B637" s="453" t="s">
        <v>1062</v>
      </c>
      <c r="C637" s="454" t="s">
        <v>1063</v>
      </c>
      <c r="D637" s="141">
        <v>0</v>
      </c>
      <c r="E637" s="309">
        <v>0</v>
      </c>
      <c r="F637" s="141">
        <v>0</v>
      </c>
      <c r="G637" s="141">
        <v>0</v>
      </c>
      <c r="H637" s="147">
        <v>0</v>
      </c>
      <c r="I637" s="495">
        <f t="shared" si="34"/>
        <v>0</v>
      </c>
    </row>
    <row r="638" spans="1:9" x14ac:dyDescent="0.15">
      <c r="A638" s="135"/>
      <c r="B638" s="453" t="s">
        <v>884</v>
      </c>
      <c r="C638" s="454" t="s">
        <v>1064</v>
      </c>
      <c r="D638" s="141">
        <v>0</v>
      </c>
      <c r="E638" s="309">
        <v>0</v>
      </c>
      <c r="F638" s="141">
        <v>0</v>
      </c>
      <c r="G638" s="141">
        <v>0</v>
      </c>
      <c r="H638" s="147">
        <v>0</v>
      </c>
      <c r="I638" s="495">
        <f t="shared" si="34"/>
        <v>0</v>
      </c>
    </row>
    <row r="639" spans="1:9" x14ac:dyDescent="0.15">
      <c r="A639" s="135"/>
      <c r="B639" s="453" t="s">
        <v>1067</v>
      </c>
      <c r="C639" s="454" t="s">
        <v>1074</v>
      </c>
      <c r="D639" s="141">
        <v>0</v>
      </c>
      <c r="E639" s="309">
        <v>0</v>
      </c>
      <c r="F639" s="141">
        <v>0</v>
      </c>
      <c r="G639" s="141">
        <v>0</v>
      </c>
      <c r="H639" s="147">
        <v>0</v>
      </c>
      <c r="I639" s="495">
        <f t="shared" si="34"/>
        <v>0</v>
      </c>
    </row>
    <row r="640" spans="1:9" x14ac:dyDescent="0.15">
      <c r="A640" s="135"/>
      <c r="B640" s="453" t="s">
        <v>1068</v>
      </c>
      <c r="C640" s="454" t="s">
        <v>1075</v>
      </c>
      <c r="D640" s="141">
        <v>0</v>
      </c>
      <c r="E640" s="309">
        <v>0</v>
      </c>
      <c r="F640" s="141">
        <v>0</v>
      </c>
      <c r="G640" s="141">
        <v>0</v>
      </c>
      <c r="H640" s="147">
        <v>0</v>
      </c>
      <c r="I640" s="495">
        <f t="shared" si="34"/>
        <v>0</v>
      </c>
    </row>
    <row r="641" spans="1:9" x14ac:dyDescent="0.15">
      <c r="A641" s="135"/>
      <c r="B641" s="453" t="s">
        <v>1072</v>
      </c>
      <c r="C641" s="454" t="s">
        <v>920</v>
      </c>
      <c r="D641" s="141">
        <v>0</v>
      </c>
      <c r="E641" s="309">
        <v>0</v>
      </c>
      <c r="F641" s="141">
        <v>0</v>
      </c>
      <c r="G641" s="141">
        <v>0</v>
      </c>
      <c r="H641" s="147">
        <v>0</v>
      </c>
      <c r="I641" s="495">
        <f t="shared" si="34"/>
        <v>0</v>
      </c>
    </row>
    <row r="642" spans="1:9" x14ac:dyDescent="0.15">
      <c r="A642" s="135"/>
      <c r="B642" s="717" t="s">
        <v>155</v>
      </c>
      <c r="C642" s="706" t="s">
        <v>178</v>
      </c>
      <c r="D642" s="141">
        <v>0</v>
      </c>
      <c r="E642" s="309">
        <v>0</v>
      </c>
      <c r="F642" s="141">
        <v>0</v>
      </c>
      <c r="G642" s="141">
        <v>0</v>
      </c>
      <c r="H642" s="147">
        <v>0</v>
      </c>
      <c r="I642" s="495">
        <f t="shared" ref="I642" si="35">SUM(G642+H642)</f>
        <v>0</v>
      </c>
    </row>
    <row r="643" spans="1:9" x14ac:dyDescent="0.15">
      <c r="A643" s="135"/>
      <c r="B643" s="453" t="s">
        <v>921</v>
      </c>
      <c r="C643" s="454" t="s">
        <v>955</v>
      </c>
      <c r="D643" s="141">
        <v>0</v>
      </c>
      <c r="E643" s="309">
        <v>0</v>
      </c>
      <c r="F643" s="141">
        <v>0</v>
      </c>
      <c r="G643" s="141">
        <v>0</v>
      </c>
      <c r="H643" s="147">
        <v>0</v>
      </c>
      <c r="I643" s="495">
        <f t="shared" si="34"/>
        <v>0</v>
      </c>
    </row>
    <row r="644" spans="1:9" x14ac:dyDescent="0.15">
      <c r="A644" s="135"/>
      <c r="B644" s="453" t="s">
        <v>922</v>
      </c>
      <c r="C644" s="454" t="s">
        <v>956</v>
      </c>
      <c r="D644" s="141">
        <v>0</v>
      </c>
      <c r="E644" s="309">
        <v>0</v>
      </c>
      <c r="F644" s="141">
        <v>0</v>
      </c>
      <c r="G644" s="141">
        <v>0</v>
      </c>
      <c r="H644" s="147">
        <v>0</v>
      </c>
      <c r="I644" s="495">
        <f t="shared" si="34"/>
        <v>0</v>
      </c>
    </row>
    <row r="645" spans="1:9" x14ac:dyDescent="0.15">
      <c r="A645" s="135"/>
      <c r="B645" s="453" t="s">
        <v>923</v>
      </c>
      <c r="C645" s="454" t="s">
        <v>957</v>
      </c>
      <c r="D645" s="141">
        <v>0</v>
      </c>
      <c r="E645" s="309">
        <v>0</v>
      </c>
      <c r="F645" s="141">
        <v>0</v>
      </c>
      <c r="G645" s="141">
        <v>0</v>
      </c>
      <c r="H645" s="147">
        <v>0</v>
      </c>
      <c r="I645" s="495">
        <f t="shared" si="34"/>
        <v>0</v>
      </c>
    </row>
    <row r="646" spans="1:9" x14ac:dyDescent="0.15">
      <c r="A646" s="135"/>
      <c r="B646" s="453" t="s">
        <v>924</v>
      </c>
      <c r="C646" s="454" t="s">
        <v>958</v>
      </c>
      <c r="D646" s="141">
        <v>0</v>
      </c>
      <c r="E646" s="309">
        <v>0</v>
      </c>
      <c r="F646" s="141">
        <v>0</v>
      </c>
      <c r="G646" s="141">
        <v>0</v>
      </c>
      <c r="H646" s="147">
        <v>0</v>
      </c>
      <c r="I646" s="495">
        <f t="shared" si="34"/>
        <v>0</v>
      </c>
    </row>
    <row r="647" spans="1:9" x14ac:dyDescent="0.15">
      <c r="A647" s="135"/>
      <c r="B647" s="453" t="s">
        <v>925</v>
      </c>
      <c r="C647" s="454" t="s">
        <v>1128</v>
      </c>
      <c r="D647" s="141">
        <v>0</v>
      </c>
      <c r="E647" s="309">
        <v>0</v>
      </c>
      <c r="F647" s="141">
        <v>0</v>
      </c>
      <c r="G647" s="141">
        <v>0</v>
      </c>
      <c r="H647" s="147">
        <v>0</v>
      </c>
      <c r="I647" s="495">
        <f t="shared" si="34"/>
        <v>0</v>
      </c>
    </row>
    <row r="648" spans="1:9" x14ac:dyDescent="0.15">
      <c r="A648" s="135"/>
      <c r="B648" s="453" t="s">
        <v>926</v>
      </c>
      <c r="C648" s="454" t="s">
        <v>1129</v>
      </c>
      <c r="D648" s="141">
        <v>0</v>
      </c>
      <c r="E648" s="309">
        <v>0</v>
      </c>
      <c r="F648" s="141">
        <v>0</v>
      </c>
      <c r="G648" s="141">
        <v>0</v>
      </c>
      <c r="H648" s="147">
        <v>0</v>
      </c>
      <c r="I648" s="495">
        <f t="shared" si="34"/>
        <v>0</v>
      </c>
    </row>
    <row r="649" spans="1:9" x14ac:dyDescent="0.15">
      <c r="A649" s="135"/>
      <c r="B649" s="453" t="s">
        <v>927</v>
      </c>
      <c r="C649" s="454" t="s">
        <v>959</v>
      </c>
      <c r="D649" s="141">
        <v>0</v>
      </c>
      <c r="E649" s="309">
        <v>0</v>
      </c>
      <c r="F649" s="141">
        <v>0</v>
      </c>
      <c r="G649" s="141">
        <v>0</v>
      </c>
      <c r="H649" s="147">
        <v>0</v>
      </c>
      <c r="I649" s="495">
        <f t="shared" si="34"/>
        <v>0</v>
      </c>
    </row>
    <row r="650" spans="1:9" x14ac:dyDescent="0.15">
      <c r="A650" s="135"/>
      <c r="B650" s="453" t="s">
        <v>928</v>
      </c>
      <c r="C650" s="454" t="s">
        <v>961</v>
      </c>
      <c r="D650" s="141">
        <v>0</v>
      </c>
      <c r="E650" s="309">
        <v>0</v>
      </c>
      <c r="F650" s="141">
        <v>0</v>
      </c>
      <c r="G650" s="141">
        <v>0</v>
      </c>
      <c r="H650" s="147">
        <v>0</v>
      </c>
      <c r="I650" s="495">
        <f t="shared" si="34"/>
        <v>0</v>
      </c>
    </row>
    <row r="651" spans="1:9" x14ac:dyDescent="0.15">
      <c r="A651" s="135"/>
      <c r="B651" s="453" t="s">
        <v>962</v>
      </c>
      <c r="C651" s="454" t="s">
        <v>967</v>
      </c>
      <c r="D651" s="141">
        <v>0</v>
      </c>
      <c r="E651" s="309">
        <v>0</v>
      </c>
      <c r="F651" s="141">
        <v>0</v>
      </c>
      <c r="G651" s="141">
        <v>0</v>
      </c>
      <c r="H651" s="147">
        <v>0</v>
      </c>
      <c r="I651" s="495">
        <f t="shared" si="34"/>
        <v>0</v>
      </c>
    </row>
    <row r="652" spans="1:9" x14ac:dyDescent="0.15">
      <c r="A652" s="135"/>
      <c r="B652" s="453" t="s">
        <v>963</v>
      </c>
      <c r="C652" s="454" t="s">
        <v>1093</v>
      </c>
      <c r="D652" s="141">
        <v>0</v>
      </c>
      <c r="E652" s="309">
        <v>0</v>
      </c>
      <c r="F652" s="141">
        <v>0</v>
      </c>
      <c r="G652" s="141">
        <v>0</v>
      </c>
      <c r="H652" s="147">
        <v>0</v>
      </c>
      <c r="I652" s="495">
        <f t="shared" si="34"/>
        <v>0</v>
      </c>
    </row>
    <row r="653" spans="1:9" x14ac:dyDescent="0.15">
      <c r="A653" s="135"/>
      <c r="B653" s="453" t="s">
        <v>964</v>
      </c>
      <c r="C653" s="454" t="s">
        <v>1094</v>
      </c>
      <c r="D653" s="141">
        <v>0</v>
      </c>
      <c r="E653" s="309">
        <v>0</v>
      </c>
      <c r="F653" s="141">
        <v>0</v>
      </c>
      <c r="G653" s="141">
        <v>0</v>
      </c>
      <c r="H653" s="147">
        <v>0</v>
      </c>
      <c r="I653" s="495">
        <f t="shared" si="34"/>
        <v>0</v>
      </c>
    </row>
    <row r="654" spans="1:9" x14ac:dyDescent="0.15">
      <c r="A654" s="135"/>
      <c r="B654" s="453" t="s">
        <v>965</v>
      </c>
      <c r="C654" s="454" t="s">
        <v>1095</v>
      </c>
      <c r="D654" s="141">
        <v>0</v>
      </c>
      <c r="E654" s="309">
        <v>0</v>
      </c>
      <c r="F654" s="141">
        <v>0</v>
      </c>
      <c r="G654" s="141">
        <v>0</v>
      </c>
      <c r="H654" s="147">
        <v>0</v>
      </c>
      <c r="I654" s="495">
        <f t="shared" si="34"/>
        <v>0</v>
      </c>
    </row>
    <row r="655" spans="1:9" x14ac:dyDescent="0.15">
      <c r="A655" s="135"/>
      <c r="B655" s="453" t="s">
        <v>885</v>
      </c>
      <c r="C655" s="454" t="s">
        <v>1096</v>
      </c>
      <c r="D655" s="141">
        <v>0</v>
      </c>
      <c r="E655" s="309">
        <v>0</v>
      </c>
      <c r="F655" s="141">
        <v>0</v>
      </c>
      <c r="G655" s="141">
        <v>0</v>
      </c>
      <c r="H655" s="147">
        <v>0</v>
      </c>
      <c r="I655" s="495">
        <f t="shared" si="34"/>
        <v>0</v>
      </c>
    </row>
    <row r="656" spans="1:9" x14ac:dyDescent="0.15">
      <c r="A656" s="135"/>
      <c r="B656" s="453" t="s">
        <v>966</v>
      </c>
      <c r="C656" s="454" t="s">
        <v>1097</v>
      </c>
      <c r="D656" s="141">
        <v>0</v>
      </c>
      <c r="E656" s="309">
        <v>0</v>
      </c>
      <c r="F656" s="141">
        <v>0</v>
      </c>
      <c r="G656" s="141">
        <v>0</v>
      </c>
      <c r="H656" s="147">
        <v>0</v>
      </c>
      <c r="I656" s="495">
        <f t="shared" si="34"/>
        <v>0</v>
      </c>
    </row>
    <row r="657" spans="1:9" x14ac:dyDescent="0.15">
      <c r="A657" s="135"/>
      <c r="B657" s="453" t="s">
        <v>886</v>
      </c>
      <c r="C657" s="454" t="s">
        <v>1100</v>
      </c>
      <c r="D657" s="141">
        <v>0</v>
      </c>
      <c r="E657" s="309">
        <v>0</v>
      </c>
      <c r="F657" s="141">
        <v>0</v>
      </c>
      <c r="G657" s="141">
        <v>0</v>
      </c>
      <c r="H657" s="147">
        <v>0</v>
      </c>
      <c r="I657" s="495">
        <f t="shared" si="34"/>
        <v>0</v>
      </c>
    </row>
    <row r="658" spans="1:9" x14ac:dyDescent="0.15">
      <c r="A658" s="135"/>
      <c r="B658" s="453" t="s">
        <v>116</v>
      </c>
      <c r="C658" s="454" t="s">
        <v>1105</v>
      </c>
      <c r="D658" s="141">
        <v>0</v>
      </c>
      <c r="E658" s="309">
        <v>0</v>
      </c>
      <c r="F658" s="141">
        <v>0</v>
      </c>
      <c r="G658" s="141">
        <v>0</v>
      </c>
      <c r="H658" s="147">
        <v>0</v>
      </c>
      <c r="I658" s="495">
        <f t="shared" si="34"/>
        <v>0</v>
      </c>
    </row>
    <row r="659" spans="1:9" x14ac:dyDescent="0.15">
      <c r="A659" s="135"/>
      <c r="B659" s="453" t="s">
        <v>1139</v>
      </c>
      <c r="C659" s="454" t="s">
        <v>209</v>
      </c>
      <c r="D659" s="141">
        <v>0</v>
      </c>
      <c r="E659" s="309">
        <v>0</v>
      </c>
      <c r="F659" s="141">
        <v>0</v>
      </c>
      <c r="G659" s="141">
        <v>0</v>
      </c>
      <c r="H659" s="147">
        <v>0</v>
      </c>
      <c r="I659" s="495">
        <f t="shared" si="34"/>
        <v>0</v>
      </c>
    </row>
    <row r="660" spans="1:9" x14ac:dyDescent="0.15">
      <c r="A660" s="135"/>
      <c r="B660" s="453" t="s">
        <v>112</v>
      </c>
      <c r="C660" s="454" t="s">
        <v>1110</v>
      </c>
      <c r="D660" s="141">
        <v>0</v>
      </c>
      <c r="E660" s="309">
        <v>0</v>
      </c>
      <c r="F660" s="141">
        <v>0</v>
      </c>
      <c r="G660" s="141">
        <v>0</v>
      </c>
      <c r="H660" s="147">
        <v>0</v>
      </c>
      <c r="I660" s="495">
        <f t="shared" si="34"/>
        <v>0</v>
      </c>
    </row>
    <row r="661" spans="1:9" x14ac:dyDescent="0.15">
      <c r="A661" s="135"/>
      <c r="B661" s="453" t="s">
        <v>887</v>
      </c>
      <c r="C661" s="454" t="s">
        <v>1116</v>
      </c>
      <c r="D661" s="141">
        <v>0</v>
      </c>
      <c r="E661" s="309">
        <v>0</v>
      </c>
      <c r="F661" s="141">
        <v>0</v>
      </c>
      <c r="G661" s="141">
        <v>0</v>
      </c>
      <c r="H661" s="147">
        <v>0</v>
      </c>
      <c r="I661" s="495">
        <f t="shared" si="34"/>
        <v>0</v>
      </c>
    </row>
    <row r="662" spans="1:9" x14ac:dyDescent="0.15">
      <c r="A662" s="135"/>
      <c r="B662" s="453" t="s">
        <v>1112</v>
      </c>
      <c r="C662" s="454" t="s">
        <v>1117</v>
      </c>
      <c r="D662" s="141">
        <v>0</v>
      </c>
      <c r="E662" s="309">
        <v>0</v>
      </c>
      <c r="F662" s="141">
        <v>0</v>
      </c>
      <c r="G662" s="141">
        <v>0</v>
      </c>
      <c r="H662" s="147">
        <v>0</v>
      </c>
      <c r="I662" s="495">
        <f t="shared" si="34"/>
        <v>0</v>
      </c>
    </row>
    <row r="663" spans="1:9" x14ac:dyDescent="0.15">
      <c r="A663" s="135"/>
      <c r="B663" s="453" t="s">
        <v>1113</v>
      </c>
      <c r="C663" s="454" t="s">
        <v>1118</v>
      </c>
      <c r="D663" s="141">
        <v>0</v>
      </c>
      <c r="E663" s="309">
        <v>0</v>
      </c>
      <c r="F663" s="141">
        <v>0</v>
      </c>
      <c r="G663" s="141">
        <v>0</v>
      </c>
      <c r="H663" s="147">
        <v>0</v>
      </c>
      <c r="I663" s="495">
        <f t="shared" si="34"/>
        <v>0</v>
      </c>
    </row>
    <row r="664" spans="1:9" ht="11.25" thickBot="1" x14ac:dyDescent="0.2">
      <c r="A664" s="135"/>
      <c r="B664" s="453" t="s">
        <v>1114</v>
      </c>
      <c r="C664" s="454" t="s">
        <v>1119</v>
      </c>
      <c r="D664" s="141">
        <v>0</v>
      </c>
      <c r="E664" s="309">
        <v>0</v>
      </c>
      <c r="F664" s="141">
        <v>0</v>
      </c>
      <c r="G664" s="141">
        <v>0</v>
      </c>
      <c r="H664" s="147">
        <v>0</v>
      </c>
      <c r="I664" s="495">
        <f>SUM(G664+H664)</f>
        <v>0</v>
      </c>
    </row>
    <row r="665" spans="1:9" ht="12" thickTop="1" thickBot="1" x14ac:dyDescent="0.2">
      <c r="A665" s="135"/>
      <c r="B665" s="453"/>
      <c r="C665" s="454" t="s">
        <v>1084</v>
      </c>
      <c r="D665" s="166">
        <f>SUM(D630:D664)</f>
        <v>0</v>
      </c>
      <c r="E665" s="297">
        <f>SUM(E630:E664)</f>
        <v>0</v>
      </c>
      <c r="F665" s="166">
        <f>SUM(F630:F664)</f>
        <v>0</v>
      </c>
      <c r="G665" s="166">
        <f>SUM(G630:G664)</f>
        <v>0</v>
      </c>
      <c r="H665" s="166">
        <f>SUM(H630:H664)</f>
        <v>0</v>
      </c>
      <c r="I665" s="166">
        <f>SUM(G665+H665)</f>
        <v>0</v>
      </c>
    </row>
    <row r="666" spans="1:9" ht="11.25" thickTop="1" x14ac:dyDescent="0.15">
      <c r="A666" s="135"/>
      <c r="B666" s="454"/>
      <c r="C666" s="454"/>
      <c r="D666" s="14"/>
      <c r="E666" s="301"/>
      <c r="F666" s="14"/>
      <c r="G666" s="14"/>
      <c r="H666" s="14"/>
      <c r="I666" s="491"/>
    </row>
    <row r="667" spans="1:9" x14ac:dyDescent="0.15">
      <c r="A667" s="452" t="s">
        <v>1085</v>
      </c>
      <c r="B667" s="454"/>
      <c r="C667" s="454"/>
      <c r="D667" s="14"/>
      <c r="E667" s="301"/>
      <c r="F667" s="14"/>
      <c r="G667" s="14"/>
      <c r="H667" s="14"/>
      <c r="I667" s="491"/>
    </row>
    <row r="668" spans="1:9" hidden="1" x14ac:dyDescent="0.15">
      <c r="A668" s="416"/>
      <c r="B668" s="453" t="s">
        <v>880</v>
      </c>
      <c r="C668" s="454" t="s">
        <v>1164</v>
      </c>
      <c r="D668" s="308">
        <v>0</v>
      </c>
      <c r="E668" s="308">
        <v>0</v>
      </c>
      <c r="F668" s="308">
        <v>0</v>
      </c>
      <c r="G668" s="458"/>
      <c r="H668" s="457">
        <v>0</v>
      </c>
      <c r="I668" s="494">
        <f>SUM(G668+H668)</f>
        <v>0</v>
      </c>
    </row>
    <row r="669" spans="1:9" x14ac:dyDescent="0.15">
      <c r="A669" s="416"/>
      <c r="B669" s="453" t="s">
        <v>880</v>
      </c>
      <c r="C669" s="454" t="s">
        <v>337</v>
      </c>
      <c r="D669" s="308">
        <v>0</v>
      </c>
      <c r="E669" s="308">
        <v>0</v>
      </c>
      <c r="F669" s="308">
        <v>0</v>
      </c>
      <c r="G669" s="308">
        <v>0</v>
      </c>
      <c r="H669" s="457">
        <v>0</v>
      </c>
      <c r="I669" s="494">
        <f>SUM(G669+H669)</f>
        <v>0</v>
      </c>
    </row>
    <row r="670" spans="1:9" hidden="1" x14ac:dyDescent="0.15">
      <c r="A670" s="454"/>
      <c r="B670" s="453" t="s">
        <v>881</v>
      </c>
      <c r="C670" s="454" t="s">
        <v>382</v>
      </c>
      <c r="D670" s="308">
        <v>0</v>
      </c>
      <c r="E670" s="308">
        <v>0</v>
      </c>
      <c r="F670" s="308">
        <v>0</v>
      </c>
      <c r="G670" s="459"/>
      <c r="H670" s="457">
        <v>0</v>
      </c>
      <c r="I670" s="494">
        <f>SUM(G670+H670)</f>
        <v>0</v>
      </c>
    </row>
    <row r="671" spans="1:9" x14ac:dyDescent="0.15">
      <c r="A671" s="135"/>
      <c r="B671" s="451" t="s">
        <v>881</v>
      </c>
      <c r="C671" s="135" t="s">
        <v>338</v>
      </c>
      <c r="D671" s="144">
        <v>0</v>
      </c>
      <c r="E671" s="308">
        <v>0</v>
      </c>
      <c r="F671" s="144">
        <v>0</v>
      </c>
      <c r="G671" s="144">
        <v>0</v>
      </c>
      <c r="H671" s="147">
        <v>0</v>
      </c>
      <c r="I671" s="495">
        <f>SUM(G671+H671)</f>
        <v>0</v>
      </c>
    </row>
    <row r="672" spans="1:9" x14ac:dyDescent="0.15">
      <c r="A672" s="135"/>
      <c r="B672" s="453" t="s">
        <v>882</v>
      </c>
      <c r="C672" s="454" t="s">
        <v>1058</v>
      </c>
      <c r="D672" s="141">
        <v>0</v>
      </c>
      <c r="E672" s="309">
        <v>0</v>
      </c>
      <c r="F672" s="141">
        <v>0</v>
      </c>
      <c r="G672" s="285">
        <v>0</v>
      </c>
      <c r="H672" s="147">
        <v>0</v>
      </c>
      <c r="I672" s="495">
        <f t="shared" ref="I672:I702" si="36">SUM(G672+H672)</f>
        <v>0</v>
      </c>
    </row>
    <row r="673" spans="1:9" x14ac:dyDescent="0.15">
      <c r="A673" s="135"/>
      <c r="B673" s="453" t="s">
        <v>883</v>
      </c>
      <c r="C673" s="454" t="s">
        <v>1059</v>
      </c>
      <c r="D673" s="141">
        <v>0</v>
      </c>
      <c r="E673" s="309">
        <v>0</v>
      </c>
      <c r="F673" s="141">
        <v>0</v>
      </c>
      <c r="G673" s="285">
        <v>0</v>
      </c>
      <c r="H673" s="147">
        <v>0</v>
      </c>
      <c r="I673" s="495">
        <f t="shared" si="36"/>
        <v>0</v>
      </c>
    </row>
    <row r="674" spans="1:9" x14ac:dyDescent="0.15">
      <c r="A674" s="135"/>
      <c r="B674" s="453" t="s">
        <v>1060</v>
      </c>
      <c r="C674" s="454" t="s">
        <v>1061</v>
      </c>
      <c r="D674" s="141">
        <v>0</v>
      </c>
      <c r="E674" s="309">
        <v>0</v>
      </c>
      <c r="F674" s="141">
        <v>0</v>
      </c>
      <c r="G674" s="285">
        <v>0</v>
      </c>
      <c r="H674" s="147">
        <v>0</v>
      </c>
      <c r="I674" s="495">
        <f t="shared" si="36"/>
        <v>0</v>
      </c>
    </row>
    <row r="675" spans="1:9" x14ac:dyDescent="0.15">
      <c r="A675" s="135"/>
      <c r="B675" s="453" t="s">
        <v>1062</v>
      </c>
      <c r="C675" s="454" t="s">
        <v>1063</v>
      </c>
      <c r="D675" s="141">
        <v>0</v>
      </c>
      <c r="E675" s="309">
        <v>0</v>
      </c>
      <c r="F675" s="141">
        <v>0</v>
      </c>
      <c r="G675" s="285">
        <v>0</v>
      </c>
      <c r="H675" s="147">
        <v>0</v>
      </c>
      <c r="I675" s="495">
        <f t="shared" si="36"/>
        <v>0</v>
      </c>
    </row>
    <row r="676" spans="1:9" x14ac:dyDescent="0.15">
      <c r="A676" s="135"/>
      <c r="B676" s="453" t="s">
        <v>884</v>
      </c>
      <c r="C676" s="454" t="s">
        <v>1064</v>
      </c>
      <c r="D676" s="141">
        <v>0</v>
      </c>
      <c r="E676" s="309">
        <v>0</v>
      </c>
      <c r="F676" s="141">
        <v>0</v>
      </c>
      <c r="G676" s="285">
        <v>0</v>
      </c>
      <c r="H676" s="147">
        <v>0</v>
      </c>
      <c r="I676" s="495">
        <f t="shared" si="36"/>
        <v>0</v>
      </c>
    </row>
    <row r="677" spans="1:9" x14ac:dyDescent="0.15">
      <c r="A677" s="135"/>
      <c r="B677" s="453" t="s">
        <v>1067</v>
      </c>
      <c r="C677" s="454" t="s">
        <v>1074</v>
      </c>
      <c r="D677" s="141">
        <v>0</v>
      </c>
      <c r="E677" s="309">
        <v>0</v>
      </c>
      <c r="F677" s="141">
        <v>0</v>
      </c>
      <c r="G677" s="285">
        <v>0</v>
      </c>
      <c r="H677" s="147">
        <v>0</v>
      </c>
      <c r="I677" s="495">
        <f t="shared" si="36"/>
        <v>0</v>
      </c>
    </row>
    <row r="678" spans="1:9" x14ac:dyDescent="0.15">
      <c r="A678" s="135"/>
      <c r="B678" s="453" t="s">
        <v>1068</v>
      </c>
      <c r="C678" s="454" t="s">
        <v>1075</v>
      </c>
      <c r="D678" s="141">
        <v>0</v>
      </c>
      <c r="E678" s="309">
        <v>0</v>
      </c>
      <c r="F678" s="141">
        <v>0</v>
      </c>
      <c r="G678" s="285">
        <v>0</v>
      </c>
      <c r="H678" s="147">
        <v>0</v>
      </c>
      <c r="I678" s="495">
        <f t="shared" si="36"/>
        <v>0</v>
      </c>
    </row>
    <row r="679" spans="1:9" x14ac:dyDescent="0.15">
      <c r="A679" s="135"/>
      <c r="B679" s="453" t="s">
        <v>1072</v>
      </c>
      <c r="C679" s="454" t="s">
        <v>920</v>
      </c>
      <c r="D679" s="141">
        <v>0</v>
      </c>
      <c r="E679" s="309">
        <v>0</v>
      </c>
      <c r="F679" s="141">
        <v>0</v>
      </c>
      <c r="G679" s="285">
        <v>0</v>
      </c>
      <c r="H679" s="147">
        <v>0</v>
      </c>
      <c r="I679" s="495">
        <f t="shared" si="36"/>
        <v>0</v>
      </c>
    </row>
    <row r="680" spans="1:9" x14ac:dyDescent="0.15">
      <c r="A680" s="135"/>
      <c r="B680" s="717" t="s">
        <v>155</v>
      </c>
      <c r="C680" s="706" t="s">
        <v>178</v>
      </c>
      <c r="D680" s="141">
        <v>0</v>
      </c>
      <c r="E680" s="309">
        <v>0</v>
      </c>
      <c r="F680" s="141">
        <v>0</v>
      </c>
      <c r="G680" s="285">
        <v>0</v>
      </c>
      <c r="H680" s="147">
        <v>0</v>
      </c>
      <c r="I680" s="495">
        <f t="shared" ref="I680" si="37">SUM(G680+H680)</f>
        <v>0</v>
      </c>
    </row>
    <row r="681" spans="1:9" x14ac:dyDescent="0.15">
      <c r="A681" s="135"/>
      <c r="B681" s="453" t="s">
        <v>921</v>
      </c>
      <c r="C681" s="454" t="s">
        <v>955</v>
      </c>
      <c r="D681" s="141">
        <v>0</v>
      </c>
      <c r="E681" s="309">
        <v>0</v>
      </c>
      <c r="F681" s="141">
        <v>0</v>
      </c>
      <c r="G681" s="285">
        <v>0</v>
      </c>
      <c r="H681" s="147">
        <v>0</v>
      </c>
      <c r="I681" s="495">
        <f t="shared" si="36"/>
        <v>0</v>
      </c>
    </row>
    <row r="682" spans="1:9" x14ac:dyDescent="0.15">
      <c r="A682" s="135"/>
      <c r="B682" s="453" t="s">
        <v>922</v>
      </c>
      <c r="C682" s="454" t="s">
        <v>956</v>
      </c>
      <c r="D682" s="141">
        <v>0</v>
      </c>
      <c r="E682" s="309">
        <v>0</v>
      </c>
      <c r="F682" s="141">
        <v>0</v>
      </c>
      <c r="G682" s="285">
        <v>0</v>
      </c>
      <c r="H682" s="147">
        <v>0</v>
      </c>
      <c r="I682" s="495">
        <f t="shared" si="36"/>
        <v>0</v>
      </c>
    </row>
    <row r="683" spans="1:9" x14ac:dyDescent="0.15">
      <c r="A683" s="135"/>
      <c r="B683" s="453" t="s">
        <v>923</v>
      </c>
      <c r="C683" s="454" t="s">
        <v>957</v>
      </c>
      <c r="D683" s="141">
        <v>0</v>
      </c>
      <c r="E683" s="309">
        <v>0</v>
      </c>
      <c r="F683" s="141">
        <v>0</v>
      </c>
      <c r="G683" s="285">
        <v>0</v>
      </c>
      <c r="H683" s="147">
        <v>0</v>
      </c>
      <c r="I683" s="495">
        <f t="shared" si="36"/>
        <v>0</v>
      </c>
    </row>
    <row r="684" spans="1:9" x14ac:dyDescent="0.15">
      <c r="A684" s="135"/>
      <c r="B684" s="453" t="s">
        <v>924</v>
      </c>
      <c r="C684" s="454" t="s">
        <v>958</v>
      </c>
      <c r="D684" s="141">
        <v>0</v>
      </c>
      <c r="E684" s="309">
        <v>0</v>
      </c>
      <c r="F684" s="141">
        <v>0</v>
      </c>
      <c r="G684" s="285">
        <v>0</v>
      </c>
      <c r="H684" s="147">
        <v>0</v>
      </c>
      <c r="I684" s="495">
        <f t="shared" si="36"/>
        <v>0</v>
      </c>
    </row>
    <row r="685" spans="1:9" x14ac:dyDescent="0.15">
      <c r="A685" s="135"/>
      <c r="B685" s="453" t="s">
        <v>925</v>
      </c>
      <c r="C685" s="454" t="s">
        <v>1128</v>
      </c>
      <c r="D685" s="141">
        <v>0</v>
      </c>
      <c r="E685" s="309">
        <v>0</v>
      </c>
      <c r="F685" s="141">
        <v>0</v>
      </c>
      <c r="G685" s="285">
        <v>0</v>
      </c>
      <c r="H685" s="147">
        <v>0</v>
      </c>
      <c r="I685" s="495">
        <f t="shared" si="36"/>
        <v>0</v>
      </c>
    </row>
    <row r="686" spans="1:9" x14ac:dyDescent="0.15">
      <c r="A686" s="135"/>
      <c r="B686" s="453" t="s">
        <v>926</v>
      </c>
      <c r="C686" s="454" t="s">
        <v>1129</v>
      </c>
      <c r="D686" s="141">
        <v>0</v>
      </c>
      <c r="E686" s="309">
        <v>0</v>
      </c>
      <c r="F686" s="141">
        <v>0</v>
      </c>
      <c r="G686" s="285">
        <v>0</v>
      </c>
      <c r="H686" s="147">
        <v>0</v>
      </c>
      <c r="I686" s="495">
        <f t="shared" si="36"/>
        <v>0</v>
      </c>
    </row>
    <row r="687" spans="1:9" x14ac:dyDescent="0.15">
      <c r="A687" s="135"/>
      <c r="B687" s="453" t="s">
        <v>927</v>
      </c>
      <c r="C687" s="454" t="s">
        <v>959</v>
      </c>
      <c r="D687" s="141">
        <v>0</v>
      </c>
      <c r="E687" s="309">
        <v>0</v>
      </c>
      <c r="F687" s="141">
        <v>0</v>
      </c>
      <c r="G687" s="285">
        <v>0</v>
      </c>
      <c r="H687" s="147">
        <v>0</v>
      </c>
      <c r="I687" s="495">
        <f t="shared" si="36"/>
        <v>0</v>
      </c>
    </row>
    <row r="688" spans="1:9" x14ac:dyDescent="0.15">
      <c r="A688" s="135"/>
      <c r="B688" s="453" t="s">
        <v>928</v>
      </c>
      <c r="C688" s="454" t="s">
        <v>961</v>
      </c>
      <c r="D688" s="141">
        <v>0</v>
      </c>
      <c r="E688" s="309">
        <v>0</v>
      </c>
      <c r="F688" s="141">
        <v>0</v>
      </c>
      <c r="G688" s="285">
        <v>0</v>
      </c>
      <c r="H688" s="147">
        <v>0</v>
      </c>
      <c r="I688" s="495">
        <f t="shared" si="36"/>
        <v>0</v>
      </c>
    </row>
    <row r="689" spans="1:9" x14ac:dyDescent="0.15">
      <c r="A689" s="135"/>
      <c r="B689" s="453" t="s">
        <v>962</v>
      </c>
      <c r="C689" s="454" t="s">
        <v>967</v>
      </c>
      <c r="D689" s="141">
        <v>0</v>
      </c>
      <c r="E689" s="309">
        <v>0</v>
      </c>
      <c r="F689" s="141">
        <v>0</v>
      </c>
      <c r="G689" s="285">
        <v>0</v>
      </c>
      <c r="H689" s="147">
        <v>0</v>
      </c>
      <c r="I689" s="495">
        <f t="shared" si="36"/>
        <v>0</v>
      </c>
    </row>
    <row r="690" spans="1:9" x14ac:dyDescent="0.15">
      <c r="A690" s="135"/>
      <c r="B690" s="453" t="s">
        <v>963</v>
      </c>
      <c r="C690" s="454" t="s">
        <v>1093</v>
      </c>
      <c r="D690" s="141">
        <v>0</v>
      </c>
      <c r="E690" s="309">
        <v>0</v>
      </c>
      <c r="F690" s="141">
        <v>0</v>
      </c>
      <c r="G690" s="285">
        <v>0</v>
      </c>
      <c r="H690" s="147">
        <v>0</v>
      </c>
      <c r="I690" s="495">
        <f t="shared" si="36"/>
        <v>0</v>
      </c>
    </row>
    <row r="691" spans="1:9" x14ac:dyDescent="0.15">
      <c r="A691" s="135"/>
      <c r="B691" s="453" t="s">
        <v>964</v>
      </c>
      <c r="C691" s="454" t="s">
        <v>1094</v>
      </c>
      <c r="D691" s="141">
        <v>0</v>
      </c>
      <c r="E691" s="309">
        <v>0</v>
      </c>
      <c r="F691" s="141">
        <v>0</v>
      </c>
      <c r="G691" s="285">
        <v>0</v>
      </c>
      <c r="H691" s="147">
        <v>0</v>
      </c>
      <c r="I691" s="495">
        <f t="shared" si="36"/>
        <v>0</v>
      </c>
    </row>
    <row r="692" spans="1:9" x14ac:dyDescent="0.15">
      <c r="A692" s="135"/>
      <c r="B692" s="453" t="s">
        <v>965</v>
      </c>
      <c r="C692" s="454" t="s">
        <v>1095</v>
      </c>
      <c r="D692" s="141">
        <v>0</v>
      </c>
      <c r="E692" s="309">
        <v>0</v>
      </c>
      <c r="F692" s="141">
        <v>0</v>
      </c>
      <c r="G692" s="285">
        <v>0</v>
      </c>
      <c r="H692" s="147">
        <v>0</v>
      </c>
      <c r="I692" s="495">
        <f t="shared" si="36"/>
        <v>0</v>
      </c>
    </row>
    <row r="693" spans="1:9" x14ac:dyDescent="0.15">
      <c r="A693" s="135"/>
      <c r="B693" s="453" t="s">
        <v>885</v>
      </c>
      <c r="C693" s="454" t="s">
        <v>1096</v>
      </c>
      <c r="D693" s="141">
        <v>0</v>
      </c>
      <c r="E693" s="309">
        <v>0</v>
      </c>
      <c r="F693" s="141">
        <v>0</v>
      </c>
      <c r="G693" s="285">
        <v>0</v>
      </c>
      <c r="H693" s="147">
        <v>0</v>
      </c>
      <c r="I693" s="495">
        <f t="shared" si="36"/>
        <v>0</v>
      </c>
    </row>
    <row r="694" spans="1:9" x14ac:dyDescent="0.15">
      <c r="A694" s="135"/>
      <c r="B694" s="453" t="s">
        <v>966</v>
      </c>
      <c r="C694" s="454" t="s">
        <v>1097</v>
      </c>
      <c r="D694" s="141">
        <v>0</v>
      </c>
      <c r="E694" s="309">
        <v>0</v>
      </c>
      <c r="F694" s="141">
        <v>0</v>
      </c>
      <c r="G694" s="285">
        <v>0</v>
      </c>
      <c r="H694" s="147">
        <v>0</v>
      </c>
      <c r="I694" s="495">
        <f t="shared" si="36"/>
        <v>0</v>
      </c>
    </row>
    <row r="695" spans="1:9" x14ac:dyDescent="0.15">
      <c r="A695" s="135"/>
      <c r="B695" s="453" t="s">
        <v>886</v>
      </c>
      <c r="C695" s="454" t="s">
        <v>1100</v>
      </c>
      <c r="D695" s="141">
        <v>0</v>
      </c>
      <c r="E695" s="309">
        <v>0</v>
      </c>
      <c r="F695" s="141">
        <v>0</v>
      </c>
      <c r="G695" s="285">
        <v>0</v>
      </c>
      <c r="H695" s="147">
        <v>0</v>
      </c>
      <c r="I695" s="495">
        <f t="shared" si="36"/>
        <v>0</v>
      </c>
    </row>
    <row r="696" spans="1:9" x14ac:dyDescent="0.15">
      <c r="A696" s="135"/>
      <c r="B696" s="453" t="s">
        <v>116</v>
      </c>
      <c r="C696" s="454" t="s">
        <v>1105</v>
      </c>
      <c r="D696" s="141">
        <v>0</v>
      </c>
      <c r="E696" s="309">
        <v>0</v>
      </c>
      <c r="F696" s="141">
        <v>0</v>
      </c>
      <c r="G696" s="285">
        <v>0</v>
      </c>
      <c r="H696" s="147">
        <v>0</v>
      </c>
      <c r="I696" s="495">
        <f t="shared" si="36"/>
        <v>0</v>
      </c>
    </row>
    <row r="697" spans="1:9" x14ac:dyDescent="0.15">
      <c r="A697" s="135"/>
      <c r="B697" s="453" t="s">
        <v>112</v>
      </c>
      <c r="C697" s="454" t="s">
        <v>1110</v>
      </c>
      <c r="D697" s="141">
        <v>0</v>
      </c>
      <c r="E697" s="309">
        <v>0</v>
      </c>
      <c r="F697" s="141">
        <v>0</v>
      </c>
      <c r="G697" s="285">
        <v>0</v>
      </c>
      <c r="H697" s="147">
        <v>0</v>
      </c>
      <c r="I697" s="495">
        <f t="shared" si="36"/>
        <v>0</v>
      </c>
    </row>
    <row r="698" spans="1:9" x14ac:dyDescent="0.15">
      <c r="A698" s="135"/>
      <c r="B698" s="453" t="s">
        <v>887</v>
      </c>
      <c r="C698" s="454" t="s">
        <v>1116</v>
      </c>
      <c r="D698" s="141">
        <v>0</v>
      </c>
      <c r="E698" s="309">
        <v>0</v>
      </c>
      <c r="F698" s="141">
        <v>0</v>
      </c>
      <c r="G698" s="285">
        <v>0</v>
      </c>
      <c r="H698" s="147">
        <v>0</v>
      </c>
      <c r="I698" s="495">
        <f t="shared" si="36"/>
        <v>0</v>
      </c>
    </row>
    <row r="699" spans="1:9" x14ac:dyDescent="0.15">
      <c r="A699" s="135"/>
      <c r="B699" s="453" t="s">
        <v>1112</v>
      </c>
      <c r="C699" s="454" t="s">
        <v>1117</v>
      </c>
      <c r="D699" s="141">
        <v>0</v>
      </c>
      <c r="E699" s="309">
        <v>0</v>
      </c>
      <c r="F699" s="141">
        <v>0</v>
      </c>
      <c r="G699" s="285">
        <v>0</v>
      </c>
      <c r="H699" s="147">
        <v>0</v>
      </c>
      <c r="I699" s="495">
        <f t="shared" si="36"/>
        <v>0</v>
      </c>
    </row>
    <row r="700" spans="1:9" x14ac:dyDescent="0.15">
      <c r="A700" s="135"/>
      <c r="B700" s="453" t="s">
        <v>1113</v>
      </c>
      <c r="C700" s="454" t="s">
        <v>1118</v>
      </c>
      <c r="D700" s="141">
        <v>0</v>
      </c>
      <c r="E700" s="309">
        <v>0</v>
      </c>
      <c r="F700" s="141">
        <v>0</v>
      </c>
      <c r="G700" s="285">
        <v>0</v>
      </c>
      <c r="H700" s="147">
        <v>0</v>
      </c>
      <c r="I700" s="495">
        <f t="shared" si="36"/>
        <v>0</v>
      </c>
    </row>
    <row r="701" spans="1:9" ht="11.25" thickBot="1" x14ac:dyDescent="0.2">
      <c r="A701" s="135"/>
      <c r="B701" s="453" t="s">
        <v>1114</v>
      </c>
      <c r="C701" s="454" t="s">
        <v>1119</v>
      </c>
      <c r="D701" s="141">
        <v>0</v>
      </c>
      <c r="E701" s="309">
        <v>0</v>
      </c>
      <c r="F701" s="141">
        <v>0</v>
      </c>
      <c r="G701" s="285">
        <v>0</v>
      </c>
      <c r="H701" s="147">
        <v>0</v>
      </c>
      <c r="I701" s="495">
        <f t="shared" si="36"/>
        <v>0</v>
      </c>
    </row>
    <row r="702" spans="1:9" ht="12" thickTop="1" thickBot="1" x14ac:dyDescent="0.2">
      <c r="A702" s="135"/>
      <c r="B702" s="453"/>
      <c r="C702" s="454" t="s">
        <v>1086</v>
      </c>
      <c r="D702" s="166">
        <f>SUM(D668:D701)</f>
        <v>0</v>
      </c>
      <c r="E702" s="297">
        <f>SUM(E668:E701)</f>
        <v>0</v>
      </c>
      <c r="F702" s="166">
        <f>SUM(F668:F701)</f>
        <v>0</v>
      </c>
      <c r="G702" s="166">
        <f>SUM(G668:G701)</f>
        <v>0</v>
      </c>
      <c r="H702" s="166">
        <f>SUM(H668:H701)</f>
        <v>0</v>
      </c>
      <c r="I702" s="166">
        <f t="shared" si="36"/>
        <v>0</v>
      </c>
    </row>
    <row r="703" spans="1:9" ht="11.25" thickTop="1" x14ac:dyDescent="0.15">
      <c r="A703" s="135"/>
      <c r="B703" s="454"/>
      <c r="C703" s="454"/>
      <c r="D703" s="14"/>
      <c r="E703" s="301"/>
      <c r="F703" s="14"/>
      <c r="G703" s="14"/>
      <c r="H703" s="14"/>
      <c r="I703" s="491"/>
    </row>
    <row r="704" spans="1:9" x14ac:dyDescent="0.15">
      <c r="A704" s="452" t="s">
        <v>1241</v>
      </c>
      <c r="B704" s="454"/>
      <c r="C704" s="454"/>
      <c r="D704" s="14"/>
      <c r="E704" s="301"/>
      <c r="F704" s="14"/>
      <c r="G704" s="14"/>
      <c r="H704" s="14"/>
      <c r="I704" s="491"/>
    </row>
    <row r="705" spans="1:9" hidden="1" x14ac:dyDescent="0.15">
      <c r="A705" s="416"/>
      <c r="B705" s="453" t="s">
        <v>880</v>
      </c>
      <c r="C705" s="454" t="s">
        <v>1164</v>
      </c>
      <c r="D705" s="308">
        <v>0</v>
      </c>
      <c r="E705" s="308">
        <v>0</v>
      </c>
      <c r="F705" s="308">
        <v>0</v>
      </c>
      <c r="G705" s="458"/>
      <c r="H705" s="457">
        <v>0</v>
      </c>
      <c r="I705" s="494">
        <f>SUM(G705+H705)</f>
        <v>0</v>
      </c>
    </row>
    <row r="706" spans="1:9" x14ac:dyDescent="0.15">
      <c r="A706" s="416"/>
      <c r="B706" s="453" t="s">
        <v>880</v>
      </c>
      <c r="C706" s="454" t="s">
        <v>337</v>
      </c>
      <c r="D706" s="308">
        <v>0</v>
      </c>
      <c r="E706" s="308">
        <v>0</v>
      </c>
      <c r="F706" s="308">
        <v>0</v>
      </c>
      <c r="G706" s="308">
        <v>0</v>
      </c>
      <c r="H706" s="457">
        <v>0</v>
      </c>
      <c r="I706" s="494">
        <f>SUM(G706+H706)</f>
        <v>0</v>
      </c>
    </row>
    <row r="707" spans="1:9" hidden="1" x14ac:dyDescent="0.15">
      <c r="A707" s="454"/>
      <c r="B707" s="453" t="s">
        <v>881</v>
      </c>
      <c r="C707" s="454" t="s">
        <v>382</v>
      </c>
      <c r="D707" s="308">
        <v>0</v>
      </c>
      <c r="E707" s="308">
        <v>0</v>
      </c>
      <c r="F707" s="308">
        <v>0</v>
      </c>
      <c r="G707" s="459"/>
      <c r="H707" s="457">
        <v>0</v>
      </c>
      <c r="I707" s="494">
        <f>SUM(G707+H707)</f>
        <v>0</v>
      </c>
    </row>
    <row r="708" spans="1:9" x14ac:dyDescent="0.15">
      <c r="A708" s="135"/>
      <c r="B708" s="451" t="s">
        <v>881</v>
      </c>
      <c r="C708" s="135" t="s">
        <v>338</v>
      </c>
      <c r="D708" s="144">
        <v>0</v>
      </c>
      <c r="E708" s="308">
        <v>0</v>
      </c>
      <c r="F708" s="144">
        <v>0</v>
      </c>
      <c r="G708" s="144">
        <v>0</v>
      </c>
      <c r="H708" s="147">
        <v>0</v>
      </c>
      <c r="I708" s="495">
        <f>SUM(G708+H708)</f>
        <v>0</v>
      </c>
    </row>
    <row r="709" spans="1:9" x14ac:dyDescent="0.15">
      <c r="A709" s="135"/>
      <c r="B709" s="453" t="s">
        <v>882</v>
      </c>
      <c r="C709" s="454" t="s">
        <v>1058</v>
      </c>
      <c r="D709" s="141">
        <v>0</v>
      </c>
      <c r="E709" s="309">
        <v>0</v>
      </c>
      <c r="F709" s="141">
        <v>0</v>
      </c>
      <c r="G709" s="285">
        <v>0</v>
      </c>
      <c r="H709" s="147">
        <v>0</v>
      </c>
      <c r="I709" s="495">
        <f t="shared" ref="I709:I739" si="38">SUM(G709+H709)</f>
        <v>0</v>
      </c>
    </row>
    <row r="710" spans="1:9" x14ac:dyDescent="0.15">
      <c r="A710" s="135"/>
      <c r="B710" s="453" t="s">
        <v>883</v>
      </c>
      <c r="C710" s="454" t="s">
        <v>1059</v>
      </c>
      <c r="D710" s="141">
        <v>0</v>
      </c>
      <c r="E710" s="309">
        <v>0</v>
      </c>
      <c r="F710" s="141">
        <v>0</v>
      </c>
      <c r="G710" s="285">
        <v>0</v>
      </c>
      <c r="H710" s="147">
        <v>0</v>
      </c>
      <c r="I710" s="495">
        <f t="shared" si="38"/>
        <v>0</v>
      </c>
    </row>
    <row r="711" spans="1:9" x14ac:dyDescent="0.15">
      <c r="A711" s="135"/>
      <c r="B711" s="453" t="s">
        <v>1060</v>
      </c>
      <c r="C711" s="454" t="s">
        <v>1061</v>
      </c>
      <c r="D711" s="141">
        <v>0</v>
      </c>
      <c r="E711" s="309">
        <v>0</v>
      </c>
      <c r="F711" s="141">
        <v>0</v>
      </c>
      <c r="G711" s="285">
        <v>0</v>
      </c>
      <c r="H711" s="147">
        <v>0</v>
      </c>
      <c r="I711" s="495">
        <f t="shared" si="38"/>
        <v>0</v>
      </c>
    </row>
    <row r="712" spans="1:9" x14ac:dyDescent="0.15">
      <c r="A712" s="135"/>
      <c r="B712" s="453" t="s">
        <v>1062</v>
      </c>
      <c r="C712" s="454" t="s">
        <v>1063</v>
      </c>
      <c r="D712" s="141">
        <v>0</v>
      </c>
      <c r="E712" s="309">
        <v>0</v>
      </c>
      <c r="F712" s="141">
        <v>0</v>
      </c>
      <c r="G712" s="285">
        <v>0</v>
      </c>
      <c r="H712" s="147">
        <v>0</v>
      </c>
      <c r="I712" s="495">
        <f t="shared" si="38"/>
        <v>0</v>
      </c>
    </row>
    <row r="713" spans="1:9" x14ac:dyDescent="0.15">
      <c r="A713" s="135"/>
      <c r="B713" s="453" t="s">
        <v>884</v>
      </c>
      <c r="C713" s="454" t="s">
        <v>1064</v>
      </c>
      <c r="D713" s="141">
        <v>0</v>
      </c>
      <c r="E713" s="309">
        <v>0</v>
      </c>
      <c r="F713" s="141">
        <v>0</v>
      </c>
      <c r="G713" s="285">
        <v>0</v>
      </c>
      <c r="H713" s="147">
        <v>0</v>
      </c>
      <c r="I713" s="495">
        <f t="shared" si="38"/>
        <v>0</v>
      </c>
    </row>
    <row r="714" spans="1:9" x14ac:dyDescent="0.15">
      <c r="A714" s="135"/>
      <c r="B714" s="453" t="s">
        <v>1067</v>
      </c>
      <c r="C714" s="454" t="s">
        <v>1074</v>
      </c>
      <c r="D714" s="141">
        <v>0</v>
      </c>
      <c r="E714" s="309">
        <v>0</v>
      </c>
      <c r="F714" s="141">
        <v>0</v>
      </c>
      <c r="G714" s="285">
        <v>0</v>
      </c>
      <c r="H714" s="147">
        <v>0</v>
      </c>
      <c r="I714" s="495">
        <f t="shared" si="38"/>
        <v>0</v>
      </c>
    </row>
    <row r="715" spans="1:9" x14ac:dyDescent="0.15">
      <c r="A715" s="135"/>
      <c r="B715" s="453" t="s">
        <v>1068</v>
      </c>
      <c r="C715" s="454" t="s">
        <v>1075</v>
      </c>
      <c r="D715" s="141">
        <v>0</v>
      </c>
      <c r="E715" s="309">
        <v>0</v>
      </c>
      <c r="F715" s="141">
        <v>0</v>
      </c>
      <c r="G715" s="285">
        <v>0</v>
      </c>
      <c r="H715" s="147">
        <v>0</v>
      </c>
      <c r="I715" s="495">
        <f t="shared" si="38"/>
        <v>0</v>
      </c>
    </row>
    <row r="716" spans="1:9" x14ac:dyDescent="0.15">
      <c r="A716" s="135"/>
      <c r="B716" s="453" t="s">
        <v>1072</v>
      </c>
      <c r="C716" s="454" t="s">
        <v>920</v>
      </c>
      <c r="D716" s="141">
        <v>0</v>
      </c>
      <c r="E716" s="309">
        <v>0</v>
      </c>
      <c r="F716" s="141">
        <v>0</v>
      </c>
      <c r="G716" s="285">
        <v>0</v>
      </c>
      <c r="H716" s="147">
        <v>0</v>
      </c>
      <c r="I716" s="495">
        <f t="shared" si="38"/>
        <v>0</v>
      </c>
    </row>
    <row r="717" spans="1:9" x14ac:dyDescent="0.15">
      <c r="A717" s="135"/>
      <c r="B717" s="717" t="s">
        <v>155</v>
      </c>
      <c r="C717" s="706" t="s">
        <v>178</v>
      </c>
      <c r="D717" s="141">
        <v>0</v>
      </c>
      <c r="E717" s="309">
        <v>0</v>
      </c>
      <c r="F717" s="141">
        <v>0</v>
      </c>
      <c r="G717" s="285">
        <v>0</v>
      </c>
      <c r="H717" s="147">
        <v>0</v>
      </c>
      <c r="I717" s="495">
        <f t="shared" ref="I717" si="39">SUM(G717+H717)</f>
        <v>0</v>
      </c>
    </row>
    <row r="718" spans="1:9" x14ac:dyDescent="0.15">
      <c r="A718" s="135"/>
      <c r="B718" s="453" t="s">
        <v>921</v>
      </c>
      <c r="C718" s="454" t="s">
        <v>955</v>
      </c>
      <c r="D718" s="141">
        <v>0</v>
      </c>
      <c r="E718" s="309">
        <v>0</v>
      </c>
      <c r="F718" s="141">
        <v>0</v>
      </c>
      <c r="G718" s="285">
        <v>0</v>
      </c>
      <c r="H718" s="147">
        <v>0</v>
      </c>
      <c r="I718" s="495">
        <f t="shared" si="38"/>
        <v>0</v>
      </c>
    </row>
    <row r="719" spans="1:9" x14ac:dyDescent="0.15">
      <c r="A719" s="135"/>
      <c r="B719" s="453" t="s">
        <v>922</v>
      </c>
      <c r="C719" s="454" t="s">
        <v>956</v>
      </c>
      <c r="D719" s="141">
        <v>0</v>
      </c>
      <c r="E719" s="309">
        <v>0</v>
      </c>
      <c r="F719" s="141">
        <v>0</v>
      </c>
      <c r="G719" s="285">
        <v>0</v>
      </c>
      <c r="H719" s="147">
        <v>0</v>
      </c>
      <c r="I719" s="495">
        <f t="shared" si="38"/>
        <v>0</v>
      </c>
    </row>
    <row r="720" spans="1:9" x14ac:dyDescent="0.15">
      <c r="A720" s="135"/>
      <c r="B720" s="453" t="s">
        <v>923</v>
      </c>
      <c r="C720" s="454" t="s">
        <v>957</v>
      </c>
      <c r="D720" s="141">
        <v>0</v>
      </c>
      <c r="E720" s="309">
        <v>0</v>
      </c>
      <c r="F720" s="141">
        <v>0</v>
      </c>
      <c r="G720" s="285">
        <v>0</v>
      </c>
      <c r="H720" s="147">
        <v>0</v>
      </c>
      <c r="I720" s="495">
        <f t="shared" si="38"/>
        <v>0</v>
      </c>
    </row>
    <row r="721" spans="1:9" x14ac:dyDescent="0.15">
      <c r="A721" s="135"/>
      <c r="B721" s="453" t="s">
        <v>924</v>
      </c>
      <c r="C721" s="454" t="s">
        <v>958</v>
      </c>
      <c r="D721" s="141">
        <v>0</v>
      </c>
      <c r="E721" s="309">
        <v>0</v>
      </c>
      <c r="F721" s="141">
        <v>0</v>
      </c>
      <c r="G721" s="285">
        <v>0</v>
      </c>
      <c r="H721" s="147">
        <v>0</v>
      </c>
      <c r="I721" s="495">
        <f t="shared" si="38"/>
        <v>0</v>
      </c>
    </row>
    <row r="722" spans="1:9" x14ac:dyDescent="0.15">
      <c r="A722" s="135"/>
      <c r="B722" s="453" t="s">
        <v>925</v>
      </c>
      <c r="C722" s="454" t="s">
        <v>1128</v>
      </c>
      <c r="D722" s="141">
        <v>0</v>
      </c>
      <c r="E722" s="309">
        <v>0</v>
      </c>
      <c r="F722" s="141">
        <v>0</v>
      </c>
      <c r="G722" s="285">
        <v>0</v>
      </c>
      <c r="H722" s="147">
        <v>0</v>
      </c>
      <c r="I722" s="495">
        <f t="shared" si="38"/>
        <v>0</v>
      </c>
    </row>
    <row r="723" spans="1:9" x14ac:dyDescent="0.15">
      <c r="A723" s="135"/>
      <c r="B723" s="453" t="s">
        <v>926</v>
      </c>
      <c r="C723" s="454" t="s">
        <v>1129</v>
      </c>
      <c r="D723" s="141">
        <v>0</v>
      </c>
      <c r="E723" s="309">
        <v>0</v>
      </c>
      <c r="F723" s="141">
        <v>0</v>
      </c>
      <c r="G723" s="285">
        <v>0</v>
      </c>
      <c r="H723" s="147">
        <v>0</v>
      </c>
      <c r="I723" s="495">
        <f t="shared" si="38"/>
        <v>0</v>
      </c>
    </row>
    <row r="724" spans="1:9" x14ac:dyDescent="0.15">
      <c r="A724" s="135"/>
      <c r="B724" s="453" t="s">
        <v>927</v>
      </c>
      <c r="C724" s="454" t="s">
        <v>959</v>
      </c>
      <c r="D724" s="141">
        <v>0</v>
      </c>
      <c r="E724" s="309">
        <v>0</v>
      </c>
      <c r="F724" s="141">
        <v>0</v>
      </c>
      <c r="G724" s="285">
        <v>0</v>
      </c>
      <c r="H724" s="147">
        <v>0</v>
      </c>
      <c r="I724" s="495">
        <f t="shared" si="38"/>
        <v>0</v>
      </c>
    </row>
    <row r="725" spans="1:9" x14ac:dyDescent="0.15">
      <c r="A725" s="135"/>
      <c r="B725" s="453" t="s">
        <v>928</v>
      </c>
      <c r="C725" s="454" t="s">
        <v>961</v>
      </c>
      <c r="D725" s="141">
        <v>0</v>
      </c>
      <c r="E725" s="309">
        <v>0</v>
      </c>
      <c r="F725" s="141">
        <v>0</v>
      </c>
      <c r="G725" s="285">
        <v>0</v>
      </c>
      <c r="H725" s="147">
        <v>0</v>
      </c>
      <c r="I725" s="495">
        <f t="shared" si="38"/>
        <v>0</v>
      </c>
    </row>
    <row r="726" spans="1:9" x14ac:dyDescent="0.15">
      <c r="A726" s="135"/>
      <c r="B726" s="453" t="s">
        <v>962</v>
      </c>
      <c r="C726" s="454" t="s">
        <v>967</v>
      </c>
      <c r="D726" s="141">
        <v>0</v>
      </c>
      <c r="E726" s="309">
        <v>0</v>
      </c>
      <c r="F726" s="141">
        <v>0</v>
      </c>
      <c r="G726" s="285">
        <v>0</v>
      </c>
      <c r="H726" s="147">
        <v>0</v>
      </c>
      <c r="I726" s="495">
        <f t="shared" si="38"/>
        <v>0</v>
      </c>
    </row>
    <row r="727" spans="1:9" x14ac:dyDescent="0.15">
      <c r="A727" s="135"/>
      <c r="B727" s="453" t="s">
        <v>963</v>
      </c>
      <c r="C727" s="454" t="s">
        <v>1093</v>
      </c>
      <c r="D727" s="141">
        <v>0</v>
      </c>
      <c r="E727" s="309">
        <v>0</v>
      </c>
      <c r="F727" s="141">
        <v>0</v>
      </c>
      <c r="G727" s="285">
        <v>0</v>
      </c>
      <c r="H727" s="147">
        <v>0</v>
      </c>
      <c r="I727" s="495">
        <f t="shared" si="38"/>
        <v>0</v>
      </c>
    </row>
    <row r="728" spans="1:9" x14ac:dyDescent="0.15">
      <c r="A728" s="135"/>
      <c r="B728" s="453" t="s">
        <v>964</v>
      </c>
      <c r="C728" s="454" t="s">
        <v>1094</v>
      </c>
      <c r="D728" s="141">
        <v>0</v>
      </c>
      <c r="E728" s="309">
        <v>0</v>
      </c>
      <c r="F728" s="141">
        <v>0</v>
      </c>
      <c r="G728" s="285">
        <v>0</v>
      </c>
      <c r="H728" s="147">
        <v>0</v>
      </c>
      <c r="I728" s="495">
        <f t="shared" si="38"/>
        <v>0</v>
      </c>
    </row>
    <row r="729" spans="1:9" x14ac:dyDescent="0.15">
      <c r="A729" s="135"/>
      <c r="B729" s="453" t="s">
        <v>965</v>
      </c>
      <c r="C729" s="454" t="s">
        <v>1095</v>
      </c>
      <c r="D729" s="141">
        <v>0</v>
      </c>
      <c r="E729" s="309">
        <v>0</v>
      </c>
      <c r="F729" s="141">
        <v>0</v>
      </c>
      <c r="G729" s="285">
        <v>0</v>
      </c>
      <c r="H729" s="147">
        <v>0</v>
      </c>
      <c r="I729" s="495">
        <f t="shared" si="38"/>
        <v>0</v>
      </c>
    </row>
    <row r="730" spans="1:9" x14ac:dyDescent="0.15">
      <c r="A730" s="135"/>
      <c r="B730" s="453" t="s">
        <v>885</v>
      </c>
      <c r="C730" s="454" t="s">
        <v>1096</v>
      </c>
      <c r="D730" s="141">
        <v>0</v>
      </c>
      <c r="E730" s="309">
        <v>0</v>
      </c>
      <c r="F730" s="141">
        <v>0</v>
      </c>
      <c r="G730" s="285">
        <v>0</v>
      </c>
      <c r="H730" s="147">
        <v>0</v>
      </c>
      <c r="I730" s="495">
        <f t="shared" si="38"/>
        <v>0</v>
      </c>
    </row>
    <row r="731" spans="1:9" x14ac:dyDescent="0.15">
      <c r="A731" s="135"/>
      <c r="B731" s="453" t="s">
        <v>966</v>
      </c>
      <c r="C731" s="454" t="s">
        <v>1097</v>
      </c>
      <c r="D731" s="141">
        <v>0</v>
      </c>
      <c r="E731" s="309">
        <v>0</v>
      </c>
      <c r="F731" s="141">
        <v>0</v>
      </c>
      <c r="G731" s="285">
        <v>0</v>
      </c>
      <c r="H731" s="147">
        <v>0</v>
      </c>
      <c r="I731" s="495">
        <f t="shared" si="38"/>
        <v>0</v>
      </c>
    </row>
    <row r="732" spans="1:9" x14ac:dyDescent="0.15">
      <c r="A732" s="135"/>
      <c r="B732" s="453" t="s">
        <v>886</v>
      </c>
      <c r="C732" s="454" t="s">
        <v>1100</v>
      </c>
      <c r="D732" s="141">
        <v>0</v>
      </c>
      <c r="E732" s="309">
        <v>0</v>
      </c>
      <c r="F732" s="141">
        <v>0</v>
      </c>
      <c r="G732" s="285">
        <v>0</v>
      </c>
      <c r="H732" s="147">
        <v>0</v>
      </c>
      <c r="I732" s="495">
        <f t="shared" si="38"/>
        <v>0</v>
      </c>
    </row>
    <row r="733" spans="1:9" x14ac:dyDescent="0.15">
      <c r="A733" s="135"/>
      <c r="B733" s="453" t="s">
        <v>116</v>
      </c>
      <c r="C733" s="454" t="s">
        <v>1105</v>
      </c>
      <c r="D733" s="141">
        <v>0</v>
      </c>
      <c r="E733" s="309">
        <v>0</v>
      </c>
      <c r="F733" s="141">
        <v>0</v>
      </c>
      <c r="G733" s="285">
        <v>0</v>
      </c>
      <c r="H733" s="147">
        <v>0</v>
      </c>
      <c r="I733" s="495">
        <f t="shared" si="38"/>
        <v>0</v>
      </c>
    </row>
    <row r="734" spans="1:9" x14ac:dyDescent="0.15">
      <c r="A734" s="135"/>
      <c r="B734" s="453" t="s">
        <v>112</v>
      </c>
      <c r="C734" s="454" t="s">
        <v>1110</v>
      </c>
      <c r="D734" s="141">
        <v>0</v>
      </c>
      <c r="E734" s="309">
        <v>0</v>
      </c>
      <c r="F734" s="141">
        <v>0</v>
      </c>
      <c r="G734" s="285">
        <v>0</v>
      </c>
      <c r="H734" s="147">
        <v>0</v>
      </c>
      <c r="I734" s="495">
        <f t="shared" si="38"/>
        <v>0</v>
      </c>
    </row>
    <row r="735" spans="1:9" x14ac:dyDescent="0.15">
      <c r="A735" s="135"/>
      <c r="B735" s="453" t="s">
        <v>887</v>
      </c>
      <c r="C735" s="454" t="s">
        <v>1116</v>
      </c>
      <c r="D735" s="141">
        <v>0</v>
      </c>
      <c r="E735" s="309">
        <v>0</v>
      </c>
      <c r="F735" s="141">
        <v>0</v>
      </c>
      <c r="G735" s="285">
        <v>0</v>
      </c>
      <c r="H735" s="147">
        <v>0</v>
      </c>
      <c r="I735" s="495">
        <f t="shared" si="38"/>
        <v>0</v>
      </c>
    </row>
    <row r="736" spans="1:9" x14ac:dyDescent="0.15">
      <c r="A736" s="135"/>
      <c r="B736" s="453" t="s">
        <v>1112</v>
      </c>
      <c r="C736" s="454" t="s">
        <v>1117</v>
      </c>
      <c r="D736" s="141">
        <v>0</v>
      </c>
      <c r="E736" s="309">
        <v>0</v>
      </c>
      <c r="F736" s="141">
        <v>0</v>
      </c>
      <c r="G736" s="285">
        <v>0</v>
      </c>
      <c r="H736" s="147">
        <v>0</v>
      </c>
      <c r="I736" s="495">
        <f t="shared" si="38"/>
        <v>0</v>
      </c>
    </row>
    <row r="737" spans="1:9" x14ac:dyDescent="0.15">
      <c r="A737" s="135"/>
      <c r="B737" s="453" t="s">
        <v>1113</v>
      </c>
      <c r="C737" s="454" t="s">
        <v>1118</v>
      </c>
      <c r="D737" s="141">
        <v>0</v>
      </c>
      <c r="E737" s="309">
        <v>0</v>
      </c>
      <c r="F737" s="141">
        <v>0</v>
      </c>
      <c r="G737" s="285">
        <v>0</v>
      </c>
      <c r="H737" s="147">
        <v>0</v>
      </c>
      <c r="I737" s="495">
        <f t="shared" si="38"/>
        <v>0</v>
      </c>
    </row>
    <row r="738" spans="1:9" ht="11.25" thickBot="1" x14ac:dyDescent="0.2">
      <c r="A738" s="135"/>
      <c r="B738" s="453" t="s">
        <v>1114</v>
      </c>
      <c r="C738" s="454" t="s">
        <v>1119</v>
      </c>
      <c r="D738" s="141">
        <v>0</v>
      </c>
      <c r="E738" s="309">
        <v>0</v>
      </c>
      <c r="F738" s="141">
        <v>0</v>
      </c>
      <c r="G738" s="285">
        <v>0</v>
      </c>
      <c r="H738" s="147">
        <v>0</v>
      </c>
      <c r="I738" s="495">
        <f t="shared" si="38"/>
        <v>0</v>
      </c>
    </row>
    <row r="739" spans="1:9" ht="12" thickTop="1" thickBot="1" x14ac:dyDescent="0.2">
      <c r="A739" s="135"/>
      <c r="B739" s="453"/>
      <c r="C739" s="454" t="s">
        <v>1276</v>
      </c>
      <c r="D739" s="166">
        <f>SUM(D705:D738)</f>
        <v>0</v>
      </c>
      <c r="E739" s="297">
        <f>SUM(E705:E738)</f>
        <v>0</v>
      </c>
      <c r="F739" s="166">
        <f>SUM(F705:F738)</f>
        <v>0</v>
      </c>
      <c r="G739" s="166">
        <f>SUM(G705:G738)</f>
        <v>0</v>
      </c>
      <c r="H739" s="166">
        <f>SUM(H705:H738)</f>
        <v>0</v>
      </c>
      <c r="I739" s="166">
        <f t="shared" si="38"/>
        <v>0</v>
      </c>
    </row>
    <row r="740" spans="1:9" ht="11.25" thickTop="1" x14ac:dyDescent="0.15">
      <c r="A740" s="135"/>
      <c r="B740" s="454"/>
      <c r="C740" s="454"/>
      <c r="D740" s="14"/>
      <c r="E740" s="301"/>
      <c r="F740" s="14"/>
      <c r="G740" s="14"/>
      <c r="H740" s="14"/>
      <c r="I740" s="491"/>
    </row>
    <row r="741" spans="1:9" x14ac:dyDescent="0.15">
      <c r="A741" s="452" t="s">
        <v>1277</v>
      </c>
      <c r="B741" s="454"/>
      <c r="C741" s="454"/>
      <c r="D741" s="14"/>
      <c r="E741" s="301"/>
      <c r="F741" s="14"/>
      <c r="G741" s="14"/>
      <c r="H741" s="14"/>
      <c r="I741" s="491"/>
    </row>
    <row r="742" spans="1:9" hidden="1" x14ac:dyDescent="0.15">
      <c r="A742" s="416"/>
      <c r="B742" s="453" t="s">
        <v>880</v>
      </c>
      <c r="C742" s="454" t="s">
        <v>1164</v>
      </c>
      <c r="D742" s="308">
        <v>0</v>
      </c>
      <c r="E742" s="308">
        <v>0</v>
      </c>
      <c r="F742" s="308">
        <v>0</v>
      </c>
      <c r="G742" s="458"/>
      <c r="H742" s="457">
        <v>0</v>
      </c>
      <c r="I742" s="494">
        <f>SUM(G742+H742)</f>
        <v>0</v>
      </c>
    </row>
    <row r="743" spans="1:9" x14ac:dyDescent="0.15">
      <c r="A743" s="416"/>
      <c r="B743" s="453" t="s">
        <v>880</v>
      </c>
      <c r="C743" s="454" t="s">
        <v>337</v>
      </c>
      <c r="D743" s="308">
        <v>0</v>
      </c>
      <c r="E743" s="308">
        <v>0</v>
      </c>
      <c r="F743" s="308">
        <v>0</v>
      </c>
      <c r="G743" s="308">
        <v>0</v>
      </c>
      <c r="H743" s="457">
        <v>0</v>
      </c>
      <c r="I743" s="494">
        <f>SUM(G743+H743)</f>
        <v>0</v>
      </c>
    </row>
    <row r="744" spans="1:9" hidden="1" x14ac:dyDescent="0.15">
      <c r="A744" s="454"/>
      <c r="B744" s="453" t="s">
        <v>881</v>
      </c>
      <c r="C744" s="454" t="s">
        <v>382</v>
      </c>
      <c r="D744" s="308">
        <v>0</v>
      </c>
      <c r="E744" s="308">
        <v>0</v>
      </c>
      <c r="F744" s="308">
        <v>0</v>
      </c>
      <c r="G744" s="459"/>
      <c r="H744" s="457">
        <v>0</v>
      </c>
      <c r="I744" s="494">
        <f>SUM(G744+H744)</f>
        <v>0</v>
      </c>
    </row>
    <row r="745" spans="1:9" x14ac:dyDescent="0.15">
      <c r="A745" s="135"/>
      <c r="B745" s="451" t="s">
        <v>881</v>
      </c>
      <c r="C745" s="135" t="s">
        <v>338</v>
      </c>
      <c r="D745" s="144">
        <v>0</v>
      </c>
      <c r="E745" s="308">
        <v>0</v>
      </c>
      <c r="F745" s="144">
        <v>0</v>
      </c>
      <c r="G745" s="144">
        <v>0</v>
      </c>
      <c r="H745" s="147">
        <v>0</v>
      </c>
      <c r="I745" s="495">
        <f>SUM(G745+H745)</f>
        <v>0</v>
      </c>
    </row>
    <row r="746" spans="1:9" x14ac:dyDescent="0.15">
      <c r="A746" s="135"/>
      <c r="B746" s="453" t="s">
        <v>882</v>
      </c>
      <c r="C746" s="454" t="s">
        <v>1058</v>
      </c>
      <c r="D746" s="141">
        <v>0</v>
      </c>
      <c r="E746" s="309">
        <v>0</v>
      </c>
      <c r="F746" s="141">
        <v>0</v>
      </c>
      <c r="G746" s="141">
        <v>0</v>
      </c>
      <c r="H746" s="147">
        <v>0</v>
      </c>
      <c r="I746" s="495">
        <f t="shared" ref="I746:I776" si="40">SUM(G746+H746)</f>
        <v>0</v>
      </c>
    </row>
    <row r="747" spans="1:9" x14ac:dyDescent="0.15">
      <c r="A747" s="135"/>
      <c r="B747" s="453" t="s">
        <v>883</v>
      </c>
      <c r="C747" s="454" t="s">
        <v>1059</v>
      </c>
      <c r="D747" s="141">
        <v>0</v>
      </c>
      <c r="E747" s="309">
        <v>0</v>
      </c>
      <c r="F747" s="141">
        <v>0</v>
      </c>
      <c r="G747" s="141">
        <v>0</v>
      </c>
      <c r="H747" s="147">
        <v>0</v>
      </c>
      <c r="I747" s="495">
        <f t="shared" si="40"/>
        <v>0</v>
      </c>
    </row>
    <row r="748" spans="1:9" x14ac:dyDescent="0.15">
      <c r="A748" s="135"/>
      <c r="B748" s="453" t="s">
        <v>1060</v>
      </c>
      <c r="C748" s="454" t="s">
        <v>1061</v>
      </c>
      <c r="D748" s="141">
        <v>0</v>
      </c>
      <c r="E748" s="309">
        <v>0</v>
      </c>
      <c r="F748" s="141">
        <v>0</v>
      </c>
      <c r="G748" s="141">
        <v>0</v>
      </c>
      <c r="H748" s="147">
        <v>0</v>
      </c>
      <c r="I748" s="495">
        <f t="shared" si="40"/>
        <v>0</v>
      </c>
    </row>
    <row r="749" spans="1:9" x14ac:dyDescent="0.15">
      <c r="A749" s="135"/>
      <c r="B749" s="453" t="s">
        <v>1062</v>
      </c>
      <c r="C749" s="454" t="s">
        <v>1063</v>
      </c>
      <c r="D749" s="141">
        <v>0</v>
      </c>
      <c r="E749" s="309">
        <v>0</v>
      </c>
      <c r="F749" s="141">
        <v>0</v>
      </c>
      <c r="G749" s="141">
        <v>0</v>
      </c>
      <c r="H749" s="147">
        <v>0</v>
      </c>
      <c r="I749" s="495">
        <f t="shared" si="40"/>
        <v>0</v>
      </c>
    </row>
    <row r="750" spans="1:9" x14ac:dyDescent="0.15">
      <c r="A750" s="135"/>
      <c r="B750" s="453" t="s">
        <v>884</v>
      </c>
      <c r="C750" s="454" t="s">
        <v>1064</v>
      </c>
      <c r="D750" s="141">
        <v>0</v>
      </c>
      <c r="E750" s="309">
        <v>0</v>
      </c>
      <c r="F750" s="141">
        <v>0</v>
      </c>
      <c r="G750" s="141">
        <v>0</v>
      </c>
      <c r="H750" s="147">
        <v>0</v>
      </c>
      <c r="I750" s="495">
        <f t="shared" si="40"/>
        <v>0</v>
      </c>
    </row>
    <row r="751" spans="1:9" x14ac:dyDescent="0.15">
      <c r="A751" s="135"/>
      <c r="B751" s="453" t="s">
        <v>1067</v>
      </c>
      <c r="C751" s="454" t="s">
        <v>1074</v>
      </c>
      <c r="D751" s="141">
        <v>0</v>
      </c>
      <c r="E751" s="309">
        <v>0</v>
      </c>
      <c r="F751" s="141">
        <v>0</v>
      </c>
      <c r="G751" s="141">
        <v>0</v>
      </c>
      <c r="H751" s="147">
        <v>0</v>
      </c>
      <c r="I751" s="495">
        <f t="shared" si="40"/>
        <v>0</v>
      </c>
    </row>
    <row r="752" spans="1:9" x14ac:dyDescent="0.15">
      <c r="A752" s="135"/>
      <c r="B752" s="453" t="s">
        <v>1068</v>
      </c>
      <c r="C752" s="454" t="s">
        <v>1075</v>
      </c>
      <c r="D752" s="141">
        <v>0</v>
      </c>
      <c r="E752" s="309">
        <v>0</v>
      </c>
      <c r="F752" s="141">
        <v>0</v>
      </c>
      <c r="G752" s="141">
        <v>0</v>
      </c>
      <c r="H752" s="147">
        <v>0</v>
      </c>
      <c r="I752" s="495">
        <f t="shared" si="40"/>
        <v>0</v>
      </c>
    </row>
    <row r="753" spans="1:9" x14ac:dyDescent="0.15">
      <c r="A753" s="135"/>
      <c r="B753" s="453" t="s">
        <v>1072</v>
      </c>
      <c r="C753" s="454" t="s">
        <v>920</v>
      </c>
      <c r="D753" s="141">
        <v>0</v>
      </c>
      <c r="E753" s="309">
        <v>0</v>
      </c>
      <c r="F753" s="141">
        <v>0</v>
      </c>
      <c r="G753" s="141">
        <v>0</v>
      </c>
      <c r="H753" s="147">
        <v>0</v>
      </c>
      <c r="I753" s="495">
        <f t="shared" si="40"/>
        <v>0</v>
      </c>
    </row>
    <row r="754" spans="1:9" x14ac:dyDescent="0.15">
      <c r="A754" s="135"/>
      <c r="B754" s="717" t="s">
        <v>155</v>
      </c>
      <c r="C754" s="706" t="s">
        <v>178</v>
      </c>
      <c r="D754" s="141">
        <v>0</v>
      </c>
      <c r="E754" s="309">
        <v>0</v>
      </c>
      <c r="F754" s="141">
        <v>0</v>
      </c>
      <c r="G754" s="141">
        <v>0</v>
      </c>
      <c r="H754" s="147">
        <v>0</v>
      </c>
      <c r="I754" s="495">
        <f t="shared" ref="I754" si="41">SUM(G754+H754)</f>
        <v>0</v>
      </c>
    </row>
    <row r="755" spans="1:9" x14ac:dyDescent="0.15">
      <c r="A755" s="135"/>
      <c r="B755" s="453" t="s">
        <v>921</v>
      </c>
      <c r="C755" s="454" t="s">
        <v>955</v>
      </c>
      <c r="D755" s="141">
        <v>0</v>
      </c>
      <c r="E755" s="309">
        <v>0</v>
      </c>
      <c r="F755" s="141">
        <v>0</v>
      </c>
      <c r="G755" s="141">
        <v>0</v>
      </c>
      <c r="H755" s="147">
        <v>0</v>
      </c>
      <c r="I755" s="495">
        <f t="shared" si="40"/>
        <v>0</v>
      </c>
    </row>
    <row r="756" spans="1:9" x14ac:dyDescent="0.15">
      <c r="A756" s="135"/>
      <c r="B756" s="453" t="s">
        <v>922</v>
      </c>
      <c r="C756" s="454" t="s">
        <v>956</v>
      </c>
      <c r="D756" s="141">
        <v>0</v>
      </c>
      <c r="E756" s="309">
        <v>0</v>
      </c>
      <c r="F756" s="141">
        <v>0</v>
      </c>
      <c r="G756" s="141">
        <v>0</v>
      </c>
      <c r="H756" s="147">
        <v>0</v>
      </c>
      <c r="I756" s="495">
        <f t="shared" si="40"/>
        <v>0</v>
      </c>
    </row>
    <row r="757" spans="1:9" x14ac:dyDescent="0.15">
      <c r="A757" s="135"/>
      <c r="B757" s="453" t="s">
        <v>923</v>
      </c>
      <c r="C757" s="454" t="s">
        <v>957</v>
      </c>
      <c r="D757" s="141">
        <v>0</v>
      </c>
      <c r="E757" s="309">
        <v>0</v>
      </c>
      <c r="F757" s="141">
        <v>0</v>
      </c>
      <c r="G757" s="141">
        <v>0</v>
      </c>
      <c r="H757" s="147">
        <v>0</v>
      </c>
      <c r="I757" s="495">
        <f t="shared" si="40"/>
        <v>0</v>
      </c>
    </row>
    <row r="758" spans="1:9" x14ac:dyDescent="0.15">
      <c r="A758" s="135"/>
      <c r="B758" s="453" t="s">
        <v>924</v>
      </c>
      <c r="C758" s="454" t="s">
        <v>958</v>
      </c>
      <c r="D758" s="141">
        <v>0</v>
      </c>
      <c r="E758" s="309">
        <v>0</v>
      </c>
      <c r="F758" s="141">
        <v>0</v>
      </c>
      <c r="G758" s="141">
        <v>0</v>
      </c>
      <c r="H758" s="147">
        <v>0</v>
      </c>
      <c r="I758" s="495">
        <f t="shared" si="40"/>
        <v>0</v>
      </c>
    </row>
    <row r="759" spans="1:9" x14ac:dyDescent="0.15">
      <c r="A759" s="135"/>
      <c r="B759" s="453" t="s">
        <v>925</v>
      </c>
      <c r="C759" s="454" t="s">
        <v>1128</v>
      </c>
      <c r="D759" s="141">
        <v>0</v>
      </c>
      <c r="E759" s="309">
        <v>0</v>
      </c>
      <c r="F759" s="141">
        <v>0</v>
      </c>
      <c r="G759" s="141">
        <v>0</v>
      </c>
      <c r="H759" s="147">
        <v>0</v>
      </c>
      <c r="I759" s="495">
        <f t="shared" si="40"/>
        <v>0</v>
      </c>
    </row>
    <row r="760" spans="1:9" x14ac:dyDescent="0.15">
      <c r="A760" s="135"/>
      <c r="B760" s="453" t="s">
        <v>926</v>
      </c>
      <c r="C760" s="454" t="s">
        <v>1129</v>
      </c>
      <c r="D760" s="141">
        <v>0</v>
      </c>
      <c r="E760" s="309">
        <v>0</v>
      </c>
      <c r="F760" s="141">
        <v>0</v>
      </c>
      <c r="G760" s="141">
        <v>0</v>
      </c>
      <c r="H760" s="147">
        <v>0</v>
      </c>
      <c r="I760" s="495">
        <f t="shared" si="40"/>
        <v>0</v>
      </c>
    </row>
    <row r="761" spans="1:9" x14ac:dyDescent="0.15">
      <c r="A761" s="135"/>
      <c r="B761" s="453" t="s">
        <v>927</v>
      </c>
      <c r="C761" s="454" t="s">
        <v>959</v>
      </c>
      <c r="D761" s="141">
        <v>0</v>
      </c>
      <c r="E761" s="309">
        <v>0</v>
      </c>
      <c r="F761" s="141">
        <v>0</v>
      </c>
      <c r="G761" s="141">
        <v>0</v>
      </c>
      <c r="H761" s="147">
        <v>0</v>
      </c>
      <c r="I761" s="495">
        <f t="shared" si="40"/>
        <v>0</v>
      </c>
    </row>
    <row r="762" spans="1:9" x14ac:dyDescent="0.15">
      <c r="A762" s="135"/>
      <c r="B762" s="453" t="s">
        <v>928</v>
      </c>
      <c r="C762" s="454" t="s">
        <v>961</v>
      </c>
      <c r="D762" s="141">
        <v>0</v>
      </c>
      <c r="E762" s="309">
        <v>0</v>
      </c>
      <c r="F762" s="141">
        <v>0</v>
      </c>
      <c r="G762" s="141">
        <v>0</v>
      </c>
      <c r="H762" s="147">
        <v>0</v>
      </c>
      <c r="I762" s="495">
        <f t="shared" si="40"/>
        <v>0</v>
      </c>
    </row>
    <row r="763" spans="1:9" x14ac:dyDescent="0.15">
      <c r="A763" s="135"/>
      <c r="B763" s="453" t="s">
        <v>962</v>
      </c>
      <c r="C763" s="454" t="s">
        <v>967</v>
      </c>
      <c r="D763" s="141">
        <v>0</v>
      </c>
      <c r="E763" s="309">
        <v>0</v>
      </c>
      <c r="F763" s="141">
        <v>0</v>
      </c>
      <c r="G763" s="141">
        <v>0</v>
      </c>
      <c r="H763" s="147">
        <v>0</v>
      </c>
      <c r="I763" s="495">
        <f t="shared" si="40"/>
        <v>0</v>
      </c>
    </row>
    <row r="764" spans="1:9" x14ac:dyDescent="0.15">
      <c r="A764" s="135"/>
      <c r="B764" s="453" t="s">
        <v>963</v>
      </c>
      <c r="C764" s="454" t="s">
        <v>1093</v>
      </c>
      <c r="D764" s="141">
        <v>0</v>
      </c>
      <c r="E764" s="309">
        <v>0</v>
      </c>
      <c r="F764" s="141">
        <v>0</v>
      </c>
      <c r="G764" s="141">
        <v>0</v>
      </c>
      <c r="H764" s="147">
        <v>0</v>
      </c>
      <c r="I764" s="495">
        <f t="shared" si="40"/>
        <v>0</v>
      </c>
    </row>
    <row r="765" spans="1:9" x14ac:dyDescent="0.15">
      <c r="A765" s="135"/>
      <c r="B765" s="453" t="s">
        <v>964</v>
      </c>
      <c r="C765" s="454" t="s">
        <v>1094</v>
      </c>
      <c r="D765" s="141">
        <v>0</v>
      </c>
      <c r="E765" s="309">
        <v>0</v>
      </c>
      <c r="F765" s="141">
        <v>0</v>
      </c>
      <c r="G765" s="141">
        <v>0</v>
      </c>
      <c r="H765" s="147">
        <v>0</v>
      </c>
      <c r="I765" s="495">
        <f t="shared" si="40"/>
        <v>0</v>
      </c>
    </row>
    <row r="766" spans="1:9" x14ac:dyDescent="0.15">
      <c r="A766" s="135"/>
      <c r="B766" s="453" t="s">
        <v>965</v>
      </c>
      <c r="C766" s="454" t="s">
        <v>1095</v>
      </c>
      <c r="D766" s="141">
        <v>0</v>
      </c>
      <c r="E766" s="309">
        <v>0</v>
      </c>
      <c r="F766" s="141">
        <v>0</v>
      </c>
      <c r="G766" s="141">
        <v>0</v>
      </c>
      <c r="H766" s="147">
        <v>0</v>
      </c>
      <c r="I766" s="495">
        <f t="shared" si="40"/>
        <v>0</v>
      </c>
    </row>
    <row r="767" spans="1:9" x14ac:dyDescent="0.15">
      <c r="A767" s="135"/>
      <c r="B767" s="453" t="s">
        <v>885</v>
      </c>
      <c r="C767" s="454" t="s">
        <v>1096</v>
      </c>
      <c r="D767" s="141">
        <v>0</v>
      </c>
      <c r="E767" s="309">
        <v>0</v>
      </c>
      <c r="F767" s="141">
        <v>0</v>
      </c>
      <c r="G767" s="141">
        <v>0</v>
      </c>
      <c r="H767" s="147">
        <v>0</v>
      </c>
      <c r="I767" s="495">
        <f t="shared" si="40"/>
        <v>0</v>
      </c>
    </row>
    <row r="768" spans="1:9" x14ac:dyDescent="0.15">
      <c r="A768" s="135"/>
      <c r="B768" s="453" t="s">
        <v>966</v>
      </c>
      <c r="C768" s="454" t="s">
        <v>1097</v>
      </c>
      <c r="D768" s="141">
        <v>0</v>
      </c>
      <c r="E768" s="309">
        <v>0</v>
      </c>
      <c r="F768" s="141">
        <v>0</v>
      </c>
      <c r="G768" s="141">
        <v>0</v>
      </c>
      <c r="H768" s="147">
        <v>0</v>
      </c>
      <c r="I768" s="495">
        <f t="shared" si="40"/>
        <v>0</v>
      </c>
    </row>
    <row r="769" spans="1:9" x14ac:dyDescent="0.15">
      <c r="A769" s="135"/>
      <c r="B769" s="453" t="s">
        <v>886</v>
      </c>
      <c r="C769" s="454" t="s">
        <v>1100</v>
      </c>
      <c r="D769" s="141">
        <v>0</v>
      </c>
      <c r="E769" s="309">
        <v>0</v>
      </c>
      <c r="F769" s="141">
        <v>0</v>
      </c>
      <c r="G769" s="141">
        <v>0</v>
      </c>
      <c r="H769" s="147">
        <v>0</v>
      </c>
      <c r="I769" s="495">
        <f t="shared" si="40"/>
        <v>0</v>
      </c>
    </row>
    <row r="770" spans="1:9" x14ac:dyDescent="0.15">
      <c r="A770" s="135"/>
      <c r="B770" s="453" t="s">
        <v>116</v>
      </c>
      <c r="C770" s="454" t="s">
        <v>1105</v>
      </c>
      <c r="D770" s="141">
        <v>0</v>
      </c>
      <c r="E770" s="309">
        <v>0</v>
      </c>
      <c r="F770" s="141">
        <v>0</v>
      </c>
      <c r="G770" s="141">
        <v>0</v>
      </c>
      <c r="H770" s="147">
        <v>0</v>
      </c>
      <c r="I770" s="495">
        <f t="shared" si="40"/>
        <v>0</v>
      </c>
    </row>
    <row r="771" spans="1:9" x14ac:dyDescent="0.15">
      <c r="A771" s="135"/>
      <c r="B771" s="453" t="s">
        <v>112</v>
      </c>
      <c r="C771" s="454" t="s">
        <v>1110</v>
      </c>
      <c r="D771" s="141">
        <v>0</v>
      </c>
      <c r="E771" s="309">
        <v>0</v>
      </c>
      <c r="F771" s="141">
        <v>0</v>
      </c>
      <c r="G771" s="141">
        <v>0</v>
      </c>
      <c r="H771" s="147">
        <v>0</v>
      </c>
      <c r="I771" s="495">
        <f t="shared" si="40"/>
        <v>0</v>
      </c>
    </row>
    <row r="772" spans="1:9" x14ac:dyDescent="0.15">
      <c r="A772" s="135"/>
      <c r="B772" s="453" t="s">
        <v>887</v>
      </c>
      <c r="C772" s="454" t="s">
        <v>1116</v>
      </c>
      <c r="D772" s="141">
        <v>0</v>
      </c>
      <c r="E772" s="309">
        <v>0</v>
      </c>
      <c r="F772" s="141">
        <v>0</v>
      </c>
      <c r="G772" s="141">
        <v>0</v>
      </c>
      <c r="H772" s="147">
        <v>0</v>
      </c>
      <c r="I772" s="495">
        <f t="shared" si="40"/>
        <v>0</v>
      </c>
    </row>
    <row r="773" spans="1:9" x14ac:dyDescent="0.15">
      <c r="A773" s="135"/>
      <c r="B773" s="453" t="s">
        <v>1112</v>
      </c>
      <c r="C773" s="454" t="s">
        <v>1117</v>
      </c>
      <c r="D773" s="141">
        <v>0</v>
      </c>
      <c r="E773" s="309">
        <v>0</v>
      </c>
      <c r="F773" s="141">
        <v>0</v>
      </c>
      <c r="G773" s="141">
        <v>0</v>
      </c>
      <c r="H773" s="147">
        <v>0</v>
      </c>
      <c r="I773" s="495">
        <f t="shared" si="40"/>
        <v>0</v>
      </c>
    </row>
    <row r="774" spans="1:9" x14ac:dyDescent="0.15">
      <c r="A774" s="135"/>
      <c r="B774" s="453" t="s">
        <v>1113</v>
      </c>
      <c r="C774" s="454" t="s">
        <v>1118</v>
      </c>
      <c r="D774" s="141">
        <v>0</v>
      </c>
      <c r="E774" s="309">
        <v>0</v>
      </c>
      <c r="F774" s="141">
        <v>0</v>
      </c>
      <c r="G774" s="141">
        <v>0</v>
      </c>
      <c r="H774" s="147">
        <v>0</v>
      </c>
      <c r="I774" s="495">
        <f t="shared" si="40"/>
        <v>0</v>
      </c>
    </row>
    <row r="775" spans="1:9" ht="11.25" thickBot="1" x14ac:dyDescent="0.2">
      <c r="A775" s="135"/>
      <c r="B775" s="453" t="s">
        <v>1114</v>
      </c>
      <c r="C775" s="454" t="s">
        <v>1119</v>
      </c>
      <c r="D775" s="141">
        <v>0</v>
      </c>
      <c r="E775" s="309">
        <v>0</v>
      </c>
      <c r="F775" s="141">
        <v>0</v>
      </c>
      <c r="G775" s="141">
        <v>0</v>
      </c>
      <c r="H775" s="147">
        <v>0</v>
      </c>
      <c r="I775" s="495">
        <f t="shared" si="40"/>
        <v>0</v>
      </c>
    </row>
    <row r="776" spans="1:9" ht="12" thickTop="1" thickBot="1" x14ac:dyDescent="0.2">
      <c r="A776" s="135"/>
      <c r="B776" s="453"/>
      <c r="C776" s="454" t="s">
        <v>1278</v>
      </c>
      <c r="D776" s="166">
        <f>SUM(D742:D775)</f>
        <v>0</v>
      </c>
      <c r="E776" s="297">
        <f>SUM(E742:E775)</f>
        <v>0</v>
      </c>
      <c r="F776" s="166">
        <f>SUM(F742:F775)</f>
        <v>0</v>
      </c>
      <c r="G776" s="166">
        <f>SUM(G742:G775)</f>
        <v>0</v>
      </c>
      <c r="H776" s="166">
        <f>SUM(H742:H775)</f>
        <v>0</v>
      </c>
      <c r="I776" s="166">
        <f t="shared" si="40"/>
        <v>0</v>
      </c>
    </row>
    <row r="777" spans="1:9" ht="11.25" thickTop="1" x14ac:dyDescent="0.15">
      <c r="A777" s="135"/>
      <c r="B777" s="454"/>
      <c r="C777" s="454"/>
      <c r="D777" s="14"/>
      <c r="E777" s="301"/>
      <c r="F777" s="14"/>
      <c r="G777" s="14"/>
      <c r="H777" s="14"/>
      <c r="I777" s="491"/>
    </row>
    <row r="778" spans="1:9" x14ac:dyDescent="0.15">
      <c r="A778" s="452" t="s">
        <v>1279</v>
      </c>
      <c r="B778" s="454"/>
      <c r="C778" s="454"/>
      <c r="D778" s="14"/>
      <c r="E778" s="301"/>
      <c r="F778" s="14"/>
      <c r="G778" s="14"/>
      <c r="H778" s="14"/>
      <c r="I778" s="491"/>
    </row>
    <row r="779" spans="1:9" hidden="1" x14ac:dyDescent="0.15">
      <c r="A779" s="416"/>
      <c r="B779" s="453" t="s">
        <v>880</v>
      </c>
      <c r="C779" s="454" t="s">
        <v>1164</v>
      </c>
      <c r="D779" s="308">
        <v>0</v>
      </c>
      <c r="E779" s="308">
        <v>0</v>
      </c>
      <c r="F779" s="308">
        <v>0</v>
      </c>
      <c r="G779" s="458"/>
      <c r="H779" s="457">
        <v>0</v>
      </c>
      <c r="I779" s="494">
        <f>SUM(G779+H779)</f>
        <v>0</v>
      </c>
    </row>
    <row r="780" spans="1:9" x14ac:dyDescent="0.15">
      <c r="A780" s="416"/>
      <c r="B780" s="453" t="s">
        <v>880</v>
      </c>
      <c r="C780" s="454" t="s">
        <v>337</v>
      </c>
      <c r="D780" s="308">
        <v>0</v>
      </c>
      <c r="E780" s="308">
        <v>0</v>
      </c>
      <c r="F780" s="308">
        <v>0</v>
      </c>
      <c r="G780" s="308">
        <v>0</v>
      </c>
      <c r="H780" s="457">
        <v>0</v>
      </c>
      <c r="I780" s="494">
        <f>SUM(G780+H780)</f>
        <v>0</v>
      </c>
    </row>
    <row r="781" spans="1:9" hidden="1" x14ac:dyDescent="0.15">
      <c r="A781" s="454"/>
      <c r="B781" s="453" t="s">
        <v>881</v>
      </c>
      <c r="C781" s="454" t="s">
        <v>382</v>
      </c>
      <c r="D781" s="308">
        <v>0</v>
      </c>
      <c r="E781" s="308">
        <v>0</v>
      </c>
      <c r="F781" s="308">
        <v>0</v>
      </c>
      <c r="G781" s="459"/>
      <c r="H781" s="457">
        <v>0</v>
      </c>
      <c r="I781" s="494">
        <f>SUM(G781+H781)</f>
        <v>0</v>
      </c>
    </row>
    <row r="782" spans="1:9" x14ac:dyDescent="0.15">
      <c r="A782" s="135"/>
      <c r="B782" s="451" t="s">
        <v>881</v>
      </c>
      <c r="C782" s="135" t="s">
        <v>338</v>
      </c>
      <c r="D782" s="144">
        <v>0</v>
      </c>
      <c r="E782" s="308">
        <v>0</v>
      </c>
      <c r="F782" s="144">
        <v>0</v>
      </c>
      <c r="G782" s="144">
        <v>0</v>
      </c>
      <c r="H782" s="147">
        <v>0</v>
      </c>
      <c r="I782" s="495">
        <f>SUM(G782+H782)</f>
        <v>0</v>
      </c>
    </row>
    <row r="783" spans="1:9" x14ac:dyDescent="0.15">
      <c r="A783" s="135"/>
      <c r="B783" s="453" t="s">
        <v>882</v>
      </c>
      <c r="C783" s="454" t="s">
        <v>1058</v>
      </c>
      <c r="D783" s="141">
        <v>0</v>
      </c>
      <c r="E783" s="309">
        <v>0</v>
      </c>
      <c r="F783" s="141">
        <v>0</v>
      </c>
      <c r="G783" s="141">
        <v>0</v>
      </c>
      <c r="H783" s="147">
        <v>0</v>
      </c>
      <c r="I783" s="495">
        <f t="shared" ref="I783:I813" si="42">SUM(G783+H783)</f>
        <v>0</v>
      </c>
    </row>
    <row r="784" spans="1:9" x14ac:dyDescent="0.15">
      <c r="A784" s="135"/>
      <c r="B784" s="453" t="s">
        <v>883</v>
      </c>
      <c r="C784" s="454" t="s">
        <v>1059</v>
      </c>
      <c r="D784" s="141">
        <v>0</v>
      </c>
      <c r="E784" s="309">
        <v>0</v>
      </c>
      <c r="F784" s="141">
        <v>0</v>
      </c>
      <c r="G784" s="141">
        <v>0</v>
      </c>
      <c r="H784" s="147">
        <v>0</v>
      </c>
      <c r="I784" s="495">
        <f t="shared" si="42"/>
        <v>0</v>
      </c>
    </row>
    <row r="785" spans="1:9" x14ac:dyDescent="0.15">
      <c r="A785" s="135"/>
      <c r="B785" s="453" t="s">
        <v>1060</v>
      </c>
      <c r="C785" s="454" t="s">
        <v>1061</v>
      </c>
      <c r="D785" s="141">
        <v>0</v>
      </c>
      <c r="E785" s="309">
        <v>0</v>
      </c>
      <c r="F785" s="141">
        <v>0</v>
      </c>
      <c r="G785" s="141">
        <v>0</v>
      </c>
      <c r="H785" s="147">
        <v>0</v>
      </c>
      <c r="I785" s="495">
        <f t="shared" si="42"/>
        <v>0</v>
      </c>
    </row>
    <row r="786" spans="1:9" x14ac:dyDescent="0.15">
      <c r="A786" s="135"/>
      <c r="B786" s="453" t="s">
        <v>1062</v>
      </c>
      <c r="C786" s="454" t="s">
        <v>1063</v>
      </c>
      <c r="D786" s="141">
        <v>0</v>
      </c>
      <c r="E786" s="309">
        <v>0</v>
      </c>
      <c r="F786" s="141">
        <v>0</v>
      </c>
      <c r="G786" s="141">
        <v>0</v>
      </c>
      <c r="H786" s="147">
        <v>0</v>
      </c>
      <c r="I786" s="495">
        <f t="shared" si="42"/>
        <v>0</v>
      </c>
    </row>
    <row r="787" spans="1:9" x14ac:dyDescent="0.15">
      <c r="A787" s="135"/>
      <c r="B787" s="453" t="s">
        <v>884</v>
      </c>
      <c r="C787" s="454" t="s">
        <v>1064</v>
      </c>
      <c r="D787" s="141">
        <v>0</v>
      </c>
      <c r="E787" s="309">
        <v>0</v>
      </c>
      <c r="F787" s="141">
        <v>0</v>
      </c>
      <c r="G787" s="141">
        <v>0</v>
      </c>
      <c r="H787" s="147">
        <v>0</v>
      </c>
      <c r="I787" s="495">
        <f t="shared" si="42"/>
        <v>0</v>
      </c>
    </row>
    <row r="788" spans="1:9" x14ac:dyDescent="0.15">
      <c r="A788" s="135"/>
      <c r="B788" s="453" t="s">
        <v>1067</v>
      </c>
      <c r="C788" s="454" t="s">
        <v>1074</v>
      </c>
      <c r="D788" s="141">
        <v>0</v>
      </c>
      <c r="E788" s="309">
        <v>0</v>
      </c>
      <c r="F788" s="141">
        <v>0</v>
      </c>
      <c r="G788" s="141">
        <v>0</v>
      </c>
      <c r="H788" s="147">
        <v>0</v>
      </c>
      <c r="I788" s="495">
        <f t="shared" si="42"/>
        <v>0</v>
      </c>
    </row>
    <row r="789" spans="1:9" x14ac:dyDescent="0.15">
      <c r="A789" s="135"/>
      <c r="B789" s="453" t="s">
        <v>1068</v>
      </c>
      <c r="C789" s="454" t="s">
        <v>1075</v>
      </c>
      <c r="D789" s="141">
        <v>0</v>
      </c>
      <c r="E789" s="309">
        <v>0</v>
      </c>
      <c r="F789" s="141">
        <v>0</v>
      </c>
      <c r="G789" s="141">
        <v>0</v>
      </c>
      <c r="H789" s="147">
        <v>0</v>
      </c>
      <c r="I789" s="495">
        <f t="shared" si="42"/>
        <v>0</v>
      </c>
    </row>
    <row r="790" spans="1:9" x14ac:dyDescent="0.15">
      <c r="A790" s="135"/>
      <c r="B790" s="453" t="s">
        <v>1072</v>
      </c>
      <c r="C790" s="454" t="s">
        <v>920</v>
      </c>
      <c r="D790" s="141">
        <v>0</v>
      </c>
      <c r="E790" s="309">
        <v>0</v>
      </c>
      <c r="F790" s="141">
        <v>0</v>
      </c>
      <c r="G790" s="141">
        <v>0</v>
      </c>
      <c r="H790" s="147">
        <v>0</v>
      </c>
      <c r="I790" s="495">
        <f t="shared" si="42"/>
        <v>0</v>
      </c>
    </row>
    <row r="791" spans="1:9" x14ac:dyDescent="0.15">
      <c r="A791" s="135"/>
      <c r="B791" s="717" t="s">
        <v>155</v>
      </c>
      <c r="C791" s="706" t="s">
        <v>178</v>
      </c>
      <c r="D791" s="141">
        <v>0</v>
      </c>
      <c r="E791" s="309">
        <v>0</v>
      </c>
      <c r="F791" s="141">
        <v>0</v>
      </c>
      <c r="G791" s="141">
        <v>0</v>
      </c>
      <c r="H791" s="147">
        <v>0</v>
      </c>
      <c r="I791" s="495">
        <f t="shared" ref="I791" si="43">SUM(G791+H791)</f>
        <v>0</v>
      </c>
    </row>
    <row r="792" spans="1:9" x14ac:dyDescent="0.15">
      <c r="A792" s="135"/>
      <c r="B792" s="453" t="s">
        <v>921</v>
      </c>
      <c r="C792" s="454" t="s">
        <v>955</v>
      </c>
      <c r="D792" s="141">
        <v>0</v>
      </c>
      <c r="E792" s="309">
        <v>0</v>
      </c>
      <c r="F792" s="141">
        <v>0</v>
      </c>
      <c r="G792" s="141">
        <v>0</v>
      </c>
      <c r="H792" s="147">
        <v>0</v>
      </c>
      <c r="I792" s="495">
        <f t="shared" si="42"/>
        <v>0</v>
      </c>
    </row>
    <row r="793" spans="1:9" x14ac:dyDescent="0.15">
      <c r="A793" s="135"/>
      <c r="B793" s="453" t="s">
        <v>922</v>
      </c>
      <c r="C793" s="454" t="s">
        <v>956</v>
      </c>
      <c r="D793" s="141">
        <v>0</v>
      </c>
      <c r="E793" s="309">
        <v>0</v>
      </c>
      <c r="F793" s="141">
        <v>0</v>
      </c>
      <c r="G793" s="141">
        <v>0</v>
      </c>
      <c r="H793" s="147">
        <v>0</v>
      </c>
      <c r="I793" s="495">
        <f t="shared" si="42"/>
        <v>0</v>
      </c>
    </row>
    <row r="794" spans="1:9" x14ac:dyDescent="0.15">
      <c r="A794" s="135"/>
      <c r="B794" s="453" t="s">
        <v>923</v>
      </c>
      <c r="C794" s="454" t="s">
        <v>957</v>
      </c>
      <c r="D794" s="141">
        <v>0</v>
      </c>
      <c r="E794" s="309">
        <v>0</v>
      </c>
      <c r="F794" s="141">
        <v>0</v>
      </c>
      <c r="G794" s="141">
        <v>0</v>
      </c>
      <c r="H794" s="147">
        <v>0</v>
      </c>
      <c r="I794" s="495">
        <f t="shared" si="42"/>
        <v>0</v>
      </c>
    </row>
    <row r="795" spans="1:9" x14ac:dyDescent="0.15">
      <c r="A795" s="135"/>
      <c r="B795" s="453" t="s">
        <v>924</v>
      </c>
      <c r="C795" s="454" t="s">
        <v>958</v>
      </c>
      <c r="D795" s="141">
        <v>0</v>
      </c>
      <c r="E795" s="309">
        <v>0</v>
      </c>
      <c r="F795" s="141">
        <v>0</v>
      </c>
      <c r="G795" s="141">
        <v>0</v>
      </c>
      <c r="H795" s="147">
        <v>0</v>
      </c>
      <c r="I795" s="495">
        <f t="shared" si="42"/>
        <v>0</v>
      </c>
    </row>
    <row r="796" spans="1:9" x14ac:dyDescent="0.15">
      <c r="A796" s="135"/>
      <c r="B796" s="453" t="s">
        <v>925</v>
      </c>
      <c r="C796" s="454" t="s">
        <v>1128</v>
      </c>
      <c r="D796" s="141">
        <v>0</v>
      </c>
      <c r="E796" s="309">
        <v>0</v>
      </c>
      <c r="F796" s="141">
        <v>0</v>
      </c>
      <c r="G796" s="141">
        <v>0</v>
      </c>
      <c r="H796" s="147">
        <v>0</v>
      </c>
      <c r="I796" s="495">
        <f t="shared" si="42"/>
        <v>0</v>
      </c>
    </row>
    <row r="797" spans="1:9" x14ac:dyDescent="0.15">
      <c r="A797" s="135"/>
      <c r="B797" s="453" t="s">
        <v>926</v>
      </c>
      <c r="C797" s="454" t="s">
        <v>1129</v>
      </c>
      <c r="D797" s="141">
        <v>0</v>
      </c>
      <c r="E797" s="309">
        <v>0</v>
      </c>
      <c r="F797" s="141">
        <v>0</v>
      </c>
      <c r="G797" s="141">
        <v>0</v>
      </c>
      <c r="H797" s="147">
        <v>0</v>
      </c>
      <c r="I797" s="495">
        <f t="shared" si="42"/>
        <v>0</v>
      </c>
    </row>
    <row r="798" spans="1:9" x14ac:dyDescent="0.15">
      <c r="A798" s="135"/>
      <c r="B798" s="453" t="s">
        <v>927</v>
      </c>
      <c r="C798" s="454" t="s">
        <v>959</v>
      </c>
      <c r="D798" s="141">
        <v>0</v>
      </c>
      <c r="E798" s="309">
        <v>0</v>
      </c>
      <c r="F798" s="141">
        <v>0</v>
      </c>
      <c r="G798" s="141">
        <v>0</v>
      </c>
      <c r="H798" s="147">
        <v>0</v>
      </c>
      <c r="I798" s="495">
        <f t="shared" si="42"/>
        <v>0</v>
      </c>
    </row>
    <row r="799" spans="1:9" x14ac:dyDescent="0.15">
      <c r="A799" s="135"/>
      <c r="B799" s="453" t="s">
        <v>928</v>
      </c>
      <c r="C799" s="454" t="s">
        <v>961</v>
      </c>
      <c r="D799" s="141">
        <v>0</v>
      </c>
      <c r="E799" s="309">
        <v>0</v>
      </c>
      <c r="F799" s="141">
        <v>0</v>
      </c>
      <c r="G799" s="141">
        <v>0</v>
      </c>
      <c r="H799" s="147">
        <v>0</v>
      </c>
      <c r="I799" s="495">
        <f t="shared" si="42"/>
        <v>0</v>
      </c>
    </row>
    <row r="800" spans="1:9" x14ac:dyDescent="0.15">
      <c r="A800" s="135"/>
      <c r="B800" s="453" t="s">
        <v>962</v>
      </c>
      <c r="C800" s="454" t="s">
        <v>967</v>
      </c>
      <c r="D800" s="141">
        <v>0</v>
      </c>
      <c r="E800" s="309">
        <v>0</v>
      </c>
      <c r="F800" s="141">
        <v>0</v>
      </c>
      <c r="G800" s="141">
        <v>0</v>
      </c>
      <c r="H800" s="147">
        <v>0</v>
      </c>
      <c r="I800" s="495">
        <f t="shared" si="42"/>
        <v>0</v>
      </c>
    </row>
    <row r="801" spans="1:9" x14ac:dyDescent="0.15">
      <c r="A801" s="135"/>
      <c r="B801" s="453" t="s">
        <v>963</v>
      </c>
      <c r="C801" s="454" t="s">
        <v>1093</v>
      </c>
      <c r="D801" s="141">
        <v>0</v>
      </c>
      <c r="E801" s="309">
        <v>0</v>
      </c>
      <c r="F801" s="141">
        <v>0</v>
      </c>
      <c r="G801" s="141">
        <v>0</v>
      </c>
      <c r="H801" s="147">
        <v>0</v>
      </c>
      <c r="I801" s="495">
        <f t="shared" si="42"/>
        <v>0</v>
      </c>
    </row>
    <row r="802" spans="1:9" x14ac:dyDescent="0.15">
      <c r="A802" s="135"/>
      <c r="B802" s="453" t="s">
        <v>964</v>
      </c>
      <c r="C802" s="454" t="s">
        <v>1094</v>
      </c>
      <c r="D802" s="141">
        <v>0</v>
      </c>
      <c r="E802" s="309">
        <v>0</v>
      </c>
      <c r="F802" s="141">
        <v>0</v>
      </c>
      <c r="G802" s="141">
        <v>0</v>
      </c>
      <c r="H802" s="147">
        <v>0</v>
      </c>
      <c r="I802" s="495">
        <f t="shared" si="42"/>
        <v>0</v>
      </c>
    </row>
    <row r="803" spans="1:9" x14ac:dyDescent="0.15">
      <c r="A803" s="135"/>
      <c r="B803" s="453" t="s">
        <v>965</v>
      </c>
      <c r="C803" s="454" t="s">
        <v>1095</v>
      </c>
      <c r="D803" s="141">
        <v>0</v>
      </c>
      <c r="E803" s="309">
        <v>0</v>
      </c>
      <c r="F803" s="141">
        <v>0</v>
      </c>
      <c r="G803" s="141">
        <v>0</v>
      </c>
      <c r="H803" s="147">
        <v>0</v>
      </c>
      <c r="I803" s="495">
        <f t="shared" si="42"/>
        <v>0</v>
      </c>
    </row>
    <row r="804" spans="1:9" x14ac:dyDescent="0.15">
      <c r="A804" s="135"/>
      <c r="B804" s="453" t="s">
        <v>885</v>
      </c>
      <c r="C804" s="454" t="s">
        <v>1096</v>
      </c>
      <c r="D804" s="141">
        <v>0</v>
      </c>
      <c r="E804" s="309">
        <v>0</v>
      </c>
      <c r="F804" s="141">
        <v>0</v>
      </c>
      <c r="G804" s="141">
        <v>0</v>
      </c>
      <c r="H804" s="147">
        <v>0</v>
      </c>
      <c r="I804" s="495">
        <f t="shared" si="42"/>
        <v>0</v>
      </c>
    </row>
    <row r="805" spans="1:9" x14ac:dyDescent="0.15">
      <c r="A805" s="135"/>
      <c r="B805" s="453" t="s">
        <v>966</v>
      </c>
      <c r="C805" s="454" t="s">
        <v>1097</v>
      </c>
      <c r="D805" s="141">
        <v>0</v>
      </c>
      <c r="E805" s="309">
        <v>0</v>
      </c>
      <c r="F805" s="141">
        <v>0</v>
      </c>
      <c r="G805" s="141">
        <v>0</v>
      </c>
      <c r="H805" s="147">
        <v>0</v>
      </c>
      <c r="I805" s="495">
        <f t="shared" si="42"/>
        <v>0</v>
      </c>
    </row>
    <row r="806" spans="1:9" x14ac:dyDescent="0.15">
      <c r="A806" s="135"/>
      <c r="B806" s="453" t="s">
        <v>886</v>
      </c>
      <c r="C806" s="454" t="s">
        <v>1100</v>
      </c>
      <c r="D806" s="141">
        <v>0</v>
      </c>
      <c r="E806" s="309">
        <v>0</v>
      </c>
      <c r="F806" s="141">
        <v>0</v>
      </c>
      <c r="G806" s="141">
        <v>0</v>
      </c>
      <c r="H806" s="147">
        <v>0</v>
      </c>
      <c r="I806" s="495">
        <f t="shared" si="42"/>
        <v>0</v>
      </c>
    </row>
    <row r="807" spans="1:9" x14ac:dyDescent="0.15">
      <c r="A807" s="135"/>
      <c r="B807" s="453" t="s">
        <v>116</v>
      </c>
      <c r="C807" s="454" t="s">
        <v>1105</v>
      </c>
      <c r="D807" s="141">
        <v>0</v>
      </c>
      <c r="E807" s="309">
        <v>0</v>
      </c>
      <c r="F807" s="141">
        <v>0</v>
      </c>
      <c r="G807" s="141">
        <v>0</v>
      </c>
      <c r="H807" s="147">
        <v>0</v>
      </c>
      <c r="I807" s="495">
        <f t="shared" si="42"/>
        <v>0</v>
      </c>
    </row>
    <row r="808" spans="1:9" x14ac:dyDescent="0.15">
      <c r="A808" s="135"/>
      <c r="B808" s="453" t="s">
        <v>112</v>
      </c>
      <c r="C808" s="454" t="s">
        <v>1110</v>
      </c>
      <c r="D808" s="141">
        <v>0</v>
      </c>
      <c r="E808" s="309">
        <v>0</v>
      </c>
      <c r="F808" s="141">
        <v>0</v>
      </c>
      <c r="G808" s="141">
        <v>0</v>
      </c>
      <c r="H808" s="147">
        <v>0</v>
      </c>
      <c r="I808" s="495">
        <f t="shared" si="42"/>
        <v>0</v>
      </c>
    </row>
    <row r="809" spans="1:9" x14ac:dyDescent="0.15">
      <c r="A809" s="135"/>
      <c r="B809" s="453" t="s">
        <v>887</v>
      </c>
      <c r="C809" s="454" t="s">
        <v>1116</v>
      </c>
      <c r="D809" s="141">
        <v>0</v>
      </c>
      <c r="E809" s="309">
        <v>0</v>
      </c>
      <c r="F809" s="141">
        <v>0</v>
      </c>
      <c r="G809" s="141">
        <v>0</v>
      </c>
      <c r="H809" s="147">
        <v>0</v>
      </c>
      <c r="I809" s="495">
        <f t="shared" si="42"/>
        <v>0</v>
      </c>
    </row>
    <row r="810" spans="1:9" x14ac:dyDescent="0.15">
      <c r="A810" s="135"/>
      <c r="B810" s="453" t="s">
        <v>1112</v>
      </c>
      <c r="C810" s="454" t="s">
        <v>1117</v>
      </c>
      <c r="D810" s="141">
        <v>0</v>
      </c>
      <c r="E810" s="309">
        <v>0</v>
      </c>
      <c r="F810" s="141">
        <v>0</v>
      </c>
      <c r="G810" s="141">
        <v>0</v>
      </c>
      <c r="H810" s="147">
        <v>0</v>
      </c>
      <c r="I810" s="495">
        <f t="shared" si="42"/>
        <v>0</v>
      </c>
    </row>
    <row r="811" spans="1:9" x14ac:dyDescent="0.15">
      <c r="A811" s="135"/>
      <c r="B811" s="453" t="s">
        <v>1113</v>
      </c>
      <c r="C811" s="454" t="s">
        <v>1118</v>
      </c>
      <c r="D811" s="141">
        <v>0</v>
      </c>
      <c r="E811" s="309">
        <v>0</v>
      </c>
      <c r="F811" s="141">
        <v>0</v>
      </c>
      <c r="G811" s="141">
        <v>0</v>
      </c>
      <c r="H811" s="147">
        <v>0</v>
      </c>
      <c r="I811" s="495">
        <f t="shared" si="42"/>
        <v>0</v>
      </c>
    </row>
    <row r="812" spans="1:9" ht="11.25" thickBot="1" x14ac:dyDescent="0.2">
      <c r="A812" s="135"/>
      <c r="B812" s="453" t="s">
        <v>1114</v>
      </c>
      <c r="C812" s="454" t="s">
        <v>1119</v>
      </c>
      <c r="D812" s="141">
        <v>0</v>
      </c>
      <c r="E812" s="309">
        <v>0</v>
      </c>
      <c r="F812" s="141">
        <v>0</v>
      </c>
      <c r="G812" s="141">
        <v>0</v>
      </c>
      <c r="H812" s="147">
        <v>0</v>
      </c>
      <c r="I812" s="495">
        <f t="shared" si="42"/>
        <v>0</v>
      </c>
    </row>
    <row r="813" spans="1:9" ht="12" thickTop="1" thickBot="1" x14ac:dyDescent="0.2">
      <c r="A813" s="135"/>
      <c r="B813" s="453"/>
      <c r="C813" s="454" t="s">
        <v>1280</v>
      </c>
      <c r="D813" s="166">
        <f>SUM(D779:D812)</f>
        <v>0</v>
      </c>
      <c r="E813" s="297">
        <f>SUM(E779:E812)</f>
        <v>0</v>
      </c>
      <c r="F813" s="166">
        <f>SUM(F779:F812)</f>
        <v>0</v>
      </c>
      <c r="G813" s="166">
        <f>SUM(G779:G812)</f>
        <v>0</v>
      </c>
      <c r="H813" s="166">
        <f>SUM(H779:H812)</f>
        <v>0</v>
      </c>
      <c r="I813" s="166">
        <f t="shared" si="42"/>
        <v>0</v>
      </c>
    </row>
    <row r="814" spans="1:9" ht="11.25" thickTop="1" x14ac:dyDescent="0.15">
      <c r="A814" s="135"/>
      <c r="B814" s="454"/>
      <c r="C814" s="454"/>
      <c r="D814" s="14"/>
      <c r="E814" s="301"/>
      <c r="F814" s="14"/>
      <c r="G814" s="14"/>
      <c r="H814" s="14"/>
      <c r="I814" s="491"/>
    </row>
    <row r="815" spans="1:9" x14ac:dyDescent="0.15">
      <c r="A815" s="452" t="s">
        <v>1282</v>
      </c>
      <c r="B815" s="454"/>
      <c r="C815" s="454"/>
      <c r="D815" s="14"/>
      <c r="E815" s="301"/>
      <c r="F815" s="14"/>
      <c r="G815" s="14"/>
      <c r="H815" s="14"/>
      <c r="I815" s="491"/>
    </row>
    <row r="816" spans="1:9" hidden="1" x14ac:dyDescent="0.15">
      <c r="A816" s="416"/>
      <c r="B816" s="453" t="s">
        <v>880</v>
      </c>
      <c r="C816" s="454" t="s">
        <v>1164</v>
      </c>
      <c r="D816" s="308">
        <v>0</v>
      </c>
      <c r="E816" s="308">
        <v>0</v>
      </c>
      <c r="F816" s="308">
        <v>0</v>
      </c>
      <c r="G816" s="458"/>
      <c r="H816" s="457">
        <v>0</v>
      </c>
      <c r="I816" s="494">
        <f>SUM(G816+H816)</f>
        <v>0</v>
      </c>
    </row>
    <row r="817" spans="1:9" x14ac:dyDescent="0.15">
      <c r="A817" s="416"/>
      <c r="B817" s="453" t="s">
        <v>880</v>
      </c>
      <c r="C817" s="454" t="s">
        <v>337</v>
      </c>
      <c r="D817" s="308">
        <v>0</v>
      </c>
      <c r="E817" s="308">
        <v>0</v>
      </c>
      <c r="F817" s="308">
        <v>0</v>
      </c>
      <c r="G817" s="308">
        <v>0</v>
      </c>
      <c r="H817" s="457">
        <v>0</v>
      </c>
      <c r="I817" s="494">
        <f>SUM(G817+H817)</f>
        <v>0</v>
      </c>
    </row>
    <row r="818" spans="1:9" hidden="1" x14ac:dyDescent="0.15">
      <c r="A818" s="454"/>
      <c r="B818" s="453" t="s">
        <v>881</v>
      </c>
      <c r="C818" s="454" t="s">
        <v>382</v>
      </c>
      <c r="D818" s="308">
        <v>0</v>
      </c>
      <c r="E818" s="308">
        <v>0</v>
      </c>
      <c r="F818" s="308">
        <v>0</v>
      </c>
      <c r="G818" s="459"/>
      <c r="H818" s="457">
        <v>0</v>
      </c>
      <c r="I818" s="494">
        <f>SUM(G818+H818)</f>
        <v>0</v>
      </c>
    </row>
    <row r="819" spans="1:9" x14ac:dyDescent="0.15">
      <c r="A819" s="135"/>
      <c r="B819" s="451" t="s">
        <v>881</v>
      </c>
      <c r="C819" s="135" t="s">
        <v>338</v>
      </c>
      <c r="D819" s="144">
        <v>0</v>
      </c>
      <c r="E819" s="308">
        <v>0</v>
      </c>
      <c r="F819" s="144">
        <v>0</v>
      </c>
      <c r="G819" s="144">
        <v>0</v>
      </c>
      <c r="H819" s="147">
        <v>0</v>
      </c>
      <c r="I819" s="495">
        <f>SUM(G819+H819)</f>
        <v>0</v>
      </c>
    </row>
    <row r="820" spans="1:9" x14ac:dyDescent="0.15">
      <c r="A820" s="135"/>
      <c r="B820" s="453" t="s">
        <v>882</v>
      </c>
      <c r="C820" s="454" t="s">
        <v>1058</v>
      </c>
      <c r="D820" s="141">
        <v>0</v>
      </c>
      <c r="E820" s="309">
        <v>0</v>
      </c>
      <c r="F820" s="141">
        <v>0</v>
      </c>
      <c r="G820" s="141">
        <v>0</v>
      </c>
      <c r="H820" s="147">
        <v>0</v>
      </c>
      <c r="I820" s="495">
        <f t="shared" ref="I820:I850" si="44">SUM(G820+H820)</f>
        <v>0</v>
      </c>
    </row>
    <row r="821" spans="1:9" x14ac:dyDescent="0.15">
      <c r="A821" s="135"/>
      <c r="B821" s="453" t="s">
        <v>883</v>
      </c>
      <c r="C821" s="454" t="s">
        <v>1059</v>
      </c>
      <c r="D821" s="141">
        <v>0</v>
      </c>
      <c r="E821" s="309">
        <v>0</v>
      </c>
      <c r="F821" s="141">
        <v>0</v>
      </c>
      <c r="G821" s="141">
        <v>0</v>
      </c>
      <c r="H821" s="147">
        <v>0</v>
      </c>
      <c r="I821" s="495">
        <f t="shared" si="44"/>
        <v>0</v>
      </c>
    </row>
    <row r="822" spans="1:9" x14ac:dyDescent="0.15">
      <c r="A822" s="135"/>
      <c r="B822" s="453" t="s">
        <v>1060</v>
      </c>
      <c r="C822" s="454" t="s">
        <v>1061</v>
      </c>
      <c r="D822" s="141">
        <v>0</v>
      </c>
      <c r="E822" s="309">
        <v>0</v>
      </c>
      <c r="F822" s="141">
        <v>0</v>
      </c>
      <c r="G822" s="141">
        <v>0</v>
      </c>
      <c r="H822" s="147">
        <v>0</v>
      </c>
      <c r="I822" s="495">
        <f t="shared" si="44"/>
        <v>0</v>
      </c>
    </row>
    <row r="823" spans="1:9" x14ac:dyDescent="0.15">
      <c r="A823" s="135"/>
      <c r="B823" s="453" t="s">
        <v>1062</v>
      </c>
      <c r="C823" s="454" t="s">
        <v>1063</v>
      </c>
      <c r="D823" s="141">
        <v>0</v>
      </c>
      <c r="E823" s="309">
        <v>0</v>
      </c>
      <c r="F823" s="141">
        <v>0</v>
      </c>
      <c r="G823" s="141">
        <v>0</v>
      </c>
      <c r="H823" s="147">
        <v>0</v>
      </c>
      <c r="I823" s="495">
        <f t="shared" si="44"/>
        <v>0</v>
      </c>
    </row>
    <row r="824" spans="1:9" x14ac:dyDescent="0.15">
      <c r="A824" s="135"/>
      <c r="B824" s="453" t="s">
        <v>884</v>
      </c>
      <c r="C824" s="454" t="s">
        <v>1064</v>
      </c>
      <c r="D824" s="141">
        <v>0</v>
      </c>
      <c r="E824" s="309">
        <v>0</v>
      </c>
      <c r="F824" s="141">
        <v>0</v>
      </c>
      <c r="G824" s="141">
        <v>0</v>
      </c>
      <c r="H824" s="147">
        <v>0</v>
      </c>
      <c r="I824" s="495">
        <f t="shared" si="44"/>
        <v>0</v>
      </c>
    </row>
    <row r="825" spans="1:9" x14ac:dyDescent="0.15">
      <c r="A825" s="135"/>
      <c r="B825" s="453" t="s">
        <v>1067</v>
      </c>
      <c r="C825" s="454" t="s">
        <v>1074</v>
      </c>
      <c r="D825" s="141">
        <v>0</v>
      </c>
      <c r="E825" s="309">
        <v>0</v>
      </c>
      <c r="F825" s="141">
        <v>0</v>
      </c>
      <c r="G825" s="141">
        <v>0</v>
      </c>
      <c r="H825" s="147">
        <v>0</v>
      </c>
      <c r="I825" s="495">
        <f t="shared" si="44"/>
        <v>0</v>
      </c>
    </row>
    <row r="826" spans="1:9" x14ac:dyDescent="0.15">
      <c r="A826" s="135"/>
      <c r="B826" s="453" t="s">
        <v>1068</v>
      </c>
      <c r="C826" s="454" t="s">
        <v>1075</v>
      </c>
      <c r="D826" s="141">
        <v>0</v>
      </c>
      <c r="E826" s="309">
        <v>0</v>
      </c>
      <c r="F826" s="141">
        <v>0</v>
      </c>
      <c r="G826" s="141">
        <v>0</v>
      </c>
      <c r="H826" s="147">
        <v>0</v>
      </c>
      <c r="I826" s="495">
        <f t="shared" si="44"/>
        <v>0</v>
      </c>
    </row>
    <row r="827" spans="1:9" x14ac:dyDescent="0.15">
      <c r="A827" s="135"/>
      <c r="B827" s="453" t="s">
        <v>1072</v>
      </c>
      <c r="C827" s="454" t="s">
        <v>920</v>
      </c>
      <c r="D827" s="141">
        <v>0</v>
      </c>
      <c r="E827" s="309">
        <v>0</v>
      </c>
      <c r="F827" s="141">
        <v>0</v>
      </c>
      <c r="G827" s="141">
        <v>0</v>
      </c>
      <c r="H827" s="147">
        <v>0</v>
      </c>
      <c r="I827" s="495">
        <f t="shared" si="44"/>
        <v>0</v>
      </c>
    </row>
    <row r="828" spans="1:9" x14ac:dyDescent="0.15">
      <c r="A828" s="135"/>
      <c r="B828" s="717" t="s">
        <v>155</v>
      </c>
      <c r="C828" s="706" t="s">
        <v>178</v>
      </c>
      <c r="D828" s="141">
        <v>0</v>
      </c>
      <c r="E828" s="309">
        <v>0</v>
      </c>
      <c r="F828" s="141">
        <v>0</v>
      </c>
      <c r="G828" s="141">
        <v>0</v>
      </c>
      <c r="H828" s="147">
        <v>0</v>
      </c>
      <c r="I828" s="495">
        <f t="shared" ref="I828" si="45">SUM(G828+H828)</f>
        <v>0</v>
      </c>
    </row>
    <row r="829" spans="1:9" x14ac:dyDescent="0.15">
      <c r="A829" s="135"/>
      <c r="B829" s="453" t="s">
        <v>921</v>
      </c>
      <c r="C829" s="454" t="s">
        <v>955</v>
      </c>
      <c r="D829" s="141">
        <v>0</v>
      </c>
      <c r="E829" s="309">
        <v>0</v>
      </c>
      <c r="F829" s="141">
        <v>0</v>
      </c>
      <c r="G829" s="141">
        <v>0</v>
      </c>
      <c r="H829" s="147">
        <v>0</v>
      </c>
      <c r="I829" s="495">
        <f t="shared" si="44"/>
        <v>0</v>
      </c>
    </row>
    <row r="830" spans="1:9" x14ac:dyDescent="0.15">
      <c r="A830" s="135"/>
      <c r="B830" s="453" t="s">
        <v>922</v>
      </c>
      <c r="C830" s="454" t="s">
        <v>956</v>
      </c>
      <c r="D830" s="141">
        <v>0</v>
      </c>
      <c r="E830" s="309">
        <v>0</v>
      </c>
      <c r="F830" s="141">
        <v>0</v>
      </c>
      <c r="G830" s="141">
        <v>0</v>
      </c>
      <c r="H830" s="147">
        <v>0</v>
      </c>
      <c r="I830" s="495">
        <f t="shared" si="44"/>
        <v>0</v>
      </c>
    </row>
    <row r="831" spans="1:9" x14ac:dyDescent="0.15">
      <c r="A831" s="135"/>
      <c r="B831" s="453" t="s">
        <v>923</v>
      </c>
      <c r="C831" s="454" t="s">
        <v>957</v>
      </c>
      <c r="D831" s="141">
        <v>0</v>
      </c>
      <c r="E831" s="309">
        <v>0</v>
      </c>
      <c r="F831" s="141">
        <v>0</v>
      </c>
      <c r="G831" s="141">
        <v>0</v>
      </c>
      <c r="H831" s="147">
        <v>0</v>
      </c>
      <c r="I831" s="495">
        <f t="shared" si="44"/>
        <v>0</v>
      </c>
    </row>
    <row r="832" spans="1:9" x14ac:dyDescent="0.15">
      <c r="A832" s="135"/>
      <c r="B832" s="453" t="s">
        <v>924</v>
      </c>
      <c r="C832" s="454" t="s">
        <v>958</v>
      </c>
      <c r="D832" s="141">
        <v>0</v>
      </c>
      <c r="E832" s="309">
        <v>0</v>
      </c>
      <c r="F832" s="141">
        <v>0</v>
      </c>
      <c r="G832" s="141">
        <v>0</v>
      </c>
      <c r="H832" s="147">
        <v>0</v>
      </c>
      <c r="I832" s="495">
        <f t="shared" si="44"/>
        <v>0</v>
      </c>
    </row>
    <row r="833" spans="1:9" x14ac:dyDescent="0.15">
      <c r="A833" s="135"/>
      <c r="B833" s="453" t="s">
        <v>925</v>
      </c>
      <c r="C833" s="454" t="s">
        <v>1128</v>
      </c>
      <c r="D833" s="141">
        <v>0</v>
      </c>
      <c r="E833" s="309">
        <v>0</v>
      </c>
      <c r="F833" s="141">
        <v>0</v>
      </c>
      <c r="G833" s="141">
        <v>0</v>
      </c>
      <c r="H833" s="147">
        <v>0</v>
      </c>
      <c r="I833" s="495">
        <f t="shared" si="44"/>
        <v>0</v>
      </c>
    </row>
    <row r="834" spans="1:9" x14ac:dyDescent="0.15">
      <c r="A834" s="135"/>
      <c r="B834" s="453" t="s">
        <v>926</v>
      </c>
      <c r="C834" s="454" t="s">
        <v>1129</v>
      </c>
      <c r="D834" s="141">
        <v>0</v>
      </c>
      <c r="E834" s="309">
        <v>0</v>
      </c>
      <c r="F834" s="141">
        <v>0</v>
      </c>
      <c r="G834" s="141">
        <v>0</v>
      </c>
      <c r="H834" s="147">
        <v>0</v>
      </c>
      <c r="I834" s="495">
        <f t="shared" si="44"/>
        <v>0</v>
      </c>
    </row>
    <row r="835" spans="1:9" x14ac:dyDescent="0.15">
      <c r="A835" s="135"/>
      <c r="B835" s="453" t="s">
        <v>927</v>
      </c>
      <c r="C835" s="454" t="s">
        <v>959</v>
      </c>
      <c r="D835" s="141">
        <v>0</v>
      </c>
      <c r="E835" s="309">
        <v>0</v>
      </c>
      <c r="F835" s="141">
        <v>0</v>
      </c>
      <c r="G835" s="141">
        <v>0</v>
      </c>
      <c r="H835" s="147">
        <v>0</v>
      </c>
      <c r="I835" s="495">
        <f t="shared" si="44"/>
        <v>0</v>
      </c>
    </row>
    <row r="836" spans="1:9" x14ac:dyDescent="0.15">
      <c r="A836" s="135"/>
      <c r="B836" s="453" t="s">
        <v>928</v>
      </c>
      <c r="C836" s="454" t="s">
        <v>961</v>
      </c>
      <c r="D836" s="141">
        <v>0</v>
      </c>
      <c r="E836" s="309">
        <v>0</v>
      </c>
      <c r="F836" s="141">
        <v>0</v>
      </c>
      <c r="G836" s="141">
        <v>0</v>
      </c>
      <c r="H836" s="147">
        <v>0</v>
      </c>
      <c r="I836" s="495">
        <f t="shared" si="44"/>
        <v>0</v>
      </c>
    </row>
    <row r="837" spans="1:9" x14ac:dyDescent="0.15">
      <c r="A837" s="135"/>
      <c r="B837" s="453" t="s">
        <v>962</v>
      </c>
      <c r="C837" s="454" t="s">
        <v>967</v>
      </c>
      <c r="D837" s="141">
        <v>0</v>
      </c>
      <c r="E837" s="309">
        <v>0</v>
      </c>
      <c r="F837" s="141">
        <v>0</v>
      </c>
      <c r="G837" s="141">
        <v>0</v>
      </c>
      <c r="H837" s="147">
        <v>0</v>
      </c>
      <c r="I837" s="495">
        <f t="shared" si="44"/>
        <v>0</v>
      </c>
    </row>
    <row r="838" spans="1:9" x14ac:dyDescent="0.15">
      <c r="A838" s="135"/>
      <c r="B838" s="453" t="s">
        <v>963</v>
      </c>
      <c r="C838" s="454" t="s">
        <v>1093</v>
      </c>
      <c r="D838" s="141">
        <v>0</v>
      </c>
      <c r="E838" s="309">
        <v>0</v>
      </c>
      <c r="F838" s="141">
        <v>0</v>
      </c>
      <c r="G838" s="141">
        <v>0</v>
      </c>
      <c r="H838" s="147">
        <v>0</v>
      </c>
      <c r="I838" s="495">
        <f t="shared" si="44"/>
        <v>0</v>
      </c>
    </row>
    <row r="839" spans="1:9" x14ac:dyDescent="0.15">
      <c r="A839" s="135"/>
      <c r="B839" s="453" t="s">
        <v>964</v>
      </c>
      <c r="C839" s="454" t="s">
        <v>1094</v>
      </c>
      <c r="D839" s="141">
        <v>0</v>
      </c>
      <c r="E839" s="309">
        <v>0</v>
      </c>
      <c r="F839" s="141">
        <v>0</v>
      </c>
      <c r="G839" s="141">
        <v>0</v>
      </c>
      <c r="H839" s="147">
        <v>0</v>
      </c>
      <c r="I839" s="495">
        <f t="shared" si="44"/>
        <v>0</v>
      </c>
    </row>
    <row r="840" spans="1:9" x14ac:dyDescent="0.15">
      <c r="A840" s="135"/>
      <c r="B840" s="453" t="s">
        <v>965</v>
      </c>
      <c r="C840" s="454" t="s">
        <v>1095</v>
      </c>
      <c r="D840" s="141">
        <v>0</v>
      </c>
      <c r="E840" s="309">
        <v>0</v>
      </c>
      <c r="F840" s="141">
        <v>0</v>
      </c>
      <c r="G840" s="141">
        <v>0</v>
      </c>
      <c r="H840" s="147">
        <v>0</v>
      </c>
      <c r="I840" s="495">
        <f t="shared" si="44"/>
        <v>0</v>
      </c>
    </row>
    <row r="841" spans="1:9" x14ac:dyDescent="0.15">
      <c r="A841" s="135"/>
      <c r="B841" s="453" t="s">
        <v>885</v>
      </c>
      <c r="C841" s="454" t="s">
        <v>1096</v>
      </c>
      <c r="D841" s="141">
        <v>0</v>
      </c>
      <c r="E841" s="309">
        <v>0</v>
      </c>
      <c r="F841" s="141">
        <v>0</v>
      </c>
      <c r="G841" s="141">
        <v>0</v>
      </c>
      <c r="H841" s="147">
        <v>0</v>
      </c>
      <c r="I841" s="495">
        <f t="shared" si="44"/>
        <v>0</v>
      </c>
    </row>
    <row r="842" spans="1:9" x14ac:dyDescent="0.15">
      <c r="A842" s="135"/>
      <c r="B842" s="453" t="s">
        <v>966</v>
      </c>
      <c r="C842" s="454" t="s">
        <v>1097</v>
      </c>
      <c r="D842" s="141">
        <v>0</v>
      </c>
      <c r="E842" s="309">
        <v>0</v>
      </c>
      <c r="F842" s="141">
        <v>0</v>
      </c>
      <c r="G842" s="141">
        <v>0</v>
      </c>
      <c r="H842" s="147">
        <v>0</v>
      </c>
      <c r="I842" s="495">
        <f t="shared" si="44"/>
        <v>0</v>
      </c>
    </row>
    <row r="843" spans="1:9" x14ac:dyDescent="0.15">
      <c r="A843" s="135"/>
      <c r="B843" s="453" t="s">
        <v>886</v>
      </c>
      <c r="C843" s="454" t="s">
        <v>1100</v>
      </c>
      <c r="D843" s="141">
        <v>0</v>
      </c>
      <c r="E843" s="309">
        <v>0</v>
      </c>
      <c r="F843" s="141">
        <v>0</v>
      </c>
      <c r="G843" s="141">
        <v>0</v>
      </c>
      <c r="H843" s="147">
        <v>0</v>
      </c>
      <c r="I843" s="495">
        <f t="shared" si="44"/>
        <v>0</v>
      </c>
    </row>
    <row r="844" spans="1:9" x14ac:dyDescent="0.15">
      <c r="A844" s="135"/>
      <c r="B844" s="453" t="s">
        <v>116</v>
      </c>
      <c r="C844" s="454" t="s">
        <v>1105</v>
      </c>
      <c r="D844" s="141">
        <v>0</v>
      </c>
      <c r="E844" s="309">
        <v>0</v>
      </c>
      <c r="F844" s="141">
        <v>0</v>
      </c>
      <c r="G844" s="141">
        <v>0</v>
      </c>
      <c r="H844" s="147">
        <v>0</v>
      </c>
      <c r="I844" s="495">
        <f t="shared" si="44"/>
        <v>0</v>
      </c>
    </row>
    <row r="845" spans="1:9" x14ac:dyDescent="0.15">
      <c r="A845" s="135"/>
      <c r="B845" s="453" t="s">
        <v>112</v>
      </c>
      <c r="C845" s="454" t="s">
        <v>1110</v>
      </c>
      <c r="D845" s="141">
        <v>0</v>
      </c>
      <c r="E845" s="309">
        <v>0</v>
      </c>
      <c r="F845" s="141">
        <v>0</v>
      </c>
      <c r="G845" s="141">
        <v>0</v>
      </c>
      <c r="H845" s="147">
        <v>0</v>
      </c>
      <c r="I845" s="495">
        <f t="shared" si="44"/>
        <v>0</v>
      </c>
    </row>
    <row r="846" spans="1:9" x14ac:dyDescent="0.15">
      <c r="A846" s="135"/>
      <c r="B846" s="453" t="s">
        <v>887</v>
      </c>
      <c r="C846" s="454" t="s">
        <v>1116</v>
      </c>
      <c r="D846" s="141">
        <v>0</v>
      </c>
      <c r="E846" s="309">
        <v>0</v>
      </c>
      <c r="F846" s="141">
        <v>0</v>
      </c>
      <c r="G846" s="141">
        <v>0</v>
      </c>
      <c r="H846" s="147">
        <v>0</v>
      </c>
      <c r="I846" s="495">
        <f t="shared" si="44"/>
        <v>0</v>
      </c>
    </row>
    <row r="847" spans="1:9" x14ac:dyDescent="0.15">
      <c r="A847" s="135"/>
      <c r="B847" s="453" t="s">
        <v>1112</v>
      </c>
      <c r="C847" s="454" t="s">
        <v>1117</v>
      </c>
      <c r="D847" s="141">
        <v>0</v>
      </c>
      <c r="E847" s="309">
        <v>0</v>
      </c>
      <c r="F847" s="141">
        <v>0</v>
      </c>
      <c r="G847" s="141">
        <v>0</v>
      </c>
      <c r="H847" s="147">
        <v>0</v>
      </c>
      <c r="I847" s="495">
        <f t="shared" si="44"/>
        <v>0</v>
      </c>
    </row>
    <row r="848" spans="1:9" x14ac:dyDescent="0.15">
      <c r="A848" s="135"/>
      <c r="B848" s="453" t="s">
        <v>1113</v>
      </c>
      <c r="C848" s="454" t="s">
        <v>1118</v>
      </c>
      <c r="D848" s="141">
        <v>0</v>
      </c>
      <c r="E848" s="309">
        <v>0</v>
      </c>
      <c r="F848" s="141">
        <v>0</v>
      </c>
      <c r="G848" s="141">
        <v>0</v>
      </c>
      <c r="H848" s="147">
        <v>0</v>
      </c>
      <c r="I848" s="495">
        <f t="shared" si="44"/>
        <v>0</v>
      </c>
    </row>
    <row r="849" spans="1:9" ht="11.25" thickBot="1" x14ac:dyDescent="0.2">
      <c r="A849" s="135"/>
      <c r="B849" s="453" t="s">
        <v>1114</v>
      </c>
      <c r="C849" s="454" t="s">
        <v>1119</v>
      </c>
      <c r="D849" s="141">
        <v>0</v>
      </c>
      <c r="E849" s="309">
        <v>0</v>
      </c>
      <c r="F849" s="141">
        <v>0</v>
      </c>
      <c r="G849" s="141">
        <v>0</v>
      </c>
      <c r="H849" s="147">
        <v>0</v>
      </c>
      <c r="I849" s="495">
        <f t="shared" si="44"/>
        <v>0</v>
      </c>
    </row>
    <row r="850" spans="1:9" ht="12" thickTop="1" thickBot="1" x14ac:dyDescent="0.2">
      <c r="A850" s="135"/>
      <c r="B850" s="453"/>
      <c r="C850" s="454" t="s">
        <v>1281</v>
      </c>
      <c r="D850" s="166">
        <f>SUM(D816:D849)</f>
        <v>0</v>
      </c>
      <c r="E850" s="297">
        <f>SUM(E816:E849)</f>
        <v>0</v>
      </c>
      <c r="F850" s="166">
        <f>SUM(F816:F849)</f>
        <v>0</v>
      </c>
      <c r="G850" s="166">
        <f>SUM(G816:G849)</f>
        <v>0</v>
      </c>
      <c r="H850" s="166">
        <f>SUM(H816:H849)</f>
        <v>0</v>
      </c>
      <c r="I850" s="166">
        <f t="shared" si="44"/>
        <v>0</v>
      </c>
    </row>
    <row r="851" spans="1:9" ht="11.25" thickTop="1" x14ac:dyDescent="0.15">
      <c r="A851" s="135"/>
      <c r="B851" s="454"/>
      <c r="C851" s="454"/>
      <c r="D851" s="14"/>
      <c r="E851" s="301"/>
      <c r="F851" s="14"/>
      <c r="G851" s="14"/>
      <c r="H851" s="14"/>
      <c r="I851" s="491"/>
    </row>
    <row r="852" spans="1:9" x14ac:dyDescent="0.15">
      <c r="A852" s="452" t="s">
        <v>1283</v>
      </c>
      <c r="B852" s="454"/>
      <c r="C852" s="454"/>
      <c r="D852" s="14"/>
      <c r="E852" s="301"/>
      <c r="F852" s="14"/>
      <c r="G852" s="14"/>
      <c r="H852" s="14"/>
      <c r="I852" s="491"/>
    </row>
    <row r="853" spans="1:9" hidden="1" x14ac:dyDescent="0.15">
      <c r="A853" s="416"/>
      <c r="B853" s="453" t="s">
        <v>880</v>
      </c>
      <c r="C853" s="454" t="s">
        <v>1164</v>
      </c>
      <c r="D853" s="308">
        <v>0</v>
      </c>
      <c r="E853" s="308">
        <v>0</v>
      </c>
      <c r="F853" s="308">
        <v>0</v>
      </c>
      <c r="G853" s="458"/>
      <c r="H853" s="457">
        <v>0</v>
      </c>
      <c r="I853" s="494">
        <f>SUM(G853+H853)</f>
        <v>0</v>
      </c>
    </row>
    <row r="854" spans="1:9" x14ac:dyDescent="0.15">
      <c r="A854" s="416"/>
      <c r="B854" s="453" t="s">
        <v>880</v>
      </c>
      <c r="C854" s="454" t="s">
        <v>337</v>
      </c>
      <c r="D854" s="308">
        <v>0</v>
      </c>
      <c r="E854" s="308">
        <v>0</v>
      </c>
      <c r="F854" s="308">
        <v>0</v>
      </c>
      <c r="G854" s="308">
        <v>0</v>
      </c>
      <c r="H854" s="457">
        <v>0</v>
      </c>
      <c r="I854" s="494">
        <f>SUM(G854+H854)</f>
        <v>0</v>
      </c>
    </row>
    <row r="855" spans="1:9" hidden="1" x14ac:dyDescent="0.15">
      <c r="A855" s="454"/>
      <c r="B855" s="453" t="s">
        <v>881</v>
      </c>
      <c r="C855" s="454" t="s">
        <v>382</v>
      </c>
      <c r="D855" s="308">
        <v>0</v>
      </c>
      <c r="E855" s="308">
        <v>0</v>
      </c>
      <c r="F855" s="308">
        <v>0</v>
      </c>
      <c r="G855" s="459"/>
      <c r="H855" s="457">
        <v>0</v>
      </c>
      <c r="I855" s="494">
        <f>SUM(G855+H855)</f>
        <v>0</v>
      </c>
    </row>
    <row r="856" spans="1:9" x14ac:dyDescent="0.15">
      <c r="A856" s="135"/>
      <c r="B856" s="451" t="s">
        <v>881</v>
      </c>
      <c r="C856" s="135" t="s">
        <v>338</v>
      </c>
      <c r="D856" s="144">
        <v>0</v>
      </c>
      <c r="E856" s="308">
        <v>0</v>
      </c>
      <c r="F856" s="144">
        <v>0</v>
      </c>
      <c r="G856" s="144">
        <v>0</v>
      </c>
      <c r="H856" s="147">
        <v>0</v>
      </c>
      <c r="I856" s="495">
        <f>SUM(G856+H856)</f>
        <v>0</v>
      </c>
    </row>
    <row r="857" spans="1:9" x14ac:dyDescent="0.15">
      <c r="A857" s="135"/>
      <c r="B857" s="453" t="s">
        <v>882</v>
      </c>
      <c r="C857" s="454" t="s">
        <v>1058</v>
      </c>
      <c r="D857" s="141">
        <v>0</v>
      </c>
      <c r="E857" s="309">
        <v>0</v>
      </c>
      <c r="F857" s="141">
        <v>0</v>
      </c>
      <c r="G857" s="285">
        <v>0</v>
      </c>
      <c r="H857" s="147">
        <v>0</v>
      </c>
      <c r="I857" s="495">
        <f t="shared" ref="I857:I887" si="46">SUM(G857+H857)</f>
        <v>0</v>
      </c>
    </row>
    <row r="858" spans="1:9" x14ac:dyDescent="0.15">
      <c r="A858" s="135"/>
      <c r="B858" s="453" t="s">
        <v>883</v>
      </c>
      <c r="C858" s="454" t="s">
        <v>1059</v>
      </c>
      <c r="D858" s="141">
        <v>0</v>
      </c>
      <c r="E858" s="309">
        <v>0</v>
      </c>
      <c r="F858" s="141">
        <v>0</v>
      </c>
      <c r="G858" s="285">
        <v>0</v>
      </c>
      <c r="H858" s="147">
        <v>0</v>
      </c>
      <c r="I858" s="495">
        <f t="shared" si="46"/>
        <v>0</v>
      </c>
    </row>
    <row r="859" spans="1:9" x14ac:dyDescent="0.15">
      <c r="A859" s="135"/>
      <c r="B859" s="453" t="s">
        <v>1060</v>
      </c>
      <c r="C859" s="454" t="s">
        <v>1061</v>
      </c>
      <c r="D859" s="141">
        <v>0</v>
      </c>
      <c r="E859" s="309">
        <v>0</v>
      </c>
      <c r="F859" s="141">
        <v>0</v>
      </c>
      <c r="G859" s="285">
        <v>0</v>
      </c>
      <c r="H859" s="147">
        <v>0</v>
      </c>
      <c r="I859" s="495">
        <f t="shared" si="46"/>
        <v>0</v>
      </c>
    </row>
    <row r="860" spans="1:9" x14ac:dyDescent="0.15">
      <c r="A860" s="135"/>
      <c r="B860" s="453" t="s">
        <v>1062</v>
      </c>
      <c r="C860" s="454" t="s">
        <v>1063</v>
      </c>
      <c r="D860" s="141">
        <v>0</v>
      </c>
      <c r="E860" s="309">
        <v>0</v>
      </c>
      <c r="F860" s="141">
        <v>0</v>
      </c>
      <c r="G860" s="285">
        <v>0</v>
      </c>
      <c r="H860" s="147">
        <v>0</v>
      </c>
      <c r="I860" s="495">
        <f t="shared" si="46"/>
        <v>0</v>
      </c>
    </row>
    <row r="861" spans="1:9" x14ac:dyDescent="0.15">
      <c r="A861" s="135"/>
      <c r="B861" s="453" t="s">
        <v>884</v>
      </c>
      <c r="C861" s="454" t="s">
        <v>1064</v>
      </c>
      <c r="D861" s="141">
        <v>0</v>
      </c>
      <c r="E861" s="309">
        <v>0</v>
      </c>
      <c r="F861" s="141">
        <v>0</v>
      </c>
      <c r="G861" s="285">
        <v>0</v>
      </c>
      <c r="H861" s="147">
        <v>0</v>
      </c>
      <c r="I861" s="495">
        <f t="shared" si="46"/>
        <v>0</v>
      </c>
    </row>
    <row r="862" spans="1:9" x14ac:dyDescent="0.15">
      <c r="A862" s="135"/>
      <c r="B862" s="453" t="s">
        <v>1067</v>
      </c>
      <c r="C862" s="454" t="s">
        <v>1074</v>
      </c>
      <c r="D862" s="141">
        <v>0</v>
      </c>
      <c r="E862" s="309">
        <v>0</v>
      </c>
      <c r="F862" s="141">
        <v>0</v>
      </c>
      <c r="G862" s="285">
        <v>0</v>
      </c>
      <c r="H862" s="147">
        <v>0</v>
      </c>
      <c r="I862" s="495">
        <f t="shared" si="46"/>
        <v>0</v>
      </c>
    </row>
    <row r="863" spans="1:9" x14ac:dyDescent="0.15">
      <c r="A863" s="135"/>
      <c r="B863" s="453" t="s">
        <v>1068</v>
      </c>
      <c r="C863" s="454" t="s">
        <v>1075</v>
      </c>
      <c r="D863" s="141">
        <v>0</v>
      </c>
      <c r="E863" s="309">
        <v>0</v>
      </c>
      <c r="F863" s="141">
        <v>0</v>
      </c>
      <c r="G863" s="285">
        <v>0</v>
      </c>
      <c r="H863" s="147">
        <v>0</v>
      </c>
      <c r="I863" s="495">
        <f t="shared" si="46"/>
        <v>0</v>
      </c>
    </row>
    <row r="864" spans="1:9" x14ac:dyDescent="0.15">
      <c r="A864" s="135"/>
      <c r="B864" s="453" t="s">
        <v>1072</v>
      </c>
      <c r="C864" s="454" t="s">
        <v>920</v>
      </c>
      <c r="D864" s="141">
        <v>0</v>
      </c>
      <c r="E864" s="309">
        <v>0</v>
      </c>
      <c r="F864" s="141">
        <v>0</v>
      </c>
      <c r="G864" s="285">
        <v>0</v>
      </c>
      <c r="H864" s="147">
        <v>0</v>
      </c>
      <c r="I864" s="495">
        <f t="shared" si="46"/>
        <v>0</v>
      </c>
    </row>
    <row r="865" spans="1:9" x14ac:dyDescent="0.15">
      <c r="A865" s="135"/>
      <c r="B865" s="717" t="s">
        <v>155</v>
      </c>
      <c r="C865" s="706" t="s">
        <v>178</v>
      </c>
      <c r="D865" s="141">
        <v>0</v>
      </c>
      <c r="E865" s="309">
        <v>0</v>
      </c>
      <c r="F865" s="141">
        <v>0</v>
      </c>
      <c r="G865" s="285">
        <v>0</v>
      </c>
      <c r="H865" s="147">
        <v>0</v>
      </c>
      <c r="I865" s="495">
        <f t="shared" ref="I865" si="47">SUM(G865+H865)</f>
        <v>0</v>
      </c>
    </row>
    <row r="866" spans="1:9" x14ac:dyDescent="0.15">
      <c r="A866" s="135"/>
      <c r="B866" s="453" t="s">
        <v>921</v>
      </c>
      <c r="C866" s="454" t="s">
        <v>955</v>
      </c>
      <c r="D866" s="141">
        <v>0</v>
      </c>
      <c r="E866" s="309">
        <v>0</v>
      </c>
      <c r="F866" s="141">
        <v>0</v>
      </c>
      <c r="G866" s="285">
        <v>0</v>
      </c>
      <c r="H866" s="147">
        <v>0</v>
      </c>
      <c r="I866" s="495">
        <f t="shared" si="46"/>
        <v>0</v>
      </c>
    </row>
    <row r="867" spans="1:9" x14ac:dyDescent="0.15">
      <c r="A867" s="135"/>
      <c r="B867" s="453" t="s">
        <v>922</v>
      </c>
      <c r="C867" s="454" t="s">
        <v>956</v>
      </c>
      <c r="D867" s="141">
        <v>0</v>
      </c>
      <c r="E867" s="309">
        <v>0</v>
      </c>
      <c r="F867" s="141">
        <v>0</v>
      </c>
      <c r="G867" s="285">
        <v>0</v>
      </c>
      <c r="H867" s="147">
        <v>0</v>
      </c>
      <c r="I867" s="495">
        <f t="shared" si="46"/>
        <v>0</v>
      </c>
    </row>
    <row r="868" spans="1:9" x14ac:dyDescent="0.15">
      <c r="A868" s="135"/>
      <c r="B868" s="453" t="s">
        <v>923</v>
      </c>
      <c r="C868" s="454" t="s">
        <v>957</v>
      </c>
      <c r="D868" s="141">
        <v>0</v>
      </c>
      <c r="E868" s="309">
        <v>0</v>
      </c>
      <c r="F868" s="141">
        <v>0</v>
      </c>
      <c r="G868" s="285">
        <v>0</v>
      </c>
      <c r="H868" s="147">
        <v>0</v>
      </c>
      <c r="I868" s="495">
        <f t="shared" si="46"/>
        <v>0</v>
      </c>
    </row>
    <row r="869" spans="1:9" x14ac:dyDescent="0.15">
      <c r="A869" s="135"/>
      <c r="B869" s="453" t="s">
        <v>924</v>
      </c>
      <c r="C869" s="454" t="s">
        <v>958</v>
      </c>
      <c r="D869" s="141">
        <v>0</v>
      </c>
      <c r="E869" s="309">
        <v>0</v>
      </c>
      <c r="F869" s="141">
        <v>0</v>
      </c>
      <c r="G869" s="285">
        <v>0</v>
      </c>
      <c r="H869" s="147">
        <v>0</v>
      </c>
      <c r="I869" s="495">
        <f t="shared" si="46"/>
        <v>0</v>
      </c>
    </row>
    <row r="870" spans="1:9" x14ac:dyDescent="0.15">
      <c r="A870" s="135"/>
      <c r="B870" s="453" t="s">
        <v>925</v>
      </c>
      <c r="C870" s="454" t="s">
        <v>1128</v>
      </c>
      <c r="D870" s="141">
        <v>0</v>
      </c>
      <c r="E870" s="309">
        <v>0</v>
      </c>
      <c r="F870" s="141">
        <v>0</v>
      </c>
      <c r="G870" s="285">
        <v>0</v>
      </c>
      <c r="H870" s="147">
        <v>0</v>
      </c>
      <c r="I870" s="495">
        <f t="shared" si="46"/>
        <v>0</v>
      </c>
    </row>
    <row r="871" spans="1:9" x14ac:dyDescent="0.15">
      <c r="A871" s="135"/>
      <c r="B871" s="453" t="s">
        <v>926</v>
      </c>
      <c r="C871" s="454" t="s">
        <v>1129</v>
      </c>
      <c r="D871" s="141">
        <v>0</v>
      </c>
      <c r="E871" s="309">
        <v>0</v>
      </c>
      <c r="F871" s="141">
        <v>0</v>
      </c>
      <c r="G871" s="285">
        <v>0</v>
      </c>
      <c r="H871" s="147">
        <v>0</v>
      </c>
      <c r="I871" s="495">
        <f t="shared" si="46"/>
        <v>0</v>
      </c>
    </row>
    <row r="872" spans="1:9" x14ac:dyDescent="0.15">
      <c r="A872" s="135"/>
      <c r="B872" s="453" t="s">
        <v>927</v>
      </c>
      <c r="C872" s="454" t="s">
        <v>959</v>
      </c>
      <c r="D872" s="141">
        <v>0</v>
      </c>
      <c r="E872" s="309">
        <v>0</v>
      </c>
      <c r="F872" s="141">
        <v>0</v>
      </c>
      <c r="G872" s="285">
        <v>0</v>
      </c>
      <c r="H872" s="147">
        <v>0</v>
      </c>
      <c r="I872" s="495">
        <f t="shared" si="46"/>
        <v>0</v>
      </c>
    </row>
    <row r="873" spans="1:9" x14ac:dyDescent="0.15">
      <c r="A873" s="135"/>
      <c r="B873" s="453" t="s">
        <v>928</v>
      </c>
      <c r="C873" s="454" t="s">
        <v>961</v>
      </c>
      <c r="D873" s="141">
        <v>0</v>
      </c>
      <c r="E873" s="309">
        <v>0</v>
      </c>
      <c r="F873" s="141">
        <v>0</v>
      </c>
      <c r="G873" s="285">
        <v>0</v>
      </c>
      <c r="H873" s="147">
        <v>0</v>
      </c>
      <c r="I873" s="495">
        <f t="shared" si="46"/>
        <v>0</v>
      </c>
    </row>
    <row r="874" spans="1:9" x14ac:dyDescent="0.15">
      <c r="A874" s="135"/>
      <c r="B874" s="453" t="s">
        <v>962</v>
      </c>
      <c r="C874" s="454" t="s">
        <v>967</v>
      </c>
      <c r="D874" s="141">
        <v>0</v>
      </c>
      <c r="E874" s="309">
        <v>0</v>
      </c>
      <c r="F874" s="141">
        <v>0</v>
      </c>
      <c r="G874" s="285">
        <v>0</v>
      </c>
      <c r="H874" s="147">
        <v>0</v>
      </c>
      <c r="I874" s="495">
        <f t="shared" si="46"/>
        <v>0</v>
      </c>
    </row>
    <row r="875" spans="1:9" x14ac:dyDescent="0.15">
      <c r="A875" s="135"/>
      <c r="B875" s="453" t="s">
        <v>963</v>
      </c>
      <c r="C875" s="454" t="s">
        <v>1093</v>
      </c>
      <c r="D875" s="141">
        <v>0</v>
      </c>
      <c r="E875" s="309">
        <v>0</v>
      </c>
      <c r="F875" s="141">
        <v>0</v>
      </c>
      <c r="G875" s="285">
        <v>0</v>
      </c>
      <c r="H875" s="147">
        <v>0</v>
      </c>
      <c r="I875" s="495">
        <f t="shared" si="46"/>
        <v>0</v>
      </c>
    </row>
    <row r="876" spans="1:9" x14ac:dyDescent="0.15">
      <c r="A876" s="135"/>
      <c r="B876" s="453" t="s">
        <v>964</v>
      </c>
      <c r="C876" s="454" t="s">
        <v>1094</v>
      </c>
      <c r="D876" s="141">
        <v>0</v>
      </c>
      <c r="E876" s="309">
        <v>0</v>
      </c>
      <c r="F876" s="141">
        <v>0</v>
      </c>
      <c r="G876" s="285">
        <v>0</v>
      </c>
      <c r="H876" s="147">
        <v>0</v>
      </c>
      <c r="I876" s="495">
        <f t="shared" si="46"/>
        <v>0</v>
      </c>
    </row>
    <row r="877" spans="1:9" x14ac:dyDescent="0.15">
      <c r="A877" s="135"/>
      <c r="B877" s="453" t="s">
        <v>965</v>
      </c>
      <c r="C877" s="454" t="s">
        <v>1095</v>
      </c>
      <c r="D877" s="141">
        <v>0</v>
      </c>
      <c r="E877" s="309">
        <v>0</v>
      </c>
      <c r="F877" s="141">
        <v>0</v>
      </c>
      <c r="G877" s="285">
        <v>0</v>
      </c>
      <c r="H877" s="147">
        <v>0</v>
      </c>
      <c r="I877" s="495">
        <f t="shared" si="46"/>
        <v>0</v>
      </c>
    </row>
    <row r="878" spans="1:9" x14ac:dyDescent="0.15">
      <c r="A878" s="135"/>
      <c r="B878" s="453" t="s">
        <v>885</v>
      </c>
      <c r="C878" s="454" t="s">
        <v>1096</v>
      </c>
      <c r="D878" s="141">
        <v>0</v>
      </c>
      <c r="E878" s="309">
        <v>0</v>
      </c>
      <c r="F878" s="141">
        <v>0</v>
      </c>
      <c r="G878" s="285">
        <v>0</v>
      </c>
      <c r="H878" s="147">
        <v>0</v>
      </c>
      <c r="I878" s="495">
        <f t="shared" si="46"/>
        <v>0</v>
      </c>
    </row>
    <row r="879" spans="1:9" x14ac:dyDescent="0.15">
      <c r="A879" s="135"/>
      <c r="B879" s="453" t="s">
        <v>966</v>
      </c>
      <c r="C879" s="454" t="s">
        <v>1097</v>
      </c>
      <c r="D879" s="141">
        <v>0</v>
      </c>
      <c r="E879" s="309">
        <v>0</v>
      </c>
      <c r="F879" s="141">
        <v>0</v>
      </c>
      <c r="G879" s="285">
        <v>0</v>
      </c>
      <c r="H879" s="147">
        <v>0</v>
      </c>
      <c r="I879" s="495">
        <f t="shared" si="46"/>
        <v>0</v>
      </c>
    </row>
    <row r="880" spans="1:9" x14ac:dyDescent="0.15">
      <c r="A880" s="135"/>
      <c r="B880" s="453" t="s">
        <v>886</v>
      </c>
      <c r="C880" s="454" t="s">
        <v>1100</v>
      </c>
      <c r="D880" s="141">
        <v>0</v>
      </c>
      <c r="E880" s="309">
        <v>0</v>
      </c>
      <c r="F880" s="141">
        <v>0</v>
      </c>
      <c r="G880" s="285">
        <v>0</v>
      </c>
      <c r="H880" s="147">
        <v>0</v>
      </c>
      <c r="I880" s="495">
        <f t="shared" si="46"/>
        <v>0</v>
      </c>
    </row>
    <row r="881" spans="1:9" x14ac:dyDescent="0.15">
      <c r="A881" s="135"/>
      <c r="B881" s="453" t="s">
        <v>116</v>
      </c>
      <c r="C881" s="454" t="s">
        <v>1105</v>
      </c>
      <c r="D881" s="141">
        <v>0</v>
      </c>
      <c r="E881" s="309">
        <v>0</v>
      </c>
      <c r="F881" s="141">
        <v>0</v>
      </c>
      <c r="G881" s="285">
        <v>0</v>
      </c>
      <c r="H881" s="147">
        <v>0</v>
      </c>
      <c r="I881" s="495">
        <f t="shared" si="46"/>
        <v>0</v>
      </c>
    </row>
    <row r="882" spans="1:9" x14ac:dyDescent="0.15">
      <c r="A882" s="135"/>
      <c r="B882" s="453" t="s">
        <v>112</v>
      </c>
      <c r="C882" s="454" t="s">
        <v>1110</v>
      </c>
      <c r="D882" s="141">
        <v>0</v>
      </c>
      <c r="E882" s="309">
        <v>0</v>
      </c>
      <c r="F882" s="141">
        <v>0</v>
      </c>
      <c r="G882" s="285">
        <v>0</v>
      </c>
      <c r="H882" s="147">
        <v>0</v>
      </c>
      <c r="I882" s="495">
        <f t="shared" si="46"/>
        <v>0</v>
      </c>
    </row>
    <row r="883" spans="1:9" x14ac:dyDescent="0.15">
      <c r="A883" s="135"/>
      <c r="B883" s="453" t="s">
        <v>887</v>
      </c>
      <c r="C883" s="454" t="s">
        <v>1116</v>
      </c>
      <c r="D883" s="141">
        <v>0</v>
      </c>
      <c r="E883" s="309">
        <v>0</v>
      </c>
      <c r="F883" s="141">
        <v>0</v>
      </c>
      <c r="G883" s="285">
        <v>0</v>
      </c>
      <c r="H883" s="147">
        <v>0</v>
      </c>
      <c r="I883" s="495">
        <f t="shared" si="46"/>
        <v>0</v>
      </c>
    </row>
    <row r="884" spans="1:9" x14ac:dyDescent="0.15">
      <c r="A884" s="135"/>
      <c r="B884" s="453" t="s">
        <v>1112</v>
      </c>
      <c r="C884" s="454" t="s">
        <v>1117</v>
      </c>
      <c r="D884" s="141">
        <v>0</v>
      </c>
      <c r="E884" s="309">
        <v>0</v>
      </c>
      <c r="F884" s="141">
        <v>0</v>
      </c>
      <c r="G884" s="285">
        <v>0</v>
      </c>
      <c r="H884" s="147">
        <v>0</v>
      </c>
      <c r="I884" s="495">
        <f t="shared" si="46"/>
        <v>0</v>
      </c>
    </row>
    <row r="885" spans="1:9" x14ac:dyDescent="0.15">
      <c r="A885" s="135"/>
      <c r="B885" s="453" t="s">
        <v>1113</v>
      </c>
      <c r="C885" s="454" t="s">
        <v>1118</v>
      </c>
      <c r="D885" s="141">
        <v>0</v>
      </c>
      <c r="E885" s="309">
        <v>0</v>
      </c>
      <c r="F885" s="141">
        <v>0</v>
      </c>
      <c r="G885" s="285">
        <v>0</v>
      </c>
      <c r="H885" s="147">
        <v>0</v>
      </c>
      <c r="I885" s="495">
        <f t="shared" si="46"/>
        <v>0</v>
      </c>
    </row>
    <row r="886" spans="1:9" ht="11.25" thickBot="1" x14ac:dyDescent="0.2">
      <c r="A886" s="135"/>
      <c r="B886" s="453" t="s">
        <v>1114</v>
      </c>
      <c r="C886" s="454" t="s">
        <v>1119</v>
      </c>
      <c r="D886" s="141">
        <v>0</v>
      </c>
      <c r="E886" s="309">
        <v>0</v>
      </c>
      <c r="F886" s="141">
        <v>0</v>
      </c>
      <c r="G886" s="285">
        <v>0</v>
      </c>
      <c r="H886" s="147">
        <v>0</v>
      </c>
      <c r="I886" s="495">
        <f t="shared" si="46"/>
        <v>0</v>
      </c>
    </row>
    <row r="887" spans="1:9" ht="12" thickTop="1" thickBot="1" x14ac:dyDescent="0.2">
      <c r="A887" s="135"/>
      <c r="B887" s="453"/>
      <c r="C887" s="454" t="s">
        <v>1284</v>
      </c>
      <c r="D887" s="166">
        <f>SUM(D853:D886)</f>
        <v>0</v>
      </c>
      <c r="E887" s="297">
        <f>SUM(E853:E886)</f>
        <v>0</v>
      </c>
      <c r="F887" s="166">
        <f>SUM(F853:F886)</f>
        <v>0</v>
      </c>
      <c r="G887" s="166">
        <f>SUM(G853:G886)</f>
        <v>0</v>
      </c>
      <c r="H887" s="166">
        <f>SUM(H853:H886)</f>
        <v>0</v>
      </c>
      <c r="I887" s="166">
        <f t="shared" si="46"/>
        <v>0</v>
      </c>
    </row>
    <row r="888" spans="1:9" ht="11.25" thickTop="1" x14ac:dyDescent="0.15">
      <c r="A888" s="135"/>
      <c r="B888" s="454"/>
      <c r="C888" s="454"/>
      <c r="D888" s="14"/>
      <c r="E888" s="301"/>
      <c r="F888" s="14"/>
      <c r="G888" s="14"/>
      <c r="H888" s="14"/>
      <c r="I888" s="491"/>
    </row>
    <row r="889" spans="1:9" x14ac:dyDescent="0.15">
      <c r="A889" s="452" t="s">
        <v>1285</v>
      </c>
      <c r="B889" s="454"/>
      <c r="C889" s="454"/>
      <c r="D889" s="14"/>
      <c r="E889" s="301"/>
      <c r="F889" s="14"/>
      <c r="G889" s="14"/>
      <c r="H889" s="14"/>
      <c r="I889" s="491"/>
    </row>
    <row r="890" spans="1:9" hidden="1" x14ac:dyDescent="0.15">
      <c r="A890" s="416"/>
      <c r="B890" s="453" t="s">
        <v>880</v>
      </c>
      <c r="C890" s="454" t="s">
        <v>1164</v>
      </c>
      <c r="D890" s="308">
        <v>0</v>
      </c>
      <c r="E890" s="308">
        <v>0</v>
      </c>
      <c r="F890" s="308">
        <v>0</v>
      </c>
      <c r="G890" s="458"/>
      <c r="H890" s="457">
        <v>0</v>
      </c>
      <c r="I890" s="494">
        <f>SUM(G890+H890)</f>
        <v>0</v>
      </c>
    </row>
    <row r="891" spans="1:9" x14ac:dyDescent="0.15">
      <c r="A891" s="416"/>
      <c r="B891" s="453" t="s">
        <v>880</v>
      </c>
      <c r="C891" s="454" t="s">
        <v>337</v>
      </c>
      <c r="D891" s="308">
        <v>0</v>
      </c>
      <c r="E891" s="308">
        <v>0</v>
      </c>
      <c r="F891" s="308">
        <v>0</v>
      </c>
      <c r="G891" s="308">
        <v>0</v>
      </c>
      <c r="H891" s="457">
        <v>0</v>
      </c>
      <c r="I891" s="494">
        <f>SUM(G891+H891)</f>
        <v>0</v>
      </c>
    </row>
    <row r="892" spans="1:9" hidden="1" x14ac:dyDescent="0.15">
      <c r="A892" s="454"/>
      <c r="B892" s="453" t="s">
        <v>881</v>
      </c>
      <c r="C892" s="454" t="s">
        <v>382</v>
      </c>
      <c r="D892" s="308">
        <v>0</v>
      </c>
      <c r="E892" s="308">
        <v>0</v>
      </c>
      <c r="F892" s="308">
        <v>0</v>
      </c>
      <c r="G892" s="459"/>
      <c r="H892" s="457">
        <v>0</v>
      </c>
      <c r="I892" s="494">
        <f>SUM(G892+H892)</f>
        <v>0</v>
      </c>
    </row>
    <row r="893" spans="1:9" x14ac:dyDescent="0.15">
      <c r="A893" s="454"/>
      <c r="B893" s="453" t="s">
        <v>881</v>
      </c>
      <c r="C893" s="454" t="s">
        <v>338</v>
      </c>
      <c r="D893" s="308">
        <v>0</v>
      </c>
      <c r="E893" s="308">
        <v>0</v>
      </c>
      <c r="F893" s="308">
        <v>0</v>
      </c>
      <c r="G893" s="308">
        <v>0</v>
      </c>
      <c r="H893" s="457">
        <v>0</v>
      </c>
      <c r="I893" s="494">
        <f>SUM(G893+H893)</f>
        <v>0</v>
      </c>
    </row>
    <row r="894" spans="1:9" x14ac:dyDescent="0.15">
      <c r="A894" s="135"/>
      <c r="B894" s="453" t="s">
        <v>882</v>
      </c>
      <c r="C894" s="454" t="s">
        <v>1058</v>
      </c>
      <c r="D894" s="141">
        <v>0</v>
      </c>
      <c r="E894" s="309">
        <v>0</v>
      </c>
      <c r="F894" s="141">
        <v>0</v>
      </c>
      <c r="G894" s="141">
        <v>0</v>
      </c>
      <c r="H894" s="147">
        <v>0</v>
      </c>
      <c r="I894" s="495">
        <f t="shared" ref="I894:I924" si="48">SUM(G894+H894)</f>
        <v>0</v>
      </c>
    </row>
    <row r="895" spans="1:9" x14ac:dyDescent="0.15">
      <c r="A895" s="135"/>
      <c r="B895" s="453" t="s">
        <v>883</v>
      </c>
      <c r="C895" s="454" t="s">
        <v>1059</v>
      </c>
      <c r="D895" s="141">
        <v>0</v>
      </c>
      <c r="E895" s="309">
        <v>0</v>
      </c>
      <c r="F895" s="141">
        <v>0</v>
      </c>
      <c r="G895" s="141">
        <v>0</v>
      </c>
      <c r="H895" s="147">
        <v>0</v>
      </c>
      <c r="I895" s="495">
        <f t="shared" si="48"/>
        <v>0</v>
      </c>
    </row>
    <row r="896" spans="1:9" x14ac:dyDescent="0.15">
      <c r="A896" s="135"/>
      <c r="B896" s="453" t="s">
        <v>1060</v>
      </c>
      <c r="C896" s="454" t="s">
        <v>1061</v>
      </c>
      <c r="D896" s="141">
        <v>0</v>
      </c>
      <c r="E896" s="309">
        <v>0</v>
      </c>
      <c r="F896" s="141">
        <v>0</v>
      </c>
      <c r="G896" s="141">
        <v>0</v>
      </c>
      <c r="H896" s="147">
        <v>0</v>
      </c>
      <c r="I896" s="495">
        <f t="shared" si="48"/>
        <v>0</v>
      </c>
    </row>
    <row r="897" spans="1:9" x14ac:dyDescent="0.15">
      <c r="A897" s="135"/>
      <c r="B897" s="453" t="s">
        <v>1062</v>
      </c>
      <c r="C897" s="454" t="s">
        <v>1063</v>
      </c>
      <c r="D897" s="141">
        <v>0</v>
      </c>
      <c r="E897" s="309">
        <v>0</v>
      </c>
      <c r="F897" s="141">
        <v>0</v>
      </c>
      <c r="G897" s="141">
        <v>0</v>
      </c>
      <c r="H897" s="147">
        <v>0</v>
      </c>
      <c r="I897" s="495">
        <f t="shared" si="48"/>
        <v>0</v>
      </c>
    </row>
    <row r="898" spans="1:9" x14ac:dyDescent="0.15">
      <c r="A898" s="135"/>
      <c r="B898" s="453" t="s">
        <v>884</v>
      </c>
      <c r="C898" s="454" t="s">
        <v>1064</v>
      </c>
      <c r="D898" s="141">
        <v>0</v>
      </c>
      <c r="E898" s="309">
        <v>0</v>
      </c>
      <c r="F898" s="141">
        <v>0</v>
      </c>
      <c r="G898" s="141">
        <v>0</v>
      </c>
      <c r="H898" s="147">
        <v>0</v>
      </c>
      <c r="I898" s="495">
        <f t="shared" si="48"/>
        <v>0</v>
      </c>
    </row>
    <row r="899" spans="1:9" x14ac:dyDescent="0.15">
      <c r="A899" s="135"/>
      <c r="B899" s="453" t="s">
        <v>1067</v>
      </c>
      <c r="C899" s="454" t="s">
        <v>1074</v>
      </c>
      <c r="D899" s="141">
        <v>0</v>
      </c>
      <c r="E899" s="309">
        <v>0</v>
      </c>
      <c r="F899" s="141">
        <v>0</v>
      </c>
      <c r="G899" s="141">
        <v>0</v>
      </c>
      <c r="H899" s="147">
        <v>0</v>
      </c>
      <c r="I899" s="495">
        <f t="shared" si="48"/>
        <v>0</v>
      </c>
    </row>
    <row r="900" spans="1:9" x14ac:dyDescent="0.15">
      <c r="A900" s="135"/>
      <c r="B900" s="453" t="s">
        <v>1068</v>
      </c>
      <c r="C900" s="454" t="s">
        <v>1075</v>
      </c>
      <c r="D900" s="141">
        <v>0</v>
      </c>
      <c r="E900" s="309">
        <v>0</v>
      </c>
      <c r="F900" s="141">
        <v>0</v>
      </c>
      <c r="G900" s="141">
        <v>0</v>
      </c>
      <c r="H900" s="147">
        <v>0</v>
      </c>
      <c r="I900" s="495">
        <f t="shared" si="48"/>
        <v>0</v>
      </c>
    </row>
    <row r="901" spans="1:9" x14ac:dyDescent="0.15">
      <c r="A901" s="135"/>
      <c r="B901" s="453" t="s">
        <v>1072</v>
      </c>
      <c r="C901" s="454" t="s">
        <v>920</v>
      </c>
      <c r="D901" s="141">
        <v>0</v>
      </c>
      <c r="E901" s="309">
        <v>0</v>
      </c>
      <c r="F901" s="141">
        <v>0</v>
      </c>
      <c r="G901" s="141">
        <v>0</v>
      </c>
      <c r="H901" s="147">
        <v>0</v>
      </c>
      <c r="I901" s="495">
        <f t="shared" si="48"/>
        <v>0</v>
      </c>
    </row>
    <row r="902" spans="1:9" x14ac:dyDescent="0.15">
      <c r="A902" s="135"/>
      <c r="B902" s="717" t="s">
        <v>155</v>
      </c>
      <c r="C902" s="706" t="s">
        <v>178</v>
      </c>
      <c r="D902" s="141">
        <v>0</v>
      </c>
      <c r="E902" s="309">
        <v>0</v>
      </c>
      <c r="F902" s="141">
        <v>0</v>
      </c>
      <c r="G902" s="141">
        <v>0</v>
      </c>
      <c r="H902" s="147">
        <v>0</v>
      </c>
      <c r="I902" s="495">
        <f t="shared" ref="I902" si="49">SUM(G902+H902)</f>
        <v>0</v>
      </c>
    </row>
    <row r="903" spans="1:9" x14ac:dyDescent="0.15">
      <c r="A903" s="135"/>
      <c r="B903" s="453" t="s">
        <v>921</v>
      </c>
      <c r="C903" s="454" t="s">
        <v>955</v>
      </c>
      <c r="D903" s="141">
        <v>0</v>
      </c>
      <c r="E903" s="309">
        <v>0</v>
      </c>
      <c r="F903" s="141">
        <v>0</v>
      </c>
      <c r="G903" s="141">
        <v>0</v>
      </c>
      <c r="H903" s="147">
        <v>0</v>
      </c>
      <c r="I903" s="495">
        <f t="shared" si="48"/>
        <v>0</v>
      </c>
    </row>
    <row r="904" spans="1:9" x14ac:dyDescent="0.15">
      <c r="A904" s="135"/>
      <c r="B904" s="453" t="s">
        <v>922</v>
      </c>
      <c r="C904" s="454" t="s">
        <v>956</v>
      </c>
      <c r="D904" s="141">
        <v>0</v>
      </c>
      <c r="E904" s="309">
        <v>0</v>
      </c>
      <c r="F904" s="141">
        <v>0</v>
      </c>
      <c r="G904" s="141">
        <v>0</v>
      </c>
      <c r="H904" s="147">
        <v>0</v>
      </c>
      <c r="I904" s="495">
        <f t="shared" si="48"/>
        <v>0</v>
      </c>
    </row>
    <row r="905" spans="1:9" x14ac:dyDescent="0.15">
      <c r="A905" s="135"/>
      <c r="B905" s="453" t="s">
        <v>923</v>
      </c>
      <c r="C905" s="454" t="s">
        <v>957</v>
      </c>
      <c r="D905" s="141">
        <v>0</v>
      </c>
      <c r="E905" s="309">
        <v>0</v>
      </c>
      <c r="F905" s="141">
        <v>0</v>
      </c>
      <c r="G905" s="141">
        <v>0</v>
      </c>
      <c r="H905" s="147">
        <v>0</v>
      </c>
      <c r="I905" s="495">
        <f t="shared" si="48"/>
        <v>0</v>
      </c>
    </row>
    <row r="906" spans="1:9" x14ac:dyDescent="0.15">
      <c r="A906" s="135"/>
      <c r="B906" s="453" t="s">
        <v>924</v>
      </c>
      <c r="C906" s="454" t="s">
        <v>958</v>
      </c>
      <c r="D906" s="141">
        <v>0</v>
      </c>
      <c r="E906" s="309">
        <v>0</v>
      </c>
      <c r="F906" s="141">
        <v>0</v>
      </c>
      <c r="G906" s="141">
        <v>0</v>
      </c>
      <c r="H906" s="147">
        <v>0</v>
      </c>
      <c r="I906" s="495">
        <f t="shared" si="48"/>
        <v>0</v>
      </c>
    </row>
    <row r="907" spans="1:9" x14ac:dyDescent="0.15">
      <c r="A907" s="135"/>
      <c r="B907" s="453" t="s">
        <v>925</v>
      </c>
      <c r="C907" s="454" t="s">
        <v>1128</v>
      </c>
      <c r="D907" s="141">
        <v>0</v>
      </c>
      <c r="E907" s="309">
        <v>0</v>
      </c>
      <c r="F907" s="141">
        <v>0</v>
      </c>
      <c r="G907" s="141">
        <v>0</v>
      </c>
      <c r="H907" s="147">
        <v>0</v>
      </c>
      <c r="I907" s="495">
        <f t="shared" si="48"/>
        <v>0</v>
      </c>
    </row>
    <row r="908" spans="1:9" x14ac:dyDescent="0.15">
      <c r="A908" s="135"/>
      <c r="B908" s="453" t="s">
        <v>926</v>
      </c>
      <c r="C908" s="454" t="s">
        <v>1129</v>
      </c>
      <c r="D908" s="141">
        <v>0</v>
      </c>
      <c r="E908" s="309">
        <v>0</v>
      </c>
      <c r="F908" s="141">
        <v>0</v>
      </c>
      <c r="G908" s="141">
        <v>0</v>
      </c>
      <c r="H908" s="147">
        <v>0</v>
      </c>
      <c r="I908" s="495">
        <f t="shared" si="48"/>
        <v>0</v>
      </c>
    </row>
    <row r="909" spans="1:9" x14ac:dyDescent="0.15">
      <c r="A909" s="135"/>
      <c r="B909" s="453" t="s">
        <v>927</v>
      </c>
      <c r="C909" s="454" t="s">
        <v>959</v>
      </c>
      <c r="D909" s="141">
        <v>0</v>
      </c>
      <c r="E909" s="309">
        <v>0</v>
      </c>
      <c r="F909" s="141">
        <v>0</v>
      </c>
      <c r="G909" s="141">
        <v>0</v>
      </c>
      <c r="H909" s="147">
        <v>0</v>
      </c>
      <c r="I909" s="495">
        <f t="shared" si="48"/>
        <v>0</v>
      </c>
    </row>
    <row r="910" spans="1:9" x14ac:dyDescent="0.15">
      <c r="A910" s="135"/>
      <c r="B910" s="453" t="s">
        <v>928</v>
      </c>
      <c r="C910" s="454" t="s">
        <v>961</v>
      </c>
      <c r="D910" s="141">
        <v>0</v>
      </c>
      <c r="E910" s="309">
        <v>0</v>
      </c>
      <c r="F910" s="141">
        <v>0</v>
      </c>
      <c r="G910" s="141">
        <v>0</v>
      </c>
      <c r="H910" s="147">
        <v>0</v>
      </c>
      <c r="I910" s="495">
        <f t="shared" si="48"/>
        <v>0</v>
      </c>
    </row>
    <row r="911" spans="1:9" x14ac:dyDescent="0.15">
      <c r="A911" s="135"/>
      <c r="B911" s="453" t="s">
        <v>962</v>
      </c>
      <c r="C911" s="454" t="s">
        <v>967</v>
      </c>
      <c r="D911" s="141">
        <v>0</v>
      </c>
      <c r="E911" s="309">
        <v>0</v>
      </c>
      <c r="F911" s="141">
        <v>0</v>
      </c>
      <c r="G911" s="141">
        <v>0</v>
      </c>
      <c r="H911" s="147">
        <v>0</v>
      </c>
      <c r="I911" s="495">
        <f t="shared" si="48"/>
        <v>0</v>
      </c>
    </row>
    <row r="912" spans="1:9" x14ac:dyDescent="0.15">
      <c r="A912" s="135"/>
      <c r="B912" s="453" t="s">
        <v>963</v>
      </c>
      <c r="C912" s="454" t="s">
        <v>1093</v>
      </c>
      <c r="D912" s="141">
        <v>0</v>
      </c>
      <c r="E912" s="309">
        <v>0</v>
      </c>
      <c r="F912" s="141">
        <v>0</v>
      </c>
      <c r="G912" s="141">
        <v>0</v>
      </c>
      <c r="H912" s="147">
        <v>0</v>
      </c>
      <c r="I912" s="495">
        <f t="shared" si="48"/>
        <v>0</v>
      </c>
    </row>
    <row r="913" spans="1:9" x14ac:dyDescent="0.15">
      <c r="A913" s="135"/>
      <c r="B913" s="453" t="s">
        <v>964</v>
      </c>
      <c r="C913" s="454" t="s">
        <v>1094</v>
      </c>
      <c r="D913" s="141">
        <v>0</v>
      </c>
      <c r="E913" s="309">
        <v>0</v>
      </c>
      <c r="F913" s="141">
        <v>0</v>
      </c>
      <c r="G913" s="141">
        <v>0</v>
      </c>
      <c r="H913" s="147">
        <v>0</v>
      </c>
      <c r="I913" s="495">
        <f t="shared" si="48"/>
        <v>0</v>
      </c>
    </row>
    <row r="914" spans="1:9" x14ac:dyDescent="0.15">
      <c r="A914" s="135"/>
      <c r="B914" s="453" t="s">
        <v>965</v>
      </c>
      <c r="C914" s="454" t="s">
        <v>1095</v>
      </c>
      <c r="D914" s="141">
        <v>0</v>
      </c>
      <c r="E914" s="309">
        <v>0</v>
      </c>
      <c r="F914" s="141">
        <v>0</v>
      </c>
      <c r="G914" s="141">
        <v>0</v>
      </c>
      <c r="H914" s="147">
        <v>0</v>
      </c>
      <c r="I914" s="495">
        <f t="shared" si="48"/>
        <v>0</v>
      </c>
    </row>
    <row r="915" spans="1:9" x14ac:dyDescent="0.15">
      <c r="A915" s="135"/>
      <c r="B915" s="453" t="s">
        <v>885</v>
      </c>
      <c r="C915" s="454" t="s">
        <v>1096</v>
      </c>
      <c r="D915" s="141">
        <v>0</v>
      </c>
      <c r="E915" s="309">
        <v>0</v>
      </c>
      <c r="F915" s="141">
        <v>0</v>
      </c>
      <c r="G915" s="141">
        <v>0</v>
      </c>
      <c r="H915" s="147">
        <v>0</v>
      </c>
      <c r="I915" s="495">
        <f t="shared" si="48"/>
        <v>0</v>
      </c>
    </row>
    <row r="916" spans="1:9" x14ac:dyDescent="0.15">
      <c r="A916" s="135"/>
      <c r="B916" s="453" t="s">
        <v>966</v>
      </c>
      <c r="C916" s="454" t="s">
        <v>1097</v>
      </c>
      <c r="D916" s="141">
        <v>0</v>
      </c>
      <c r="E916" s="309">
        <v>0</v>
      </c>
      <c r="F916" s="141">
        <v>0</v>
      </c>
      <c r="G916" s="141">
        <v>0</v>
      </c>
      <c r="H916" s="147">
        <v>0</v>
      </c>
      <c r="I916" s="495">
        <f t="shared" si="48"/>
        <v>0</v>
      </c>
    </row>
    <row r="917" spans="1:9" x14ac:dyDescent="0.15">
      <c r="A917" s="135"/>
      <c r="B917" s="453" t="s">
        <v>886</v>
      </c>
      <c r="C917" s="454" t="s">
        <v>1100</v>
      </c>
      <c r="D917" s="141">
        <v>0</v>
      </c>
      <c r="E917" s="309">
        <v>0</v>
      </c>
      <c r="F917" s="141">
        <v>0</v>
      </c>
      <c r="G917" s="141">
        <v>0</v>
      </c>
      <c r="H917" s="147">
        <v>0</v>
      </c>
      <c r="I917" s="495">
        <f t="shared" si="48"/>
        <v>0</v>
      </c>
    </row>
    <row r="918" spans="1:9" x14ac:dyDescent="0.15">
      <c r="A918" s="135"/>
      <c r="B918" s="453" t="s">
        <v>116</v>
      </c>
      <c r="C918" s="454" t="s">
        <v>1105</v>
      </c>
      <c r="D918" s="141">
        <v>0</v>
      </c>
      <c r="E918" s="309">
        <v>0</v>
      </c>
      <c r="F918" s="141">
        <v>0</v>
      </c>
      <c r="G918" s="141">
        <v>0</v>
      </c>
      <c r="H918" s="147">
        <v>0</v>
      </c>
      <c r="I918" s="495">
        <f t="shared" si="48"/>
        <v>0</v>
      </c>
    </row>
    <row r="919" spans="1:9" x14ac:dyDescent="0.15">
      <c r="A919" s="135"/>
      <c r="B919" s="453" t="s">
        <v>112</v>
      </c>
      <c r="C919" s="454" t="s">
        <v>1110</v>
      </c>
      <c r="D919" s="141">
        <v>0</v>
      </c>
      <c r="E919" s="309">
        <v>0</v>
      </c>
      <c r="F919" s="141">
        <v>0</v>
      </c>
      <c r="G919" s="141">
        <v>0</v>
      </c>
      <c r="H919" s="147">
        <v>0</v>
      </c>
      <c r="I919" s="495">
        <f t="shared" si="48"/>
        <v>0</v>
      </c>
    </row>
    <row r="920" spans="1:9" x14ac:dyDescent="0.15">
      <c r="A920" s="135"/>
      <c r="B920" s="453" t="s">
        <v>887</v>
      </c>
      <c r="C920" s="454" t="s">
        <v>1116</v>
      </c>
      <c r="D920" s="141">
        <v>0</v>
      </c>
      <c r="E920" s="309">
        <v>0</v>
      </c>
      <c r="F920" s="141">
        <v>0</v>
      </c>
      <c r="G920" s="141">
        <v>0</v>
      </c>
      <c r="H920" s="147">
        <v>0</v>
      </c>
      <c r="I920" s="495">
        <f t="shared" si="48"/>
        <v>0</v>
      </c>
    </row>
    <row r="921" spans="1:9" x14ac:dyDescent="0.15">
      <c r="A921" s="135"/>
      <c r="B921" s="453" t="s">
        <v>1112</v>
      </c>
      <c r="C921" s="454" t="s">
        <v>1117</v>
      </c>
      <c r="D921" s="141">
        <v>0</v>
      </c>
      <c r="E921" s="309">
        <v>0</v>
      </c>
      <c r="F921" s="141">
        <v>0</v>
      </c>
      <c r="G921" s="141">
        <v>0</v>
      </c>
      <c r="H921" s="147">
        <v>0</v>
      </c>
      <c r="I921" s="495">
        <f t="shared" si="48"/>
        <v>0</v>
      </c>
    </row>
    <row r="922" spans="1:9" x14ac:dyDescent="0.15">
      <c r="A922" s="135"/>
      <c r="B922" s="453" t="s">
        <v>1113</v>
      </c>
      <c r="C922" s="454" t="s">
        <v>1118</v>
      </c>
      <c r="D922" s="141">
        <v>0</v>
      </c>
      <c r="E922" s="309">
        <v>0</v>
      </c>
      <c r="F922" s="141">
        <v>0</v>
      </c>
      <c r="G922" s="141">
        <v>0</v>
      </c>
      <c r="H922" s="147">
        <v>0</v>
      </c>
      <c r="I922" s="495">
        <f t="shared" si="48"/>
        <v>0</v>
      </c>
    </row>
    <row r="923" spans="1:9" ht="11.25" thickBot="1" x14ac:dyDescent="0.2">
      <c r="A923" s="135"/>
      <c r="B923" s="453" t="s">
        <v>1114</v>
      </c>
      <c r="C923" s="454" t="s">
        <v>1119</v>
      </c>
      <c r="D923" s="141">
        <v>0</v>
      </c>
      <c r="E923" s="309">
        <v>0</v>
      </c>
      <c r="F923" s="141">
        <v>0</v>
      </c>
      <c r="G923" s="141">
        <v>0</v>
      </c>
      <c r="H923" s="147">
        <v>0</v>
      </c>
      <c r="I923" s="495">
        <f t="shared" si="48"/>
        <v>0</v>
      </c>
    </row>
    <row r="924" spans="1:9" ht="12" thickTop="1" thickBot="1" x14ac:dyDescent="0.2">
      <c r="A924" s="135"/>
      <c r="B924" s="453"/>
      <c r="C924" s="454" t="s">
        <v>1286</v>
      </c>
      <c r="D924" s="166">
        <f>SUM(D890:D923)</f>
        <v>0</v>
      </c>
      <c r="E924" s="297">
        <f>SUM(E890:E923)</f>
        <v>0</v>
      </c>
      <c r="F924" s="166">
        <f>SUM(F890:F923)</f>
        <v>0</v>
      </c>
      <c r="G924" s="166">
        <f>SUM(G890:G923)</f>
        <v>0</v>
      </c>
      <c r="H924" s="166">
        <f>SUM(H890:H923)</f>
        <v>0</v>
      </c>
      <c r="I924" s="166">
        <f t="shared" si="48"/>
        <v>0</v>
      </c>
    </row>
    <row r="925" spans="1:9" ht="11.25" thickTop="1" x14ac:dyDescent="0.15">
      <c r="A925" s="135"/>
      <c r="B925" s="454"/>
      <c r="C925" s="454"/>
      <c r="D925" s="14"/>
      <c r="E925" s="301"/>
      <c r="F925" s="14"/>
      <c r="G925" s="14"/>
      <c r="H925" s="14"/>
      <c r="I925" s="491"/>
    </row>
    <row r="926" spans="1:9" x14ac:dyDescent="0.15">
      <c r="A926" s="452" t="s">
        <v>1287</v>
      </c>
      <c r="B926" s="454"/>
      <c r="C926" s="454"/>
      <c r="D926" s="14"/>
      <c r="E926" s="301"/>
      <c r="F926" s="14"/>
      <c r="G926" s="14"/>
      <c r="H926" s="14"/>
      <c r="I926" s="491"/>
    </row>
    <row r="927" spans="1:9" hidden="1" x14ac:dyDescent="0.15">
      <c r="A927" s="416"/>
      <c r="B927" s="453" t="s">
        <v>880</v>
      </c>
      <c r="C927" s="454" t="s">
        <v>1164</v>
      </c>
      <c r="D927" s="308">
        <v>0</v>
      </c>
      <c r="E927" s="308">
        <v>0</v>
      </c>
      <c r="F927" s="308">
        <v>0</v>
      </c>
      <c r="G927" s="458"/>
      <c r="H927" s="457">
        <v>0</v>
      </c>
      <c r="I927" s="494">
        <f>SUM(G927+H927)</f>
        <v>0</v>
      </c>
    </row>
    <row r="928" spans="1:9" x14ac:dyDescent="0.15">
      <c r="A928" s="416"/>
      <c r="B928" s="453" t="s">
        <v>880</v>
      </c>
      <c r="C928" s="454" t="s">
        <v>337</v>
      </c>
      <c r="D928" s="308">
        <v>0</v>
      </c>
      <c r="E928" s="308">
        <v>0</v>
      </c>
      <c r="F928" s="308">
        <v>0</v>
      </c>
      <c r="G928" s="308">
        <v>0</v>
      </c>
      <c r="H928" s="457">
        <v>0</v>
      </c>
      <c r="I928" s="494">
        <f>SUM(G928+H928)</f>
        <v>0</v>
      </c>
    </row>
    <row r="929" spans="1:9" hidden="1" x14ac:dyDescent="0.15">
      <c r="A929" s="454"/>
      <c r="B929" s="453" t="s">
        <v>881</v>
      </c>
      <c r="C929" s="454" t="s">
        <v>382</v>
      </c>
      <c r="D929" s="308">
        <v>0</v>
      </c>
      <c r="E929" s="308">
        <v>0</v>
      </c>
      <c r="F929" s="308">
        <v>0</v>
      </c>
      <c r="G929" s="459"/>
      <c r="H929" s="457">
        <v>0</v>
      </c>
      <c r="I929" s="494">
        <f>SUM(G929+H929)</f>
        <v>0</v>
      </c>
    </row>
    <row r="930" spans="1:9" x14ac:dyDescent="0.15">
      <c r="A930" s="135"/>
      <c r="B930" s="451" t="s">
        <v>881</v>
      </c>
      <c r="C930" s="135" t="s">
        <v>338</v>
      </c>
      <c r="D930" s="144">
        <v>0</v>
      </c>
      <c r="E930" s="308">
        <v>0</v>
      </c>
      <c r="F930" s="144">
        <v>0</v>
      </c>
      <c r="G930" s="144">
        <v>0</v>
      </c>
      <c r="H930" s="147">
        <v>0</v>
      </c>
      <c r="I930" s="495">
        <f>SUM(G930+H930)</f>
        <v>0</v>
      </c>
    </row>
    <row r="931" spans="1:9" x14ac:dyDescent="0.15">
      <c r="A931" s="135"/>
      <c r="B931" s="453" t="s">
        <v>882</v>
      </c>
      <c r="C931" s="454" t="s">
        <v>1058</v>
      </c>
      <c r="D931" s="141">
        <v>0</v>
      </c>
      <c r="E931" s="309">
        <v>0</v>
      </c>
      <c r="F931" s="141">
        <v>0</v>
      </c>
      <c r="G931" s="285">
        <v>0</v>
      </c>
      <c r="H931" s="147">
        <v>0</v>
      </c>
      <c r="I931" s="495">
        <f t="shared" ref="I931:I961" si="50">SUM(G931+H931)</f>
        <v>0</v>
      </c>
    </row>
    <row r="932" spans="1:9" x14ac:dyDescent="0.15">
      <c r="A932" s="135"/>
      <c r="B932" s="453" t="s">
        <v>883</v>
      </c>
      <c r="C932" s="454" t="s">
        <v>1059</v>
      </c>
      <c r="D932" s="141">
        <v>0</v>
      </c>
      <c r="E932" s="309">
        <v>0</v>
      </c>
      <c r="F932" s="141">
        <v>0</v>
      </c>
      <c r="G932" s="285">
        <v>0</v>
      </c>
      <c r="H932" s="147">
        <v>0</v>
      </c>
      <c r="I932" s="495">
        <f t="shared" si="50"/>
        <v>0</v>
      </c>
    </row>
    <row r="933" spans="1:9" x14ac:dyDescent="0.15">
      <c r="A933" s="135"/>
      <c r="B933" s="453" t="s">
        <v>1060</v>
      </c>
      <c r="C933" s="454" t="s">
        <v>1061</v>
      </c>
      <c r="D933" s="141">
        <v>0</v>
      </c>
      <c r="E933" s="309">
        <v>0</v>
      </c>
      <c r="F933" s="141">
        <v>0</v>
      </c>
      <c r="G933" s="285">
        <v>0</v>
      </c>
      <c r="H933" s="147">
        <v>0</v>
      </c>
      <c r="I933" s="495">
        <f t="shared" si="50"/>
        <v>0</v>
      </c>
    </row>
    <row r="934" spans="1:9" x14ac:dyDescent="0.15">
      <c r="A934" s="135"/>
      <c r="B934" s="453" t="s">
        <v>1062</v>
      </c>
      <c r="C934" s="454" t="s">
        <v>1063</v>
      </c>
      <c r="D934" s="141">
        <v>0</v>
      </c>
      <c r="E934" s="309">
        <v>0</v>
      </c>
      <c r="F934" s="141">
        <v>0</v>
      </c>
      <c r="G934" s="285">
        <v>0</v>
      </c>
      <c r="H934" s="147">
        <v>0</v>
      </c>
      <c r="I934" s="495">
        <f t="shared" si="50"/>
        <v>0</v>
      </c>
    </row>
    <row r="935" spans="1:9" x14ac:dyDescent="0.15">
      <c r="A935" s="135"/>
      <c r="B935" s="453" t="s">
        <v>884</v>
      </c>
      <c r="C935" s="454" t="s">
        <v>1064</v>
      </c>
      <c r="D935" s="141">
        <v>0</v>
      </c>
      <c r="E935" s="309">
        <v>0</v>
      </c>
      <c r="F935" s="141">
        <v>0</v>
      </c>
      <c r="G935" s="285">
        <v>0</v>
      </c>
      <c r="H935" s="147">
        <v>0</v>
      </c>
      <c r="I935" s="495">
        <f t="shared" si="50"/>
        <v>0</v>
      </c>
    </row>
    <row r="936" spans="1:9" x14ac:dyDescent="0.15">
      <c r="A936" s="135"/>
      <c r="B936" s="453" t="s">
        <v>1067</v>
      </c>
      <c r="C936" s="454" t="s">
        <v>1074</v>
      </c>
      <c r="D936" s="141">
        <v>0</v>
      </c>
      <c r="E936" s="309">
        <v>0</v>
      </c>
      <c r="F936" s="141">
        <v>0</v>
      </c>
      <c r="G936" s="285">
        <v>0</v>
      </c>
      <c r="H936" s="147">
        <v>0</v>
      </c>
      <c r="I936" s="495">
        <f t="shared" si="50"/>
        <v>0</v>
      </c>
    </row>
    <row r="937" spans="1:9" x14ac:dyDescent="0.15">
      <c r="A937" s="135"/>
      <c r="B937" s="453" t="s">
        <v>1068</v>
      </c>
      <c r="C937" s="454" t="s">
        <v>1075</v>
      </c>
      <c r="D937" s="141">
        <v>0</v>
      </c>
      <c r="E937" s="309">
        <v>0</v>
      </c>
      <c r="F937" s="141">
        <v>0</v>
      </c>
      <c r="G937" s="285">
        <v>0</v>
      </c>
      <c r="H937" s="147">
        <v>0</v>
      </c>
      <c r="I937" s="495">
        <f t="shared" si="50"/>
        <v>0</v>
      </c>
    </row>
    <row r="938" spans="1:9" x14ac:dyDescent="0.15">
      <c r="A938" s="135"/>
      <c r="B938" s="453" t="s">
        <v>1072</v>
      </c>
      <c r="C938" s="454" t="s">
        <v>920</v>
      </c>
      <c r="D938" s="141">
        <v>0</v>
      </c>
      <c r="E938" s="309">
        <v>0</v>
      </c>
      <c r="F938" s="141">
        <v>0</v>
      </c>
      <c r="G938" s="285">
        <v>0</v>
      </c>
      <c r="H938" s="147">
        <v>0</v>
      </c>
      <c r="I938" s="495">
        <f t="shared" si="50"/>
        <v>0</v>
      </c>
    </row>
    <row r="939" spans="1:9" x14ac:dyDescent="0.15">
      <c r="A939" s="135"/>
      <c r="B939" s="717" t="s">
        <v>155</v>
      </c>
      <c r="C939" s="706" t="s">
        <v>178</v>
      </c>
      <c r="D939" s="141">
        <v>0</v>
      </c>
      <c r="E939" s="309">
        <v>0</v>
      </c>
      <c r="F939" s="141">
        <v>0</v>
      </c>
      <c r="G939" s="285">
        <v>0</v>
      </c>
      <c r="H939" s="147">
        <v>0</v>
      </c>
      <c r="I939" s="495">
        <f t="shared" ref="I939" si="51">SUM(G939+H939)</f>
        <v>0</v>
      </c>
    </row>
    <row r="940" spans="1:9" x14ac:dyDescent="0.15">
      <c r="A940" s="135"/>
      <c r="B940" s="453" t="s">
        <v>921</v>
      </c>
      <c r="C940" s="454" t="s">
        <v>955</v>
      </c>
      <c r="D940" s="141">
        <v>0</v>
      </c>
      <c r="E940" s="309">
        <v>0</v>
      </c>
      <c r="F940" s="141">
        <v>0</v>
      </c>
      <c r="G940" s="285">
        <v>0</v>
      </c>
      <c r="H940" s="147">
        <v>0</v>
      </c>
      <c r="I940" s="495">
        <f t="shared" si="50"/>
        <v>0</v>
      </c>
    </row>
    <row r="941" spans="1:9" x14ac:dyDescent="0.15">
      <c r="A941" s="135"/>
      <c r="B941" s="453" t="s">
        <v>922</v>
      </c>
      <c r="C941" s="454" t="s">
        <v>956</v>
      </c>
      <c r="D941" s="141">
        <v>0</v>
      </c>
      <c r="E941" s="309">
        <v>0</v>
      </c>
      <c r="F941" s="141">
        <v>0</v>
      </c>
      <c r="G941" s="285">
        <v>0</v>
      </c>
      <c r="H941" s="147">
        <v>0</v>
      </c>
      <c r="I941" s="495">
        <f t="shared" si="50"/>
        <v>0</v>
      </c>
    </row>
    <row r="942" spans="1:9" x14ac:dyDescent="0.15">
      <c r="A942" s="135"/>
      <c r="B942" s="453" t="s">
        <v>923</v>
      </c>
      <c r="C942" s="454" t="s">
        <v>957</v>
      </c>
      <c r="D942" s="141">
        <v>0</v>
      </c>
      <c r="E942" s="309">
        <v>0</v>
      </c>
      <c r="F942" s="141">
        <v>0</v>
      </c>
      <c r="G942" s="285">
        <v>0</v>
      </c>
      <c r="H942" s="147">
        <v>0</v>
      </c>
      <c r="I942" s="495">
        <f t="shared" si="50"/>
        <v>0</v>
      </c>
    </row>
    <row r="943" spans="1:9" x14ac:dyDescent="0.15">
      <c r="A943" s="135"/>
      <c r="B943" s="453" t="s">
        <v>924</v>
      </c>
      <c r="C943" s="454" t="s">
        <v>958</v>
      </c>
      <c r="D943" s="141">
        <v>0</v>
      </c>
      <c r="E943" s="309">
        <v>0</v>
      </c>
      <c r="F943" s="141">
        <v>0</v>
      </c>
      <c r="G943" s="285">
        <v>0</v>
      </c>
      <c r="H943" s="147">
        <v>0</v>
      </c>
      <c r="I943" s="495">
        <f t="shared" si="50"/>
        <v>0</v>
      </c>
    </row>
    <row r="944" spans="1:9" x14ac:dyDescent="0.15">
      <c r="A944" s="135"/>
      <c r="B944" s="453" t="s">
        <v>925</v>
      </c>
      <c r="C944" s="454" t="s">
        <v>1128</v>
      </c>
      <c r="D944" s="141">
        <v>0</v>
      </c>
      <c r="E944" s="309">
        <v>0</v>
      </c>
      <c r="F944" s="141">
        <v>0</v>
      </c>
      <c r="G944" s="285">
        <v>0</v>
      </c>
      <c r="H944" s="147">
        <v>0</v>
      </c>
      <c r="I944" s="495">
        <f t="shared" si="50"/>
        <v>0</v>
      </c>
    </row>
    <row r="945" spans="1:9" x14ac:dyDescent="0.15">
      <c r="A945" s="135"/>
      <c r="B945" s="453" t="s">
        <v>926</v>
      </c>
      <c r="C945" s="454" t="s">
        <v>1129</v>
      </c>
      <c r="D945" s="141">
        <v>0</v>
      </c>
      <c r="E945" s="309">
        <v>0</v>
      </c>
      <c r="F945" s="141">
        <v>0</v>
      </c>
      <c r="G945" s="285">
        <v>0</v>
      </c>
      <c r="H945" s="147">
        <v>0</v>
      </c>
      <c r="I945" s="495">
        <f t="shared" si="50"/>
        <v>0</v>
      </c>
    </row>
    <row r="946" spans="1:9" x14ac:dyDescent="0.15">
      <c r="A946" s="135"/>
      <c r="B946" s="453" t="s">
        <v>927</v>
      </c>
      <c r="C946" s="454" t="s">
        <v>959</v>
      </c>
      <c r="D946" s="141">
        <v>0</v>
      </c>
      <c r="E946" s="309">
        <v>0</v>
      </c>
      <c r="F946" s="141">
        <v>0</v>
      </c>
      <c r="G946" s="285">
        <v>0</v>
      </c>
      <c r="H946" s="147">
        <v>0</v>
      </c>
      <c r="I946" s="495">
        <f t="shared" si="50"/>
        <v>0</v>
      </c>
    </row>
    <row r="947" spans="1:9" x14ac:dyDescent="0.15">
      <c r="A947" s="135"/>
      <c r="B947" s="453" t="s">
        <v>928</v>
      </c>
      <c r="C947" s="454" t="s">
        <v>961</v>
      </c>
      <c r="D947" s="141">
        <v>0</v>
      </c>
      <c r="E947" s="309">
        <v>0</v>
      </c>
      <c r="F947" s="141">
        <v>0</v>
      </c>
      <c r="G947" s="285">
        <v>0</v>
      </c>
      <c r="H947" s="147">
        <v>0</v>
      </c>
      <c r="I947" s="495">
        <f t="shared" si="50"/>
        <v>0</v>
      </c>
    </row>
    <row r="948" spans="1:9" x14ac:dyDescent="0.15">
      <c r="A948" s="135"/>
      <c r="B948" s="453" t="s">
        <v>962</v>
      </c>
      <c r="C948" s="454" t="s">
        <v>967</v>
      </c>
      <c r="D948" s="141">
        <v>0</v>
      </c>
      <c r="E948" s="309">
        <v>0</v>
      </c>
      <c r="F948" s="141">
        <v>0</v>
      </c>
      <c r="G948" s="285">
        <v>0</v>
      </c>
      <c r="H948" s="147">
        <v>0</v>
      </c>
      <c r="I948" s="495">
        <f t="shared" si="50"/>
        <v>0</v>
      </c>
    </row>
    <row r="949" spans="1:9" x14ac:dyDescent="0.15">
      <c r="A949" s="135"/>
      <c r="B949" s="453" t="s">
        <v>963</v>
      </c>
      <c r="C949" s="454" t="s">
        <v>1093</v>
      </c>
      <c r="D949" s="141">
        <v>0</v>
      </c>
      <c r="E949" s="309">
        <v>0</v>
      </c>
      <c r="F949" s="141">
        <v>0</v>
      </c>
      <c r="G949" s="285">
        <v>0</v>
      </c>
      <c r="H949" s="147">
        <v>0</v>
      </c>
      <c r="I949" s="495">
        <f t="shared" si="50"/>
        <v>0</v>
      </c>
    </row>
    <row r="950" spans="1:9" x14ac:dyDescent="0.15">
      <c r="A950" s="135"/>
      <c r="B950" s="453" t="s">
        <v>964</v>
      </c>
      <c r="C950" s="454" t="s">
        <v>1094</v>
      </c>
      <c r="D950" s="141">
        <v>0</v>
      </c>
      <c r="E950" s="309">
        <v>0</v>
      </c>
      <c r="F950" s="141">
        <v>0</v>
      </c>
      <c r="G950" s="285">
        <v>0</v>
      </c>
      <c r="H950" s="147">
        <v>0</v>
      </c>
      <c r="I950" s="495">
        <f t="shared" si="50"/>
        <v>0</v>
      </c>
    </row>
    <row r="951" spans="1:9" x14ac:dyDescent="0.15">
      <c r="A951" s="135"/>
      <c r="B951" s="453" t="s">
        <v>965</v>
      </c>
      <c r="C951" s="454" t="s">
        <v>1095</v>
      </c>
      <c r="D951" s="141">
        <v>0</v>
      </c>
      <c r="E951" s="309">
        <v>0</v>
      </c>
      <c r="F951" s="141">
        <v>0</v>
      </c>
      <c r="G951" s="285">
        <v>0</v>
      </c>
      <c r="H951" s="147">
        <v>0</v>
      </c>
      <c r="I951" s="495">
        <f t="shared" si="50"/>
        <v>0</v>
      </c>
    </row>
    <row r="952" spans="1:9" x14ac:dyDescent="0.15">
      <c r="A952" s="135"/>
      <c r="B952" s="453" t="s">
        <v>885</v>
      </c>
      <c r="C952" s="454" t="s">
        <v>1096</v>
      </c>
      <c r="D952" s="141">
        <v>0</v>
      </c>
      <c r="E952" s="309">
        <v>0</v>
      </c>
      <c r="F952" s="141">
        <v>0</v>
      </c>
      <c r="G952" s="285">
        <v>0</v>
      </c>
      <c r="H952" s="147">
        <v>0</v>
      </c>
      <c r="I952" s="495">
        <f t="shared" si="50"/>
        <v>0</v>
      </c>
    </row>
    <row r="953" spans="1:9" x14ac:dyDescent="0.15">
      <c r="A953" s="135"/>
      <c r="B953" s="453" t="s">
        <v>966</v>
      </c>
      <c r="C953" s="454" t="s">
        <v>1097</v>
      </c>
      <c r="D953" s="141">
        <v>0</v>
      </c>
      <c r="E953" s="309">
        <v>0</v>
      </c>
      <c r="F953" s="141">
        <v>0</v>
      </c>
      <c r="G953" s="285">
        <v>0</v>
      </c>
      <c r="H953" s="147">
        <v>0</v>
      </c>
      <c r="I953" s="495">
        <f t="shared" si="50"/>
        <v>0</v>
      </c>
    </row>
    <row r="954" spans="1:9" x14ac:dyDescent="0.15">
      <c r="A954" s="135"/>
      <c r="B954" s="453" t="s">
        <v>886</v>
      </c>
      <c r="C954" s="454" t="s">
        <v>1100</v>
      </c>
      <c r="D954" s="141">
        <v>0</v>
      </c>
      <c r="E954" s="309">
        <v>0</v>
      </c>
      <c r="F954" s="141">
        <v>0</v>
      </c>
      <c r="G954" s="285">
        <v>0</v>
      </c>
      <c r="H954" s="147">
        <v>0</v>
      </c>
      <c r="I954" s="495">
        <f t="shared" si="50"/>
        <v>0</v>
      </c>
    </row>
    <row r="955" spans="1:9" x14ac:dyDescent="0.15">
      <c r="A955" s="135"/>
      <c r="B955" s="453" t="s">
        <v>116</v>
      </c>
      <c r="C955" s="454" t="s">
        <v>1105</v>
      </c>
      <c r="D955" s="141">
        <v>0</v>
      </c>
      <c r="E955" s="309">
        <v>0</v>
      </c>
      <c r="F955" s="141">
        <v>0</v>
      </c>
      <c r="G955" s="285">
        <v>0</v>
      </c>
      <c r="H955" s="147">
        <v>0</v>
      </c>
      <c r="I955" s="495">
        <f t="shared" si="50"/>
        <v>0</v>
      </c>
    </row>
    <row r="956" spans="1:9" x14ac:dyDescent="0.15">
      <c r="A956" s="135"/>
      <c r="B956" s="453" t="s">
        <v>112</v>
      </c>
      <c r="C956" s="454" t="s">
        <v>1110</v>
      </c>
      <c r="D956" s="141">
        <v>0</v>
      </c>
      <c r="E956" s="309">
        <v>0</v>
      </c>
      <c r="F956" s="141">
        <v>0</v>
      </c>
      <c r="G956" s="285">
        <v>0</v>
      </c>
      <c r="H956" s="147">
        <v>0</v>
      </c>
      <c r="I956" s="495">
        <f t="shared" si="50"/>
        <v>0</v>
      </c>
    </row>
    <row r="957" spans="1:9" x14ac:dyDescent="0.15">
      <c r="A957" s="135"/>
      <c r="B957" s="453" t="s">
        <v>887</v>
      </c>
      <c r="C957" s="454" t="s">
        <v>1116</v>
      </c>
      <c r="D957" s="141">
        <v>0</v>
      </c>
      <c r="E957" s="309">
        <v>0</v>
      </c>
      <c r="F957" s="141">
        <v>0</v>
      </c>
      <c r="G957" s="285">
        <v>0</v>
      </c>
      <c r="H957" s="147">
        <v>0</v>
      </c>
      <c r="I957" s="495">
        <f t="shared" si="50"/>
        <v>0</v>
      </c>
    </row>
    <row r="958" spans="1:9" x14ac:dyDescent="0.15">
      <c r="A958" s="135"/>
      <c r="B958" s="453" t="s">
        <v>1112</v>
      </c>
      <c r="C958" s="454" t="s">
        <v>1117</v>
      </c>
      <c r="D958" s="141">
        <v>0</v>
      </c>
      <c r="E958" s="309">
        <v>0</v>
      </c>
      <c r="F958" s="141">
        <v>0</v>
      </c>
      <c r="G958" s="285">
        <v>0</v>
      </c>
      <c r="H958" s="147">
        <v>0</v>
      </c>
      <c r="I958" s="495">
        <f t="shared" si="50"/>
        <v>0</v>
      </c>
    </row>
    <row r="959" spans="1:9" x14ac:dyDescent="0.15">
      <c r="A959" s="135"/>
      <c r="B959" s="453" t="s">
        <v>1113</v>
      </c>
      <c r="C959" s="454" t="s">
        <v>1118</v>
      </c>
      <c r="D959" s="141">
        <v>0</v>
      </c>
      <c r="E959" s="309">
        <v>0</v>
      </c>
      <c r="F959" s="141">
        <v>0</v>
      </c>
      <c r="G959" s="285">
        <v>0</v>
      </c>
      <c r="H959" s="147">
        <v>0</v>
      </c>
      <c r="I959" s="495">
        <f t="shared" si="50"/>
        <v>0</v>
      </c>
    </row>
    <row r="960" spans="1:9" ht="11.25" thickBot="1" x14ac:dyDescent="0.2">
      <c r="A960" s="135"/>
      <c r="B960" s="453" t="s">
        <v>1114</v>
      </c>
      <c r="C960" s="454" t="s">
        <v>1119</v>
      </c>
      <c r="D960" s="141">
        <v>0</v>
      </c>
      <c r="E960" s="309">
        <v>0</v>
      </c>
      <c r="F960" s="141">
        <v>0</v>
      </c>
      <c r="G960" s="285">
        <v>0</v>
      </c>
      <c r="H960" s="147">
        <v>0</v>
      </c>
      <c r="I960" s="495">
        <f t="shared" si="50"/>
        <v>0</v>
      </c>
    </row>
    <row r="961" spans="1:9" ht="12" thickTop="1" thickBot="1" x14ac:dyDescent="0.2">
      <c r="A961" s="135"/>
      <c r="B961" s="453"/>
      <c r="C961" s="454" t="s">
        <v>1288</v>
      </c>
      <c r="D961" s="166">
        <f>SUM(D927:D960)</f>
        <v>0</v>
      </c>
      <c r="E961" s="297">
        <f>SUM(E927:E960)</f>
        <v>0</v>
      </c>
      <c r="F961" s="166">
        <f>SUM(F927:F960)</f>
        <v>0</v>
      </c>
      <c r="G961" s="166">
        <f>SUM(G927:G960)</f>
        <v>0</v>
      </c>
      <c r="H961" s="166">
        <f>SUM(H927:H960)</f>
        <v>0</v>
      </c>
      <c r="I961" s="166">
        <f t="shared" si="50"/>
        <v>0</v>
      </c>
    </row>
    <row r="962" spans="1:9" ht="11.25" thickTop="1" x14ac:dyDescent="0.15">
      <c r="A962" s="135"/>
      <c r="B962" s="454"/>
      <c r="C962" s="454"/>
      <c r="D962" s="14"/>
      <c r="E962" s="301"/>
      <c r="F962" s="14"/>
      <c r="G962" s="14"/>
      <c r="H962" s="14"/>
      <c r="I962" s="491"/>
    </row>
    <row r="963" spans="1:9" x14ac:dyDescent="0.15">
      <c r="A963" s="452" t="s">
        <v>818</v>
      </c>
      <c r="B963" s="454"/>
      <c r="C963" s="454"/>
      <c r="D963" s="14"/>
      <c r="E963" s="301"/>
      <c r="F963" s="14"/>
      <c r="G963" s="14"/>
      <c r="H963" s="14"/>
      <c r="I963" s="491"/>
    </row>
    <row r="964" spans="1:9" hidden="1" x14ac:dyDescent="0.15">
      <c r="A964" s="416"/>
      <c r="B964" s="453" t="s">
        <v>880</v>
      </c>
      <c r="C964" s="454" t="s">
        <v>1164</v>
      </c>
      <c r="D964" s="308">
        <v>0</v>
      </c>
      <c r="E964" s="308">
        <v>0</v>
      </c>
      <c r="F964" s="308">
        <v>0</v>
      </c>
      <c r="G964" s="458"/>
      <c r="H964" s="457">
        <v>0</v>
      </c>
      <c r="I964" s="494">
        <f>SUM(G964+H964)</f>
        <v>0</v>
      </c>
    </row>
    <row r="965" spans="1:9" x14ac:dyDescent="0.15">
      <c r="A965" s="416"/>
      <c r="B965" s="453" t="s">
        <v>880</v>
      </c>
      <c r="C965" s="454" t="s">
        <v>337</v>
      </c>
      <c r="D965" s="308">
        <v>0</v>
      </c>
      <c r="E965" s="308">
        <v>0</v>
      </c>
      <c r="F965" s="308">
        <v>0</v>
      </c>
      <c r="G965" s="308">
        <v>0</v>
      </c>
      <c r="H965" s="457">
        <v>0</v>
      </c>
      <c r="I965" s="494">
        <f>SUM(G965+H965)</f>
        <v>0</v>
      </c>
    </row>
    <row r="966" spans="1:9" hidden="1" x14ac:dyDescent="0.15">
      <c r="A966" s="454"/>
      <c r="B966" s="453" t="s">
        <v>881</v>
      </c>
      <c r="C966" s="454" t="s">
        <v>382</v>
      </c>
      <c r="D966" s="308">
        <v>0</v>
      </c>
      <c r="E966" s="308">
        <v>0</v>
      </c>
      <c r="F966" s="308">
        <v>0</v>
      </c>
      <c r="G966" s="459"/>
      <c r="H966" s="457">
        <v>0</v>
      </c>
      <c r="I966" s="494">
        <f>SUM(G966+H966)</f>
        <v>0</v>
      </c>
    </row>
    <row r="967" spans="1:9" x14ac:dyDescent="0.15">
      <c r="A967" s="135"/>
      <c r="B967" s="451" t="s">
        <v>881</v>
      </c>
      <c r="C967" s="135" t="s">
        <v>338</v>
      </c>
      <c r="D967" s="144">
        <v>0</v>
      </c>
      <c r="E967" s="308">
        <v>0</v>
      </c>
      <c r="F967" s="144">
        <v>0</v>
      </c>
      <c r="G967" s="144">
        <v>0</v>
      </c>
      <c r="H967" s="147">
        <v>0</v>
      </c>
      <c r="I967" s="495">
        <f>SUM(G967+H967)</f>
        <v>0</v>
      </c>
    </row>
    <row r="968" spans="1:9" x14ac:dyDescent="0.15">
      <c r="A968" s="135"/>
      <c r="B968" s="453" t="s">
        <v>882</v>
      </c>
      <c r="C968" s="454" t="s">
        <v>1058</v>
      </c>
      <c r="D968" s="141">
        <v>0</v>
      </c>
      <c r="E968" s="309">
        <v>0</v>
      </c>
      <c r="F968" s="141">
        <v>0</v>
      </c>
      <c r="G968" s="141">
        <v>0</v>
      </c>
      <c r="H968" s="147">
        <v>0</v>
      </c>
      <c r="I968" s="495">
        <f t="shared" ref="I968:I998" si="52">SUM(G968+H968)</f>
        <v>0</v>
      </c>
    </row>
    <row r="969" spans="1:9" x14ac:dyDescent="0.15">
      <c r="A969" s="135"/>
      <c r="B969" s="453" t="s">
        <v>883</v>
      </c>
      <c r="C969" s="454" t="s">
        <v>1059</v>
      </c>
      <c r="D969" s="141">
        <v>0</v>
      </c>
      <c r="E969" s="309">
        <v>0</v>
      </c>
      <c r="F969" s="141">
        <v>0</v>
      </c>
      <c r="G969" s="141">
        <v>0</v>
      </c>
      <c r="H969" s="147">
        <v>0</v>
      </c>
      <c r="I969" s="495">
        <f t="shared" si="52"/>
        <v>0</v>
      </c>
    </row>
    <row r="970" spans="1:9" x14ac:dyDescent="0.15">
      <c r="A970" s="135"/>
      <c r="B970" s="453" t="s">
        <v>1060</v>
      </c>
      <c r="C970" s="454" t="s">
        <v>1061</v>
      </c>
      <c r="D970" s="141">
        <v>0</v>
      </c>
      <c r="E970" s="309">
        <v>0</v>
      </c>
      <c r="F970" s="141">
        <v>0</v>
      </c>
      <c r="G970" s="141">
        <v>0</v>
      </c>
      <c r="H970" s="147">
        <v>0</v>
      </c>
      <c r="I970" s="495">
        <f t="shared" si="52"/>
        <v>0</v>
      </c>
    </row>
    <row r="971" spans="1:9" x14ac:dyDescent="0.15">
      <c r="A971" s="135"/>
      <c r="B971" s="453" t="s">
        <v>1062</v>
      </c>
      <c r="C971" s="454" t="s">
        <v>1063</v>
      </c>
      <c r="D971" s="141">
        <v>0</v>
      </c>
      <c r="E971" s="309">
        <v>0</v>
      </c>
      <c r="F971" s="141">
        <v>0</v>
      </c>
      <c r="G971" s="141">
        <v>0</v>
      </c>
      <c r="H971" s="147">
        <v>0</v>
      </c>
      <c r="I971" s="495">
        <f t="shared" si="52"/>
        <v>0</v>
      </c>
    </row>
    <row r="972" spans="1:9" x14ac:dyDescent="0.15">
      <c r="A972" s="135"/>
      <c r="B972" s="453" t="s">
        <v>884</v>
      </c>
      <c r="C972" s="454" t="s">
        <v>1064</v>
      </c>
      <c r="D972" s="141">
        <v>0</v>
      </c>
      <c r="E972" s="309">
        <v>0</v>
      </c>
      <c r="F972" s="141">
        <v>0</v>
      </c>
      <c r="G972" s="141">
        <v>0</v>
      </c>
      <c r="H972" s="147">
        <v>0</v>
      </c>
      <c r="I972" s="495">
        <f t="shared" si="52"/>
        <v>0</v>
      </c>
    </row>
    <row r="973" spans="1:9" x14ac:dyDescent="0.15">
      <c r="A973" s="135"/>
      <c r="B973" s="453" t="s">
        <v>1067</v>
      </c>
      <c r="C973" s="454" t="s">
        <v>1074</v>
      </c>
      <c r="D973" s="141">
        <v>0</v>
      </c>
      <c r="E973" s="309">
        <v>0</v>
      </c>
      <c r="F973" s="141">
        <v>0</v>
      </c>
      <c r="G973" s="141">
        <v>0</v>
      </c>
      <c r="H973" s="147">
        <v>0</v>
      </c>
      <c r="I973" s="495">
        <f t="shared" si="52"/>
        <v>0</v>
      </c>
    </row>
    <row r="974" spans="1:9" x14ac:dyDescent="0.15">
      <c r="A974" s="135"/>
      <c r="B974" s="453" t="s">
        <v>1068</v>
      </c>
      <c r="C974" s="454" t="s">
        <v>1075</v>
      </c>
      <c r="D974" s="141">
        <v>0</v>
      </c>
      <c r="E974" s="309">
        <v>0</v>
      </c>
      <c r="F974" s="141">
        <v>0</v>
      </c>
      <c r="G974" s="141">
        <v>0</v>
      </c>
      <c r="H974" s="147">
        <v>0</v>
      </c>
      <c r="I974" s="495">
        <f t="shared" si="52"/>
        <v>0</v>
      </c>
    </row>
    <row r="975" spans="1:9" x14ac:dyDescent="0.15">
      <c r="A975" s="135"/>
      <c r="B975" s="453" t="s">
        <v>1072</v>
      </c>
      <c r="C975" s="454" t="s">
        <v>920</v>
      </c>
      <c r="D975" s="141">
        <v>0</v>
      </c>
      <c r="E975" s="309">
        <v>0</v>
      </c>
      <c r="F975" s="141">
        <v>0</v>
      </c>
      <c r="G975" s="141">
        <v>0</v>
      </c>
      <c r="H975" s="147">
        <v>0</v>
      </c>
      <c r="I975" s="495">
        <f t="shared" si="52"/>
        <v>0</v>
      </c>
    </row>
    <row r="976" spans="1:9" x14ac:dyDescent="0.15">
      <c r="A976" s="135"/>
      <c r="B976" s="717" t="s">
        <v>155</v>
      </c>
      <c r="C976" s="706" t="s">
        <v>178</v>
      </c>
      <c r="D976" s="141">
        <v>0</v>
      </c>
      <c r="E976" s="309">
        <v>0</v>
      </c>
      <c r="F976" s="141">
        <v>0</v>
      </c>
      <c r="G976" s="141">
        <v>0</v>
      </c>
      <c r="H976" s="147">
        <v>0</v>
      </c>
      <c r="I976" s="495">
        <f t="shared" ref="I976" si="53">SUM(G976+H976)</f>
        <v>0</v>
      </c>
    </row>
    <row r="977" spans="1:9" x14ac:dyDescent="0.15">
      <c r="A977" s="135"/>
      <c r="B977" s="453" t="s">
        <v>921</v>
      </c>
      <c r="C977" s="454" t="s">
        <v>955</v>
      </c>
      <c r="D977" s="141">
        <v>0</v>
      </c>
      <c r="E977" s="309">
        <v>0</v>
      </c>
      <c r="F977" s="141">
        <v>0</v>
      </c>
      <c r="G977" s="141">
        <v>0</v>
      </c>
      <c r="H977" s="147">
        <v>0</v>
      </c>
      <c r="I977" s="495">
        <f t="shared" si="52"/>
        <v>0</v>
      </c>
    </row>
    <row r="978" spans="1:9" x14ac:dyDescent="0.15">
      <c r="A978" s="135"/>
      <c r="B978" s="453" t="s">
        <v>922</v>
      </c>
      <c r="C978" s="454" t="s">
        <v>956</v>
      </c>
      <c r="D978" s="141">
        <v>0</v>
      </c>
      <c r="E978" s="309">
        <v>0</v>
      </c>
      <c r="F978" s="141">
        <v>0</v>
      </c>
      <c r="G978" s="141">
        <v>0</v>
      </c>
      <c r="H978" s="147">
        <v>0</v>
      </c>
      <c r="I978" s="495">
        <f t="shared" si="52"/>
        <v>0</v>
      </c>
    </row>
    <row r="979" spans="1:9" x14ac:dyDescent="0.15">
      <c r="A979" s="135"/>
      <c r="B979" s="453" t="s">
        <v>923</v>
      </c>
      <c r="C979" s="454" t="s">
        <v>957</v>
      </c>
      <c r="D979" s="141">
        <v>0</v>
      </c>
      <c r="E979" s="309">
        <v>0</v>
      </c>
      <c r="F979" s="141">
        <v>0</v>
      </c>
      <c r="G979" s="141">
        <v>0</v>
      </c>
      <c r="H979" s="147">
        <v>0</v>
      </c>
      <c r="I979" s="495">
        <f t="shared" si="52"/>
        <v>0</v>
      </c>
    </row>
    <row r="980" spans="1:9" x14ac:dyDescent="0.15">
      <c r="A980" s="135"/>
      <c r="B980" s="453" t="s">
        <v>924</v>
      </c>
      <c r="C980" s="454" t="s">
        <v>958</v>
      </c>
      <c r="D980" s="141">
        <v>0</v>
      </c>
      <c r="E980" s="309">
        <v>0</v>
      </c>
      <c r="F980" s="141">
        <v>0</v>
      </c>
      <c r="G980" s="141">
        <v>0</v>
      </c>
      <c r="H980" s="147">
        <v>0</v>
      </c>
      <c r="I980" s="495">
        <f t="shared" si="52"/>
        <v>0</v>
      </c>
    </row>
    <row r="981" spans="1:9" x14ac:dyDescent="0.15">
      <c r="A981" s="135"/>
      <c r="B981" s="453" t="s">
        <v>925</v>
      </c>
      <c r="C981" s="454" t="s">
        <v>1128</v>
      </c>
      <c r="D981" s="141">
        <v>0</v>
      </c>
      <c r="E981" s="309">
        <v>0</v>
      </c>
      <c r="F981" s="141">
        <v>0</v>
      </c>
      <c r="G981" s="141">
        <v>0</v>
      </c>
      <c r="H981" s="147">
        <v>0</v>
      </c>
      <c r="I981" s="495">
        <f t="shared" si="52"/>
        <v>0</v>
      </c>
    </row>
    <row r="982" spans="1:9" x14ac:dyDescent="0.15">
      <c r="A982" s="135"/>
      <c r="B982" s="453" t="s">
        <v>926</v>
      </c>
      <c r="C982" s="454" t="s">
        <v>1129</v>
      </c>
      <c r="D982" s="141">
        <v>0</v>
      </c>
      <c r="E982" s="309">
        <v>0</v>
      </c>
      <c r="F982" s="141">
        <v>0</v>
      </c>
      <c r="G982" s="141">
        <v>0</v>
      </c>
      <c r="H982" s="147">
        <v>0</v>
      </c>
      <c r="I982" s="495">
        <f t="shared" si="52"/>
        <v>0</v>
      </c>
    </row>
    <row r="983" spans="1:9" x14ac:dyDescent="0.15">
      <c r="A983" s="135"/>
      <c r="B983" s="453" t="s">
        <v>927</v>
      </c>
      <c r="C983" s="454" t="s">
        <v>959</v>
      </c>
      <c r="D983" s="141">
        <v>0</v>
      </c>
      <c r="E983" s="309">
        <v>0</v>
      </c>
      <c r="F983" s="141">
        <v>0</v>
      </c>
      <c r="G983" s="141">
        <v>0</v>
      </c>
      <c r="H983" s="147">
        <v>0</v>
      </c>
      <c r="I983" s="495">
        <f t="shared" si="52"/>
        <v>0</v>
      </c>
    </row>
    <row r="984" spans="1:9" x14ac:dyDescent="0.15">
      <c r="A984" s="135"/>
      <c r="B984" s="453" t="s">
        <v>928</v>
      </c>
      <c r="C984" s="454" t="s">
        <v>961</v>
      </c>
      <c r="D984" s="141">
        <v>0</v>
      </c>
      <c r="E984" s="309">
        <v>0</v>
      </c>
      <c r="F984" s="141">
        <v>0</v>
      </c>
      <c r="G984" s="141">
        <v>0</v>
      </c>
      <c r="H984" s="147">
        <v>0</v>
      </c>
      <c r="I984" s="495">
        <f t="shared" si="52"/>
        <v>0</v>
      </c>
    </row>
    <row r="985" spans="1:9" x14ac:dyDescent="0.15">
      <c r="A985" s="135"/>
      <c r="B985" s="453" t="s">
        <v>962</v>
      </c>
      <c r="C985" s="454" t="s">
        <v>967</v>
      </c>
      <c r="D985" s="141">
        <v>0</v>
      </c>
      <c r="E985" s="309">
        <v>0</v>
      </c>
      <c r="F985" s="141">
        <v>0</v>
      </c>
      <c r="G985" s="141">
        <v>0</v>
      </c>
      <c r="H985" s="147">
        <v>0</v>
      </c>
      <c r="I985" s="495">
        <f t="shared" si="52"/>
        <v>0</v>
      </c>
    </row>
    <row r="986" spans="1:9" x14ac:dyDescent="0.15">
      <c r="A986" s="135"/>
      <c r="B986" s="453" t="s">
        <v>963</v>
      </c>
      <c r="C986" s="454" t="s">
        <v>1093</v>
      </c>
      <c r="D986" s="141">
        <v>0</v>
      </c>
      <c r="E986" s="309">
        <v>0</v>
      </c>
      <c r="F986" s="141">
        <v>0</v>
      </c>
      <c r="G986" s="141">
        <v>0</v>
      </c>
      <c r="H986" s="147">
        <v>0</v>
      </c>
      <c r="I986" s="495">
        <f t="shared" si="52"/>
        <v>0</v>
      </c>
    </row>
    <row r="987" spans="1:9" x14ac:dyDescent="0.15">
      <c r="A987" s="135"/>
      <c r="B987" s="453" t="s">
        <v>964</v>
      </c>
      <c r="C987" s="454" t="s">
        <v>1094</v>
      </c>
      <c r="D987" s="141">
        <v>0</v>
      </c>
      <c r="E987" s="309">
        <v>0</v>
      </c>
      <c r="F987" s="141">
        <v>0</v>
      </c>
      <c r="G987" s="141">
        <v>0</v>
      </c>
      <c r="H987" s="147">
        <v>0</v>
      </c>
      <c r="I987" s="495">
        <f t="shared" si="52"/>
        <v>0</v>
      </c>
    </row>
    <row r="988" spans="1:9" x14ac:dyDescent="0.15">
      <c r="A988" s="135"/>
      <c r="B988" s="453" t="s">
        <v>965</v>
      </c>
      <c r="C988" s="454" t="s">
        <v>1095</v>
      </c>
      <c r="D988" s="141">
        <v>0</v>
      </c>
      <c r="E988" s="309">
        <v>0</v>
      </c>
      <c r="F988" s="141">
        <v>0</v>
      </c>
      <c r="G988" s="141">
        <v>0</v>
      </c>
      <c r="H988" s="147">
        <v>0</v>
      </c>
      <c r="I988" s="495">
        <f t="shared" si="52"/>
        <v>0</v>
      </c>
    </row>
    <row r="989" spans="1:9" x14ac:dyDescent="0.15">
      <c r="A989" s="135"/>
      <c r="B989" s="453" t="s">
        <v>885</v>
      </c>
      <c r="C989" s="454" t="s">
        <v>1096</v>
      </c>
      <c r="D989" s="141">
        <v>0</v>
      </c>
      <c r="E989" s="309">
        <v>0</v>
      </c>
      <c r="F989" s="141">
        <v>0</v>
      </c>
      <c r="G989" s="141">
        <v>0</v>
      </c>
      <c r="H989" s="147">
        <v>0</v>
      </c>
      <c r="I989" s="495">
        <f t="shared" si="52"/>
        <v>0</v>
      </c>
    </row>
    <row r="990" spans="1:9" x14ac:dyDescent="0.15">
      <c r="A990" s="135"/>
      <c r="B990" s="453" t="s">
        <v>966</v>
      </c>
      <c r="C990" s="454" t="s">
        <v>1097</v>
      </c>
      <c r="D990" s="141">
        <v>0</v>
      </c>
      <c r="E990" s="309">
        <v>0</v>
      </c>
      <c r="F990" s="141">
        <v>0</v>
      </c>
      <c r="G990" s="141">
        <v>0</v>
      </c>
      <c r="H990" s="147">
        <v>0</v>
      </c>
      <c r="I990" s="495">
        <f t="shared" si="52"/>
        <v>0</v>
      </c>
    </row>
    <row r="991" spans="1:9" x14ac:dyDescent="0.15">
      <c r="A991" s="135"/>
      <c r="B991" s="453" t="s">
        <v>886</v>
      </c>
      <c r="C991" s="454" t="s">
        <v>1100</v>
      </c>
      <c r="D991" s="141">
        <v>0</v>
      </c>
      <c r="E991" s="309">
        <v>0</v>
      </c>
      <c r="F991" s="141">
        <v>0</v>
      </c>
      <c r="G991" s="141">
        <v>0</v>
      </c>
      <c r="H991" s="147">
        <v>0</v>
      </c>
      <c r="I991" s="495">
        <f t="shared" si="52"/>
        <v>0</v>
      </c>
    </row>
    <row r="992" spans="1:9" x14ac:dyDescent="0.15">
      <c r="A992" s="135"/>
      <c r="B992" s="453" t="s">
        <v>116</v>
      </c>
      <c r="C992" s="454" t="s">
        <v>1105</v>
      </c>
      <c r="D992" s="141">
        <v>0</v>
      </c>
      <c r="E992" s="309">
        <v>0</v>
      </c>
      <c r="F992" s="141">
        <v>0</v>
      </c>
      <c r="G992" s="141">
        <v>0</v>
      </c>
      <c r="H992" s="147">
        <v>0</v>
      </c>
      <c r="I992" s="495">
        <f t="shared" si="52"/>
        <v>0</v>
      </c>
    </row>
    <row r="993" spans="1:9" x14ac:dyDescent="0.15">
      <c r="A993" s="135"/>
      <c r="B993" s="453" t="s">
        <v>112</v>
      </c>
      <c r="C993" s="454" t="s">
        <v>1110</v>
      </c>
      <c r="D993" s="141">
        <v>0</v>
      </c>
      <c r="E993" s="309">
        <v>0</v>
      </c>
      <c r="F993" s="141">
        <v>0</v>
      </c>
      <c r="G993" s="141">
        <v>0</v>
      </c>
      <c r="H993" s="147">
        <v>0</v>
      </c>
      <c r="I993" s="495">
        <f t="shared" si="52"/>
        <v>0</v>
      </c>
    </row>
    <row r="994" spans="1:9" x14ac:dyDescent="0.15">
      <c r="A994" s="135"/>
      <c r="B994" s="453" t="s">
        <v>887</v>
      </c>
      <c r="C994" s="454" t="s">
        <v>1116</v>
      </c>
      <c r="D994" s="141">
        <v>0</v>
      </c>
      <c r="E994" s="309">
        <v>0</v>
      </c>
      <c r="F994" s="141">
        <v>0</v>
      </c>
      <c r="G994" s="141">
        <v>0</v>
      </c>
      <c r="H994" s="147">
        <v>0</v>
      </c>
      <c r="I994" s="495">
        <f t="shared" si="52"/>
        <v>0</v>
      </c>
    </row>
    <row r="995" spans="1:9" x14ac:dyDescent="0.15">
      <c r="A995" s="135"/>
      <c r="B995" s="453" t="s">
        <v>1112</v>
      </c>
      <c r="C995" s="454" t="s">
        <v>1117</v>
      </c>
      <c r="D995" s="141">
        <v>0</v>
      </c>
      <c r="E995" s="309">
        <v>0</v>
      </c>
      <c r="F995" s="141">
        <v>0</v>
      </c>
      <c r="G995" s="141">
        <v>0</v>
      </c>
      <c r="H995" s="147">
        <v>0</v>
      </c>
      <c r="I995" s="495">
        <f t="shared" si="52"/>
        <v>0</v>
      </c>
    </row>
    <row r="996" spans="1:9" x14ac:dyDescent="0.15">
      <c r="A996" s="135"/>
      <c r="B996" s="453" t="s">
        <v>1113</v>
      </c>
      <c r="C996" s="454" t="s">
        <v>1118</v>
      </c>
      <c r="D996" s="141">
        <v>0</v>
      </c>
      <c r="E996" s="309">
        <v>0</v>
      </c>
      <c r="F996" s="141">
        <v>0</v>
      </c>
      <c r="G996" s="141">
        <v>0</v>
      </c>
      <c r="H996" s="147">
        <v>0</v>
      </c>
      <c r="I996" s="495">
        <f t="shared" si="52"/>
        <v>0</v>
      </c>
    </row>
    <row r="997" spans="1:9" ht="11.25" thickBot="1" x14ac:dyDescent="0.2">
      <c r="A997" s="135"/>
      <c r="B997" s="453" t="s">
        <v>1114</v>
      </c>
      <c r="C997" s="454" t="s">
        <v>1119</v>
      </c>
      <c r="D997" s="141">
        <v>0</v>
      </c>
      <c r="E997" s="309">
        <v>0</v>
      </c>
      <c r="F997" s="141">
        <v>0</v>
      </c>
      <c r="G997" s="141">
        <v>0</v>
      </c>
      <c r="H997" s="147">
        <v>0</v>
      </c>
      <c r="I997" s="495">
        <f t="shared" si="52"/>
        <v>0</v>
      </c>
    </row>
    <row r="998" spans="1:9" ht="12" thickTop="1" thickBot="1" x14ac:dyDescent="0.2">
      <c r="A998" s="135"/>
      <c r="B998" s="453"/>
      <c r="C998" s="454" t="s">
        <v>1289</v>
      </c>
      <c r="D998" s="166">
        <f>SUM(D964:D997)</f>
        <v>0</v>
      </c>
      <c r="E998" s="297">
        <f>SUM(E964:E997)</f>
        <v>0</v>
      </c>
      <c r="F998" s="166">
        <f>SUM(F964:F997)</f>
        <v>0</v>
      </c>
      <c r="G998" s="166">
        <f>SUM(G964:G997)</f>
        <v>0</v>
      </c>
      <c r="H998" s="166">
        <f>SUM(H964:H997)</f>
        <v>0</v>
      </c>
      <c r="I998" s="166">
        <f t="shared" si="52"/>
        <v>0</v>
      </c>
    </row>
    <row r="999" spans="1:9" ht="11.25" thickTop="1" x14ac:dyDescent="0.15">
      <c r="A999" s="135"/>
      <c r="B999" s="454"/>
      <c r="C999" s="454"/>
      <c r="D999" s="14"/>
      <c r="E999" s="301"/>
      <c r="F999" s="14"/>
      <c r="G999" s="14"/>
      <c r="H999" s="14"/>
      <c r="I999" s="491"/>
    </row>
    <row r="1000" spans="1:9" x14ac:dyDescent="0.15">
      <c r="A1000" s="452" t="s">
        <v>1290</v>
      </c>
      <c r="B1000" s="454"/>
      <c r="C1000" s="454"/>
      <c r="D1000" s="14"/>
      <c r="E1000" s="301"/>
      <c r="F1000" s="14"/>
      <c r="G1000" s="14"/>
      <c r="H1000" s="14"/>
      <c r="I1000" s="491"/>
    </row>
    <row r="1001" spans="1:9" hidden="1" x14ac:dyDescent="0.15">
      <c r="A1001" s="416"/>
      <c r="B1001" s="453" t="s">
        <v>880</v>
      </c>
      <c r="C1001" s="454" t="s">
        <v>1164</v>
      </c>
      <c r="D1001" s="308">
        <v>0</v>
      </c>
      <c r="E1001" s="308">
        <v>0</v>
      </c>
      <c r="F1001" s="308">
        <v>0</v>
      </c>
      <c r="G1001" s="458"/>
      <c r="H1001" s="457">
        <v>0</v>
      </c>
      <c r="I1001" s="494">
        <f>SUM(G1001+H1001)</f>
        <v>0</v>
      </c>
    </row>
    <row r="1002" spans="1:9" x14ac:dyDescent="0.15">
      <c r="A1002" s="416"/>
      <c r="B1002" s="453" t="s">
        <v>880</v>
      </c>
      <c r="C1002" s="454" t="s">
        <v>337</v>
      </c>
      <c r="D1002" s="308">
        <v>0</v>
      </c>
      <c r="E1002" s="308">
        <v>0</v>
      </c>
      <c r="F1002" s="308">
        <v>0</v>
      </c>
      <c r="G1002" s="308">
        <v>0</v>
      </c>
      <c r="H1002" s="457">
        <v>0</v>
      </c>
      <c r="I1002" s="494">
        <f>SUM(G1002+H1002)</f>
        <v>0</v>
      </c>
    </row>
    <row r="1003" spans="1:9" hidden="1" x14ac:dyDescent="0.15">
      <c r="A1003" s="454"/>
      <c r="B1003" s="453" t="s">
        <v>881</v>
      </c>
      <c r="C1003" s="454" t="s">
        <v>382</v>
      </c>
      <c r="D1003" s="308">
        <v>0</v>
      </c>
      <c r="E1003" s="308">
        <v>0</v>
      </c>
      <c r="F1003" s="308">
        <v>0</v>
      </c>
      <c r="G1003" s="459"/>
      <c r="H1003" s="457">
        <v>0</v>
      </c>
      <c r="I1003" s="494">
        <f>SUM(G1003+H1003)</f>
        <v>0</v>
      </c>
    </row>
    <row r="1004" spans="1:9" x14ac:dyDescent="0.15">
      <c r="A1004" s="135"/>
      <c r="B1004" s="451" t="s">
        <v>881</v>
      </c>
      <c r="C1004" s="135" t="s">
        <v>338</v>
      </c>
      <c r="D1004" s="144">
        <v>0</v>
      </c>
      <c r="E1004" s="308">
        <v>0</v>
      </c>
      <c r="F1004" s="144">
        <v>0</v>
      </c>
      <c r="G1004" s="144">
        <v>0</v>
      </c>
      <c r="H1004" s="147">
        <v>0</v>
      </c>
      <c r="I1004" s="495">
        <f>SUM(G1004+H1004)</f>
        <v>0</v>
      </c>
    </row>
    <row r="1005" spans="1:9" x14ac:dyDescent="0.15">
      <c r="A1005" s="135"/>
      <c r="B1005" s="453" t="s">
        <v>882</v>
      </c>
      <c r="C1005" s="454" t="s">
        <v>1058</v>
      </c>
      <c r="D1005" s="141">
        <v>0</v>
      </c>
      <c r="E1005" s="309">
        <v>0</v>
      </c>
      <c r="F1005" s="141">
        <v>0</v>
      </c>
      <c r="G1005" s="141">
        <v>0</v>
      </c>
      <c r="H1005" s="147">
        <v>0</v>
      </c>
      <c r="I1005" s="495">
        <f t="shared" ref="I1005:I1035" si="54">SUM(G1005+H1005)</f>
        <v>0</v>
      </c>
    </row>
    <row r="1006" spans="1:9" x14ac:dyDescent="0.15">
      <c r="A1006" s="135"/>
      <c r="B1006" s="453" t="s">
        <v>883</v>
      </c>
      <c r="C1006" s="454" t="s">
        <v>1059</v>
      </c>
      <c r="D1006" s="141">
        <v>0</v>
      </c>
      <c r="E1006" s="309">
        <v>0</v>
      </c>
      <c r="F1006" s="141">
        <v>0</v>
      </c>
      <c r="G1006" s="141">
        <v>0</v>
      </c>
      <c r="H1006" s="147">
        <v>0</v>
      </c>
      <c r="I1006" s="495">
        <f t="shared" si="54"/>
        <v>0</v>
      </c>
    </row>
    <row r="1007" spans="1:9" x14ac:dyDescent="0.15">
      <c r="A1007" s="135"/>
      <c r="B1007" s="453" t="s">
        <v>1060</v>
      </c>
      <c r="C1007" s="454" t="s">
        <v>1061</v>
      </c>
      <c r="D1007" s="141">
        <v>0</v>
      </c>
      <c r="E1007" s="309">
        <v>0</v>
      </c>
      <c r="F1007" s="141">
        <v>0</v>
      </c>
      <c r="G1007" s="141">
        <v>0</v>
      </c>
      <c r="H1007" s="147">
        <v>0</v>
      </c>
      <c r="I1007" s="495">
        <f t="shared" si="54"/>
        <v>0</v>
      </c>
    </row>
    <row r="1008" spans="1:9" x14ac:dyDescent="0.15">
      <c r="A1008" s="135"/>
      <c r="B1008" s="453" t="s">
        <v>1062</v>
      </c>
      <c r="C1008" s="454" t="s">
        <v>1063</v>
      </c>
      <c r="D1008" s="141">
        <v>0</v>
      </c>
      <c r="E1008" s="309">
        <v>0</v>
      </c>
      <c r="F1008" s="141">
        <v>0</v>
      </c>
      <c r="G1008" s="141">
        <v>0</v>
      </c>
      <c r="H1008" s="147">
        <v>0</v>
      </c>
      <c r="I1008" s="495">
        <f t="shared" si="54"/>
        <v>0</v>
      </c>
    </row>
    <row r="1009" spans="1:9" x14ac:dyDescent="0.15">
      <c r="A1009" s="135"/>
      <c r="B1009" s="453" t="s">
        <v>884</v>
      </c>
      <c r="C1009" s="454" t="s">
        <v>1064</v>
      </c>
      <c r="D1009" s="141">
        <v>0</v>
      </c>
      <c r="E1009" s="309">
        <v>0</v>
      </c>
      <c r="F1009" s="141">
        <v>0</v>
      </c>
      <c r="G1009" s="141">
        <v>0</v>
      </c>
      <c r="H1009" s="147">
        <v>0</v>
      </c>
      <c r="I1009" s="495">
        <f t="shared" si="54"/>
        <v>0</v>
      </c>
    </row>
    <row r="1010" spans="1:9" x14ac:dyDescent="0.15">
      <c r="A1010" s="135"/>
      <c r="B1010" s="453" t="s">
        <v>1067</v>
      </c>
      <c r="C1010" s="454" t="s">
        <v>1074</v>
      </c>
      <c r="D1010" s="141">
        <v>0</v>
      </c>
      <c r="E1010" s="309">
        <v>0</v>
      </c>
      <c r="F1010" s="141">
        <v>0</v>
      </c>
      <c r="G1010" s="141">
        <v>0</v>
      </c>
      <c r="H1010" s="147">
        <v>0</v>
      </c>
      <c r="I1010" s="495">
        <f t="shared" si="54"/>
        <v>0</v>
      </c>
    </row>
    <row r="1011" spans="1:9" x14ac:dyDescent="0.15">
      <c r="A1011" s="135"/>
      <c r="B1011" s="453" t="s">
        <v>1068</v>
      </c>
      <c r="C1011" s="454" t="s">
        <v>1075</v>
      </c>
      <c r="D1011" s="141">
        <v>0</v>
      </c>
      <c r="E1011" s="309">
        <v>0</v>
      </c>
      <c r="F1011" s="141">
        <v>0</v>
      </c>
      <c r="G1011" s="141">
        <v>0</v>
      </c>
      <c r="H1011" s="147">
        <v>0</v>
      </c>
      <c r="I1011" s="495">
        <f t="shared" si="54"/>
        <v>0</v>
      </c>
    </row>
    <row r="1012" spans="1:9" x14ac:dyDescent="0.15">
      <c r="A1012" s="135"/>
      <c r="B1012" s="453" t="s">
        <v>1072</v>
      </c>
      <c r="C1012" s="454" t="s">
        <v>920</v>
      </c>
      <c r="D1012" s="141">
        <v>0</v>
      </c>
      <c r="E1012" s="309">
        <v>0</v>
      </c>
      <c r="F1012" s="141">
        <v>0</v>
      </c>
      <c r="G1012" s="141">
        <v>0</v>
      </c>
      <c r="H1012" s="147">
        <v>0</v>
      </c>
      <c r="I1012" s="495">
        <f t="shared" si="54"/>
        <v>0</v>
      </c>
    </row>
    <row r="1013" spans="1:9" x14ac:dyDescent="0.15">
      <c r="A1013" s="135"/>
      <c r="B1013" s="717" t="s">
        <v>155</v>
      </c>
      <c r="C1013" s="706" t="s">
        <v>178</v>
      </c>
      <c r="D1013" s="141">
        <v>0</v>
      </c>
      <c r="E1013" s="309">
        <v>0</v>
      </c>
      <c r="F1013" s="141">
        <v>0</v>
      </c>
      <c r="G1013" s="141">
        <v>0</v>
      </c>
      <c r="H1013" s="147">
        <v>0</v>
      </c>
      <c r="I1013" s="495">
        <f t="shared" ref="I1013" si="55">SUM(G1013+H1013)</f>
        <v>0</v>
      </c>
    </row>
    <row r="1014" spans="1:9" x14ac:dyDescent="0.15">
      <c r="A1014" s="135"/>
      <c r="B1014" s="453" t="s">
        <v>921</v>
      </c>
      <c r="C1014" s="454" t="s">
        <v>955</v>
      </c>
      <c r="D1014" s="141">
        <v>0</v>
      </c>
      <c r="E1014" s="309">
        <v>0</v>
      </c>
      <c r="F1014" s="141">
        <v>0</v>
      </c>
      <c r="G1014" s="141">
        <v>0</v>
      </c>
      <c r="H1014" s="147">
        <v>0</v>
      </c>
      <c r="I1014" s="495">
        <f t="shared" si="54"/>
        <v>0</v>
      </c>
    </row>
    <row r="1015" spans="1:9" x14ac:dyDescent="0.15">
      <c r="A1015" s="135"/>
      <c r="B1015" s="453" t="s">
        <v>922</v>
      </c>
      <c r="C1015" s="454" t="s">
        <v>956</v>
      </c>
      <c r="D1015" s="141">
        <v>0</v>
      </c>
      <c r="E1015" s="309">
        <v>0</v>
      </c>
      <c r="F1015" s="141">
        <v>0</v>
      </c>
      <c r="G1015" s="141">
        <v>0</v>
      </c>
      <c r="H1015" s="147">
        <v>0</v>
      </c>
      <c r="I1015" s="495">
        <f t="shared" si="54"/>
        <v>0</v>
      </c>
    </row>
    <row r="1016" spans="1:9" x14ac:dyDescent="0.15">
      <c r="A1016" s="135"/>
      <c r="B1016" s="453" t="s">
        <v>923</v>
      </c>
      <c r="C1016" s="454" t="s">
        <v>957</v>
      </c>
      <c r="D1016" s="141">
        <v>0</v>
      </c>
      <c r="E1016" s="309">
        <v>0</v>
      </c>
      <c r="F1016" s="141">
        <v>0</v>
      </c>
      <c r="G1016" s="141">
        <v>0</v>
      </c>
      <c r="H1016" s="147">
        <v>0</v>
      </c>
      <c r="I1016" s="495">
        <f t="shared" si="54"/>
        <v>0</v>
      </c>
    </row>
    <row r="1017" spans="1:9" x14ac:dyDescent="0.15">
      <c r="A1017" s="135"/>
      <c r="B1017" s="453" t="s">
        <v>924</v>
      </c>
      <c r="C1017" s="454" t="s">
        <v>958</v>
      </c>
      <c r="D1017" s="141">
        <v>0</v>
      </c>
      <c r="E1017" s="309">
        <v>0</v>
      </c>
      <c r="F1017" s="141">
        <v>0</v>
      </c>
      <c r="G1017" s="141">
        <v>0</v>
      </c>
      <c r="H1017" s="147">
        <v>0</v>
      </c>
      <c r="I1017" s="495">
        <f t="shared" si="54"/>
        <v>0</v>
      </c>
    </row>
    <row r="1018" spans="1:9" x14ac:dyDescent="0.15">
      <c r="A1018" s="135"/>
      <c r="B1018" s="453" t="s">
        <v>925</v>
      </c>
      <c r="C1018" s="454" t="s">
        <v>1128</v>
      </c>
      <c r="D1018" s="141">
        <v>0</v>
      </c>
      <c r="E1018" s="309">
        <v>0</v>
      </c>
      <c r="F1018" s="141">
        <v>0</v>
      </c>
      <c r="G1018" s="141">
        <v>0</v>
      </c>
      <c r="H1018" s="147">
        <v>0</v>
      </c>
      <c r="I1018" s="495">
        <f t="shared" si="54"/>
        <v>0</v>
      </c>
    </row>
    <row r="1019" spans="1:9" x14ac:dyDescent="0.15">
      <c r="A1019" s="135"/>
      <c r="B1019" s="453" t="s">
        <v>926</v>
      </c>
      <c r="C1019" s="454" t="s">
        <v>1129</v>
      </c>
      <c r="D1019" s="141">
        <v>0</v>
      </c>
      <c r="E1019" s="309">
        <v>0</v>
      </c>
      <c r="F1019" s="141">
        <v>0</v>
      </c>
      <c r="G1019" s="141">
        <v>0</v>
      </c>
      <c r="H1019" s="147">
        <v>0</v>
      </c>
      <c r="I1019" s="495">
        <f t="shared" si="54"/>
        <v>0</v>
      </c>
    </row>
    <row r="1020" spans="1:9" x14ac:dyDescent="0.15">
      <c r="A1020" s="135"/>
      <c r="B1020" s="453" t="s">
        <v>927</v>
      </c>
      <c r="C1020" s="454" t="s">
        <v>959</v>
      </c>
      <c r="D1020" s="141">
        <v>0</v>
      </c>
      <c r="E1020" s="309">
        <v>0</v>
      </c>
      <c r="F1020" s="141">
        <v>0</v>
      </c>
      <c r="G1020" s="141">
        <v>0</v>
      </c>
      <c r="H1020" s="147">
        <v>0</v>
      </c>
      <c r="I1020" s="495">
        <f t="shared" si="54"/>
        <v>0</v>
      </c>
    </row>
    <row r="1021" spans="1:9" x14ac:dyDescent="0.15">
      <c r="A1021" s="135"/>
      <c r="B1021" s="453" t="s">
        <v>928</v>
      </c>
      <c r="C1021" s="454" t="s">
        <v>961</v>
      </c>
      <c r="D1021" s="141">
        <v>0</v>
      </c>
      <c r="E1021" s="309">
        <v>0</v>
      </c>
      <c r="F1021" s="141">
        <v>0</v>
      </c>
      <c r="G1021" s="141">
        <v>0</v>
      </c>
      <c r="H1021" s="147">
        <v>0</v>
      </c>
      <c r="I1021" s="495">
        <f t="shared" si="54"/>
        <v>0</v>
      </c>
    </row>
    <row r="1022" spans="1:9" x14ac:dyDescent="0.15">
      <c r="A1022" s="135"/>
      <c r="B1022" s="453" t="s">
        <v>962</v>
      </c>
      <c r="C1022" s="454" t="s">
        <v>967</v>
      </c>
      <c r="D1022" s="141">
        <v>0</v>
      </c>
      <c r="E1022" s="309">
        <v>0</v>
      </c>
      <c r="F1022" s="141">
        <v>0</v>
      </c>
      <c r="G1022" s="141">
        <v>0</v>
      </c>
      <c r="H1022" s="147">
        <v>0</v>
      </c>
      <c r="I1022" s="495">
        <f t="shared" si="54"/>
        <v>0</v>
      </c>
    </row>
    <row r="1023" spans="1:9" x14ac:dyDescent="0.15">
      <c r="A1023" s="135"/>
      <c r="B1023" s="453" t="s">
        <v>963</v>
      </c>
      <c r="C1023" s="454" t="s">
        <v>1093</v>
      </c>
      <c r="D1023" s="141">
        <v>0</v>
      </c>
      <c r="E1023" s="309">
        <v>0</v>
      </c>
      <c r="F1023" s="141">
        <v>0</v>
      </c>
      <c r="G1023" s="141">
        <v>0</v>
      </c>
      <c r="H1023" s="147">
        <v>0</v>
      </c>
      <c r="I1023" s="495">
        <f t="shared" si="54"/>
        <v>0</v>
      </c>
    </row>
    <row r="1024" spans="1:9" x14ac:dyDescent="0.15">
      <c r="A1024" s="135"/>
      <c r="B1024" s="453" t="s">
        <v>964</v>
      </c>
      <c r="C1024" s="454" t="s">
        <v>1094</v>
      </c>
      <c r="D1024" s="141">
        <v>0</v>
      </c>
      <c r="E1024" s="309">
        <v>0</v>
      </c>
      <c r="F1024" s="141">
        <v>0</v>
      </c>
      <c r="G1024" s="141">
        <v>0</v>
      </c>
      <c r="H1024" s="147">
        <v>0</v>
      </c>
      <c r="I1024" s="495">
        <f t="shared" si="54"/>
        <v>0</v>
      </c>
    </row>
    <row r="1025" spans="1:9" x14ac:dyDescent="0.15">
      <c r="A1025" s="135"/>
      <c r="B1025" s="453" t="s">
        <v>965</v>
      </c>
      <c r="C1025" s="454" t="s">
        <v>1095</v>
      </c>
      <c r="D1025" s="141">
        <v>0</v>
      </c>
      <c r="E1025" s="309">
        <v>0</v>
      </c>
      <c r="F1025" s="141">
        <v>0</v>
      </c>
      <c r="G1025" s="141">
        <v>0</v>
      </c>
      <c r="H1025" s="147">
        <v>0</v>
      </c>
      <c r="I1025" s="495">
        <f t="shared" si="54"/>
        <v>0</v>
      </c>
    </row>
    <row r="1026" spans="1:9" x14ac:dyDescent="0.15">
      <c r="A1026" s="135"/>
      <c r="B1026" s="453" t="s">
        <v>885</v>
      </c>
      <c r="C1026" s="454" t="s">
        <v>1096</v>
      </c>
      <c r="D1026" s="141">
        <v>0</v>
      </c>
      <c r="E1026" s="309">
        <v>0</v>
      </c>
      <c r="F1026" s="141">
        <v>0</v>
      </c>
      <c r="G1026" s="141">
        <v>0</v>
      </c>
      <c r="H1026" s="147">
        <v>0</v>
      </c>
      <c r="I1026" s="495">
        <f t="shared" si="54"/>
        <v>0</v>
      </c>
    </row>
    <row r="1027" spans="1:9" x14ac:dyDescent="0.15">
      <c r="A1027" s="135"/>
      <c r="B1027" s="453" t="s">
        <v>966</v>
      </c>
      <c r="C1027" s="454" t="s">
        <v>1097</v>
      </c>
      <c r="D1027" s="141">
        <v>0</v>
      </c>
      <c r="E1027" s="309">
        <v>0</v>
      </c>
      <c r="F1027" s="141">
        <v>0</v>
      </c>
      <c r="G1027" s="141">
        <v>0</v>
      </c>
      <c r="H1027" s="147">
        <v>0</v>
      </c>
      <c r="I1027" s="495">
        <f t="shared" si="54"/>
        <v>0</v>
      </c>
    </row>
    <row r="1028" spans="1:9" x14ac:dyDescent="0.15">
      <c r="A1028" s="135"/>
      <c r="B1028" s="453" t="s">
        <v>886</v>
      </c>
      <c r="C1028" s="454" t="s">
        <v>1100</v>
      </c>
      <c r="D1028" s="141">
        <v>0</v>
      </c>
      <c r="E1028" s="309">
        <v>0</v>
      </c>
      <c r="F1028" s="141">
        <v>0</v>
      </c>
      <c r="G1028" s="141">
        <v>0</v>
      </c>
      <c r="H1028" s="147">
        <v>0</v>
      </c>
      <c r="I1028" s="495">
        <f t="shared" si="54"/>
        <v>0</v>
      </c>
    </row>
    <row r="1029" spans="1:9" x14ac:dyDescent="0.15">
      <c r="A1029" s="135"/>
      <c r="B1029" s="453" t="s">
        <v>116</v>
      </c>
      <c r="C1029" s="454" t="s">
        <v>1105</v>
      </c>
      <c r="D1029" s="141">
        <v>0</v>
      </c>
      <c r="E1029" s="309">
        <v>0</v>
      </c>
      <c r="F1029" s="141">
        <v>0</v>
      </c>
      <c r="G1029" s="141">
        <v>0</v>
      </c>
      <c r="H1029" s="147">
        <v>0</v>
      </c>
      <c r="I1029" s="495">
        <f t="shared" si="54"/>
        <v>0</v>
      </c>
    </row>
    <row r="1030" spans="1:9" x14ac:dyDescent="0.15">
      <c r="A1030" s="135"/>
      <c r="B1030" s="453" t="s">
        <v>112</v>
      </c>
      <c r="C1030" s="454" t="s">
        <v>1110</v>
      </c>
      <c r="D1030" s="141">
        <v>0</v>
      </c>
      <c r="E1030" s="309">
        <v>0</v>
      </c>
      <c r="F1030" s="141">
        <v>0</v>
      </c>
      <c r="G1030" s="141">
        <v>0</v>
      </c>
      <c r="H1030" s="147">
        <v>0</v>
      </c>
      <c r="I1030" s="495">
        <f t="shared" si="54"/>
        <v>0</v>
      </c>
    </row>
    <row r="1031" spans="1:9" x14ac:dyDescent="0.15">
      <c r="A1031" s="135"/>
      <c r="B1031" s="453" t="s">
        <v>887</v>
      </c>
      <c r="C1031" s="454" t="s">
        <v>1116</v>
      </c>
      <c r="D1031" s="141">
        <v>0</v>
      </c>
      <c r="E1031" s="309">
        <v>0</v>
      </c>
      <c r="F1031" s="141">
        <v>0</v>
      </c>
      <c r="G1031" s="141">
        <v>0</v>
      </c>
      <c r="H1031" s="147">
        <v>0</v>
      </c>
      <c r="I1031" s="495">
        <f t="shared" si="54"/>
        <v>0</v>
      </c>
    </row>
    <row r="1032" spans="1:9" x14ac:dyDescent="0.15">
      <c r="A1032" s="135"/>
      <c r="B1032" s="453" t="s">
        <v>1112</v>
      </c>
      <c r="C1032" s="454" t="s">
        <v>1117</v>
      </c>
      <c r="D1032" s="141">
        <v>0</v>
      </c>
      <c r="E1032" s="309">
        <v>0</v>
      </c>
      <c r="F1032" s="141">
        <v>0</v>
      </c>
      <c r="G1032" s="141">
        <v>0</v>
      </c>
      <c r="H1032" s="147">
        <v>0</v>
      </c>
      <c r="I1032" s="495">
        <f t="shared" si="54"/>
        <v>0</v>
      </c>
    </row>
    <row r="1033" spans="1:9" x14ac:dyDescent="0.15">
      <c r="A1033" s="135"/>
      <c r="B1033" s="453" t="s">
        <v>1113</v>
      </c>
      <c r="C1033" s="454" t="s">
        <v>1118</v>
      </c>
      <c r="D1033" s="141">
        <v>0</v>
      </c>
      <c r="E1033" s="309">
        <v>0</v>
      </c>
      <c r="F1033" s="141">
        <v>0</v>
      </c>
      <c r="G1033" s="141">
        <v>0</v>
      </c>
      <c r="H1033" s="147">
        <v>0</v>
      </c>
      <c r="I1033" s="495">
        <f t="shared" si="54"/>
        <v>0</v>
      </c>
    </row>
    <row r="1034" spans="1:9" ht="11.25" thickBot="1" x14ac:dyDescent="0.2">
      <c r="A1034" s="135"/>
      <c r="B1034" s="453" t="s">
        <v>1114</v>
      </c>
      <c r="C1034" s="454" t="s">
        <v>1119</v>
      </c>
      <c r="D1034" s="141">
        <v>0</v>
      </c>
      <c r="E1034" s="309">
        <v>0</v>
      </c>
      <c r="F1034" s="141">
        <v>0</v>
      </c>
      <c r="G1034" s="141">
        <v>0</v>
      </c>
      <c r="H1034" s="147">
        <v>0</v>
      </c>
      <c r="I1034" s="495">
        <f t="shared" si="54"/>
        <v>0</v>
      </c>
    </row>
    <row r="1035" spans="1:9" ht="12" thickTop="1" thickBot="1" x14ac:dyDescent="0.2">
      <c r="A1035" s="135"/>
      <c r="B1035" s="453"/>
      <c r="C1035" s="454" t="s">
        <v>1291</v>
      </c>
      <c r="D1035" s="166">
        <f>SUM(D1001:D1034)</f>
        <v>0</v>
      </c>
      <c r="E1035" s="297">
        <f>SUM(E1001:E1034)</f>
        <v>0</v>
      </c>
      <c r="F1035" s="166">
        <f>SUM(F1001:F1034)</f>
        <v>0</v>
      </c>
      <c r="G1035" s="166">
        <f>SUM(G1001:G1034)</f>
        <v>0</v>
      </c>
      <c r="H1035" s="166">
        <f>SUM(H1001:H1034)</f>
        <v>0</v>
      </c>
      <c r="I1035" s="166">
        <f t="shared" si="54"/>
        <v>0</v>
      </c>
    </row>
    <row r="1036" spans="1:9" ht="11.25" thickTop="1" x14ac:dyDescent="0.15">
      <c r="A1036" s="135"/>
      <c r="B1036" s="454"/>
      <c r="C1036" s="454"/>
      <c r="D1036" s="14"/>
      <c r="E1036" s="301"/>
      <c r="F1036" s="14"/>
      <c r="G1036" s="14"/>
      <c r="H1036" s="14"/>
      <c r="I1036" s="491"/>
    </row>
    <row r="1037" spans="1:9" x14ac:dyDescent="0.15">
      <c r="A1037" s="452" t="s">
        <v>546</v>
      </c>
      <c r="B1037" s="454"/>
      <c r="C1037" s="454"/>
      <c r="D1037" s="14"/>
      <c r="E1037" s="301"/>
      <c r="F1037" s="14"/>
      <c r="G1037" s="14"/>
      <c r="H1037" s="14"/>
      <c r="I1037" s="491"/>
    </row>
    <row r="1038" spans="1:9" hidden="1" x14ac:dyDescent="0.15">
      <c r="A1038" s="416"/>
      <c r="B1038" s="453" t="s">
        <v>880</v>
      </c>
      <c r="C1038" s="454" t="s">
        <v>1164</v>
      </c>
      <c r="D1038" s="308">
        <v>0</v>
      </c>
      <c r="E1038" s="308">
        <v>0</v>
      </c>
      <c r="F1038" s="308">
        <v>0</v>
      </c>
      <c r="G1038" s="458"/>
      <c r="H1038" s="457">
        <v>0</v>
      </c>
      <c r="I1038" s="494">
        <f>SUM(G1038+H1038)</f>
        <v>0</v>
      </c>
    </row>
    <row r="1039" spans="1:9" x14ac:dyDescent="0.15">
      <c r="A1039" s="416"/>
      <c r="B1039" s="453" t="s">
        <v>880</v>
      </c>
      <c r="C1039" s="454" t="s">
        <v>337</v>
      </c>
      <c r="D1039" s="308">
        <v>0</v>
      </c>
      <c r="E1039" s="308">
        <v>0</v>
      </c>
      <c r="F1039" s="308">
        <v>0</v>
      </c>
      <c r="G1039" s="308">
        <v>0</v>
      </c>
      <c r="H1039" s="457">
        <v>0</v>
      </c>
      <c r="I1039" s="494">
        <f>SUM(G1039+H1039)</f>
        <v>0</v>
      </c>
    </row>
    <row r="1040" spans="1:9" hidden="1" x14ac:dyDescent="0.15">
      <c r="A1040" s="454"/>
      <c r="B1040" s="453" t="s">
        <v>881</v>
      </c>
      <c r="C1040" s="454" t="s">
        <v>382</v>
      </c>
      <c r="D1040" s="308">
        <v>0</v>
      </c>
      <c r="E1040" s="308">
        <v>0</v>
      </c>
      <c r="F1040" s="308">
        <v>0</v>
      </c>
      <c r="G1040" s="459"/>
      <c r="H1040" s="457">
        <v>0</v>
      </c>
      <c r="I1040" s="494">
        <f>SUM(G1040+H1040)</f>
        <v>0</v>
      </c>
    </row>
    <row r="1041" spans="1:9" x14ac:dyDescent="0.15">
      <c r="A1041" s="135"/>
      <c r="B1041" s="451" t="s">
        <v>881</v>
      </c>
      <c r="C1041" s="135" t="s">
        <v>338</v>
      </c>
      <c r="D1041" s="144">
        <v>0</v>
      </c>
      <c r="E1041" s="308">
        <v>0</v>
      </c>
      <c r="F1041" s="144">
        <v>0</v>
      </c>
      <c r="G1041" s="144">
        <v>0</v>
      </c>
      <c r="H1041" s="147">
        <v>0</v>
      </c>
      <c r="I1041" s="495">
        <f>SUM(G1041+H1041)</f>
        <v>0</v>
      </c>
    </row>
    <row r="1042" spans="1:9" x14ac:dyDescent="0.15">
      <c r="A1042" s="135"/>
      <c r="B1042" s="453" t="s">
        <v>882</v>
      </c>
      <c r="C1042" s="454" t="s">
        <v>1058</v>
      </c>
      <c r="D1042" s="141">
        <v>0</v>
      </c>
      <c r="E1042" s="309">
        <v>0</v>
      </c>
      <c r="F1042" s="141">
        <v>0</v>
      </c>
      <c r="G1042" s="141">
        <v>0</v>
      </c>
      <c r="H1042" s="147">
        <v>0</v>
      </c>
      <c r="I1042" s="495">
        <f t="shared" ref="I1042:I1072" si="56">SUM(G1042+H1042)</f>
        <v>0</v>
      </c>
    </row>
    <row r="1043" spans="1:9" x14ac:dyDescent="0.15">
      <c r="A1043" s="135"/>
      <c r="B1043" s="453" t="s">
        <v>883</v>
      </c>
      <c r="C1043" s="454" t="s">
        <v>1059</v>
      </c>
      <c r="D1043" s="141">
        <v>0</v>
      </c>
      <c r="E1043" s="309">
        <v>0</v>
      </c>
      <c r="F1043" s="141">
        <v>0</v>
      </c>
      <c r="G1043" s="141">
        <v>0</v>
      </c>
      <c r="H1043" s="147">
        <v>0</v>
      </c>
      <c r="I1043" s="495">
        <f t="shared" si="56"/>
        <v>0</v>
      </c>
    </row>
    <row r="1044" spans="1:9" x14ac:dyDescent="0.15">
      <c r="A1044" s="135"/>
      <c r="B1044" s="453" t="s">
        <v>1060</v>
      </c>
      <c r="C1044" s="454" t="s">
        <v>1061</v>
      </c>
      <c r="D1044" s="141">
        <v>0</v>
      </c>
      <c r="E1044" s="309">
        <v>0</v>
      </c>
      <c r="F1044" s="141">
        <v>0</v>
      </c>
      <c r="G1044" s="141">
        <v>0</v>
      </c>
      <c r="H1044" s="147">
        <v>0</v>
      </c>
      <c r="I1044" s="495">
        <f t="shared" si="56"/>
        <v>0</v>
      </c>
    </row>
    <row r="1045" spans="1:9" x14ac:dyDescent="0.15">
      <c r="A1045" s="135"/>
      <c r="B1045" s="453" t="s">
        <v>1062</v>
      </c>
      <c r="C1045" s="454" t="s">
        <v>1063</v>
      </c>
      <c r="D1045" s="141">
        <v>0</v>
      </c>
      <c r="E1045" s="309">
        <v>0</v>
      </c>
      <c r="F1045" s="141">
        <v>0</v>
      </c>
      <c r="G1045" s="141">
        <v>0</v>
      </c>
      <c r="H1045" s="147">
        <v>0</v>
      </c>
      <c r="I1045" s="495">
        <f t="shared" si="56"/>
        <v>0</v>
      </c>
    </row>
    <row r="1046" spans="1:9" x14ac:dyDescent="0.15">
      <c r="A1046" s="135"/>
      <c r="B1046" s="453" t="s">
        <v>884</v>
      </c>
      <c r="C1046" s="454" t="s">
        <v>1064</v>
      </c>
      <c r="D1046" s="141">
        <v>0</v>
      </c>
      <c r="E1046" s="309">
        <v>0</v>
      </c>
      <c r="F1046" s="141">
        <v>0</v>
      </c>
      <c r="G1046" s="141">
        <v>0</v>
      </c>
      <c r="H1046" s="147">
        <v>0</v>
      </c>
      <c r="I1046" s="495">
        <f t="shared" si="56"/>
        <v>0</v>
      </c>
    </row>
    <row r="1047" spans="1:9" x14ac:dyDescent="0.15">
      <c r="A1047" s="135"/>
      <c r="B1047" s="453" t="s">
        <v>1067</v>
      </c>
      <c r="C1047" s="454" t="s">
        <v>1074</v>
      </c>
      <c r="D1047" s="141">
        <v>0</v>
      </c>
      <c r="E1047" s="309">
        <v>0</v>
      </c>
      <c r="F1047" s="141">
        <v>0</v>
      </c>
      <c r="G1047" s="141">
        <v>0</v>
      </c>
      <c r="H1047" s="147">
        <v>0</v>
      </c>
      <c r="I1047" s="495">
        <f t="shared" si="56"/>
        <v>0</v>
      </c>
    </row>
    <row r="1048" spans="1:9" x14ac:dyDescent="0.15">
      <c r="A1048" s="135"/>
      <c r="B1048" s="453" t="s">
        <v>1068</v>
      </c>
      <c r="C1048" s="454" t="s">
        <v>1075</v>
      </c>
      <c r="D1048" s="141">
        <v>0</v>
      </c>
      <c r="E1048" s="309">
        <v>0</v>
      </c>
      <c r="F1048" s="141">
        <v>0</v>
      </c>
      <c r="G1048" s="141">
        <v>0</v>
      </c>
      <c r="H1048" s="147">
        <v>0</v>
      </c>
      <c r="I1048" s="495">
        <f t="shared" si="56"/>
        <v>0</v>
      </c>
    </row>
    <row r="1049" spans="1:9" x14ac:dyDescent="0.15">
      <c r="A1049" s="135"/>
      <c r="B1049" s="453" t="s">
        <v>1072</v>
      </c>
      <c r="C1049" s="454" t="s">
        <v>920</v>
      </c>
      <c r="D1049" s="141">
        <v>0</v>
      </c>
      <c r="E1049" s="309">
        <v>0</v>
      </c>
      <c r="F1049" s="141">
        <v>0</v>
      </c>
      <c r="G1049" s="141">
        <v>0</v>
      </c>
      <c r="H1049" s="147">
        <v>0</v>
      </c>
      <c r="I1049" s="495">
        <f t="shared" si="56"/>
        <v>0</v>
      </c>
    </row>
    <row r="1050" spans="1:9" x14ac:dyDescent="0.15">
      <c r="A1050" s="135"/>
      <c r="B1050" s="717" t="s">
        <v>155</v>
      </c>
      <c r="C1050" s="706" t="s">
        <v>178</v>
      </c>
      <c r="D1050" s="141">
        <v>0</v>
      </c>
      <c r="E1050" s="309">
        <v>0</v>
      </c>
      <c r="F1050" s="141">
        <v>0</v>
      </c>
      <c r="G1050" s="141">
        <v>0</v>
      </c>
      <c r="H1050" s="147">
        <v>0</v>
      </c>
      <c r="I1050" s="495">
        <f t="shared" ref="I1050" si="57">SUM(G1050+H1050)</f>
        <v>0</v>
      </c>
    </row>
    <row r="1051" spans="1:9" x14ac:dyDescent="0.15">
      <c r="A1051" s="135"/>
      <c r="B1051" s="453" t="s">
        <v>921</v>
      </c>
      <c r="C1051" s="454" t="s">
        <v>955</v>
      </c>
      <c r="D1051" s="141">
        <v>0</v>
      </c>
      <c r="E1051" s="309">
        <v>0</v>
      </c>
      <c r="F1051" s="141">
        <v>0</v>
      </c>
      <c r="G1051" s="141">
        <v>0</v>
      </c>
      <c r="H1051" s="147">
        <v>0</v>
      </c>
      <c r="I1051" s="495">
        <f t="shared" si="56"/>
        <v>0</v>
      </c>
    </row>
    <row r="1052" spans="1:9" x14ac:dyDescent="0.15">
      <c r="A1052" s="135"/>
      <c r="B1052" s="453" t="s">
        <v>922</v>
      </c>
      <c r="C1052" s="454" t="s">
        <v>956</v>
      </c>
      <c r="D1052" s="141">
        <v>0</v>
      </c>
      <c r="E1052" s="309">
        <v>0</v>
      </c>
      <c r="F1052" s="141">
        <v>0</v>
      </c>
      <c r="G1052" s="141">
        <v>0</v>
      </c>
      <c r="H1052" s="147">
        <v>0</v>
      </c>
      <c r="I1052" s="495">
        <f t="shared" si="56"/>
        <v>0</v>
      </c>
    </row>
    <row r="1053" spans="1:9" x14ac:dyDescent="0.15">
      <c r="A1053" s="135"/>
      <c r="B1053" s="453" t="s">
        <v>923</v>
      </c>
      <c r="C1053" s="454" t="s">
        <v>957</v>
      </c>
      <c r="D1053" s="141">
        <v>0</v>
      </c>
      <c r="E1053" s="309">
        <v>0</v>
      </c>
      <c r="F1053" s="141">
        <v>0</v>
      </c>
      <c r="G1053" s="141">
        <v>0</v>
      </c>
      <c r="H1053" s="147">
        <v>0</v>
      </c>
      <c r="I1053" s="495">
        <f t="shared" si="56"/>
        <v>0</v>
      </c>
    </row>
    <row r="1054" spans="1:9" x14ac:dyDescent="0.15">
      <c r="A1054" s="135"/>
      <c r="B1054" s="453" t="s">
        <v>924</v>
      </c>
      <c r="C1054" s="454" t="s">
        <v>958</v>
      </c>
      <c r="D1054" s="141">
        <v>0</v>
      </c>
      <c r="E1054" s="309">
        <v>0</v>
      </c>
      <c r="F1054" s="141">
        <v>0</v>
      </c>
      <c r="G1054" s="141">
        <v>0</v>
      </c>
      <c r="H1054" s="147">
        <v>0</v>
      </c>
      <c r="I1054" s="495">
        <f t="shared" si="56"/>
        <v>0</v>
      </c>
    </row>
    <row r="1055" spans="1:9" x14ac:dyDescent="0.15">
      <c r="A1055" s="135"/>
      <c r="B1055" s="453" t="s">
        <v>925</v>
      </c>
      <c r="C1055" s="454" t="s">
        <v>1128</v>
      </c>
      <c r="D1055" s="141">
        <v>0</v>
      </c>
      <c r="E1055" s="309">
        <v>0</v>
      </c>
      <c r="F1055" s="141">
        <v>0</v>
      </c>
      <c r="G1055" s="141">
        <v>0</v>
      </c>
      <c r="H1055" s="147">
        <v>0</v>
      </c>
      <c r="I1055" s="495">
        <f t="shared" si="56"/>
        <v>0</v>
      </c>
    </row>
    <row r="1056" spans="1:9" x14ac:dyDescent="0.15">
      <c r="A1056" s="135"/>
      <c r="B1056" s="453" t="s">
        <v>926</v>
      </c>
      <c r="C1056" s="454" t="s">
        <v>1129</v>
      </c>
      <c r="D1056" s="141">
        <v>0</v>
      </c>
      <c r="E1056" s="309">
        <v>0</v>
      </c>
      <c r="F1056" s="141">
        <v>0</v>
      </c>
      <c r="G1056" s="141">
        <v>0</v>
      </c>
      <c r="H1056" s="147">
        <v>0</v>
      </c>
      <c r="I1056" s="495">
        <f t="shared" si="56"/>
        <v>0</v>
      </c>
    </row>
    <row r="1057" spans="1:9" x14ac:dyDescent="0.15">
      <c r="A1057" s="135"/>
      <c r="B1057" s="453" t="s">
        <v>927</v>
      </c>
      <c r="C1057" s="454" t="s">
        <v>959</v>
      </c>
      <c r="D1057" s="141">
        <v>0</v>
      </c>
      <c r="E1057" s="309">
        <v>0</v>
      </c>
      <c r="F1057" s="141">
        <v>0</v>
      </c>
      <c r="G1057" s="141">
        <v>0</v>
      </c>
      <c r="H1057" s="147">
        <v>0</v>
      </c>
      <c r="I1057" s="495">
        <f t="shared" si="56"/>
        <v>0</v>
      </c>
    </row>
    <row r="1058" spans="1:9" x14ac:dyDescent="0.15">
      <c r="A1058" s="135"/>
      <c r="B1058" s="453" t="s">
        <v>928</v>
      </c>
      <c r="C1058" s="454" t="s">
        <v>961</v>
      </c>
      <c r="D1058" s="141">
        <v>0</v>
      </c>
      <c r="E1058" s="309">
        <v>0</v>
      </c>
      <c r="F1058" s="141">
        <v>0</v>
      </c>
      <c r="G1058" s="141">
        <v>0</v>
      </c>
      <c r="H1058" s="147">
        <v>0</v>
      </c>
      <c r="I1058" s="495">
        <f t="shared" si="56"/>
        <v>0</v>
      </c>
    </row>
    <row r="1059" spans="1:9" x14ac:dyDescent="0.15">
      <c r="A1059" s="135"/>
      <c r="B1059" s="453" t="s">
        <v>962</v>
      </c>
      <c r="C1059" s="454" t="s">
        <v>967</v>
      </c>
      <c r="D1059" s="141">
        <v>0</v>
      </c>
      <c r="E1059" s="309">
        <v>0</v>
      </c>
      <c r="F1059" s="141">
        <v>0</v>
      </c>
      <c r="G1059" s="141">
        <v>0</v>
      </c>
      <c r="H1059" s="147">
        <v>0</v>
      </c>
      <c r="I1059" s="495">
        <f t="shared" si="56"/>
        <v>0</v>
      </c>
    </row>
    <row r="1060" spans="1:9" x14ac:dyDescent="0.15">
      <c r="A1060" s="135"/>
      <c r="B1060" s="453" t="s">
        <v>963</v>
      </c>
      <c r="C1060" s="454" t="s">
        <v>1093</v>
      </c>
      <c r="D1060" s="141">
        <v>0</v>
      </c>
      <c r="E1060" s="309">
        <v>0</v>
      </c>
      <c r="F1060" s="141">
        <v>0</v>
      </c>
      <c r="G1060" s="141">
        <v>0</v>
      </c>
      <c r="H1060" s="147">
        <v>0</v>
      </c>
      <c r="I1060" s="495">
        <f t="shared" si="56"/>
        <v>0</v>
      </c>
    </row>
    <row r="1061" spans="1:9" x14ac:dyDescent="0.15">
      <c r="A1061" s="135"/>
      <c r="B1061" s="453" t="s">
        <v>964</v>
      </c>
      <c r="C1061" s="454" t="s">
        <v>1094</v>
      </c>
      <c r="D1061" s="141">
        <v>0</v>
      </c>
      <c r="E1061" s="309">
        <v>0</v>
      </c>
      <c r="F1061" s="141">
        <v>0</v>
      </c>
      <c r="G1061" s="141">
        <v>0</v>
      </c>
      <c r="H1061" s="147">
        <v>0</v>
      </c>
      <c r="I1061" s="495">
        <f t="shared" si="56"/>
        <v>0</v>
      </c>
    </row>
    <row r="1062" spans="1:9" x14ac:dyDescent="0.15">
      <c r="A1062" s="135"/>
      <c r="B1062" s="453" t="s">
        <v>965</v>
      </c>
      <c r="C1062" s="454" t="s">
        <v>1095</v>
      </c>
      <c r="D1062" s="141">
        <v>0</v>
      </c>
      <c r="E1062" s="309">
        <v>0</v>
      </c>
      <c r="F1062" s="141">
        <v>0</v>
      </c>
      <c r="G1062" s="141">
        <v>0</v>
      </c>
      <c r="H1062" s="147">
        <v>0</v>
      </c>
      <c r="I1062" s="495">
        <f t="shared" si="56"/>
        <v>0</v>
      </c>
    </row>
    <row r="1063" spans="1:9" x14ac:dyDescent="0.15">
      <c r="A1063" s="135"/>
      <c r="B1063" s="453" t="s">
        <v>885</v>
      </c>
      <c r="C1063" s="454" t="s">
        <v>1096</v>
      </c>
      <c r="D1063" s="141">
        <v>0</v>
      </c>
      <c r="E1063" s="309">
        <v>0</v>
      </c>
      <c r="F1063" s="141">
        <v>0</v>
      </c>
      <c r="G1063" s="141">
        <v>0</v>
      </c>
      <c r="H1063" s="147">
        <v>0</v>
      </c>
      <c r="I1063" s="495">
        <f t="shared" si="56"/>
        <v>0</v>
      </c>
    </row>
    <row r="1064" spans="1:9" x14ac:dyDescent="0.15">
      <c r="A1064" s="135"/>
      <c r="B1064" s="453" t="s">
        <v>966</v>
      </c>
      <c r="C1064" s="454" t="s">
        <v>1097</v>
      </c>
      <c r="D1064" s="141">
        <v>0</v>
      </c>
      <c r="E1064" s="309">
        <v>0</v>
      </c>
      <c r="F1064" s="141">
        <v>0</v>
      </c>
      <c r="G1064" s="141">
        <v>0</v>
      </c>
      <c r="H1064" s="147">
        <v>0</v>
      </c>
      <c r="I1064" s="495">
        <f t="shared" si="56"/>
        <v>0</v>
      </c>
    </row>
    <row r="1065" spans="1:9" x14ac:dyDescent="0.15">
      <c r="A1065" s="135"/>
      <c r="B1065" s="453" t="s">
        <v>886</v>
      </c>
      <c r="C1065" s="454" t="s">
        <v>1100</v>
      </c>
      <c r="D1065" s="141">
        <v>0</v>
      </c>
      <c r="E1065" s="309">
        <v>0</v>
      </c>
      <c r="F1065" s="141">
        <v>0</v>
      </c>
      <c r="G1065" s="141">
        <v>0</v>
      </c>
      <c r="H1065" s="147">
        <v>0</v>
      </c>
      <c r="I1065" s="495">
        <f t="shared" si="56"/>
        <v>0</v>
      </c>
    </row>
    <row r="1066" spans="1:9" x14ac:dyDescent="0.15">
      <c r="A1066" s="135"/>
      <c r="B1066" s="453" t="s">
        <v>116</v>
      </c>
      <c r="C1066" s="454" t="s">
        <v>1105</v>
      </c>
      <c r="D1066" s="141">
        <v>0</v>
      </c>
      <c r="E1066" s="309">
        <v>0</v>
      </c>
      <c r="F1066" s="141">
        <v>0</v>
      </c>
      <c r="G1066" s="141">
        <v>0</v>
      </c>
      <c r="H1066" s="147">
        <v>0</v>
      </c>
      <c r="I1066" s="495">
        <f t="shared" si="56"/>
        <v>0</v>
      </c>
    </row>
    <row r="1067" spans="1:9" x14ac:dyDescent="0.15">
      <c r="A1067" s="135"/>
      <c r="B1067" s="453" t="s">
        <v>112</v>
      </c>
      <c r="C1067" s="454" t="s">
        <v>1110</v>
      </c>
      <c r="D1067" s="141">
        <v>0</v>
      </c>
      <c r="E1067" s="309">
        <v>0</v>
      </c>
      <c r="F1067" s="141">
        <v>0</v>
      </c>
      <c r="G1067" s="141">
        <v>0</v>
      </c>
      <c r="H1067" s="147">
        <v>0</v>
      </c>
      <c r="I1067" s="495">
        <f t="shared" si="56"/>
        <v>0</v>
      </c>
    </row>
    <row r="1068" spans="1:9" x14ac:dyDescent="0.15">
      <c r="A1068" s="135"/>
      <c r="B1068" s="453" t="s">
        <v>887</v>
      </c>
      <c r="C1068" s="454" t="s">
        <v>1116</v>
      </c>
      <c r="D1068" s="141">
        <v>0</v>
      </c>
      <c r="E1068" s="309">
        <v>0</v>
      </c>
      <c r="F1068" s="141">
        <v>0</v>
      </c>
      <c r="G1068" s="141">
        <v>0</v>
      </c>
      <c r="H1068" s="147">
        <v>0</v>
      </c>
      <c r="I1068" s="495">
        <f t="shared" si="56"/>
        <v>0</v>
      </c>
    </row>
    <row r="1069" spans="1:9" x14ac:dyDescent="0.15">
      <c r="A1069" s="135"/>
      <c r="B1069" s="453" t="s">
        <v>1112</v>
      </c>
      <c r="C1069" s="454" t="s">
        <v>1117</v>
      </c>
      <c r="D1069" s="141">
        <v>0</v>
      </c>
      <c r="E1069" s="309">
        <v>0</v>
      </c>
      <c r="F1069" s="141">
        <v>0</v>
      </c>
      <c r="G1069" s="141">
        <v>0</v>
      </c>
      <c r="H1069" s="147">
        <v>0</v>
      </c>
      <c r="I1069" s="495">
        <f t="shared" si="56"/>
        <v>0</v>
      </c>
    </row>
    <row r="1070" spans="1:9" x14ac:dyDescent="0.15">
      <c r="A1070" s="135"/>
      <c r="B1070" s="453" t="s">
        <v>1113</v>
      </c>
      <c r="C1070" s="454" t="s">
        <v>1118</v>
      </c>
      <c r="D1070" s="141">
        <v>0</v>
      </c>
      <c r="E1070" s="309">
        <v>0</v>
      </c>
      <c r="F1070" s="141">
        <v>0</v>
      </c>
      <c r="G1070" s="141">
        <v>0</v>
      </c>
      <c r="H1070" s="147">
        <v>0</v>
      </c>
      <c r="I1070" s="495">
        <f t="shared" si="56"/>
        <v>0</v>
      </c>
    </row>
    <row r="1071" spans="1:9" ht="11.25" thickBot="1" x14ac:dyDescent="0.2">
      <c r="A1071" s="135"/>
      <c r="B1071" s="453" t="s">
        <v>1114</v>
      </c>
      <c r="C1071" s="454" t="s">
        <v>1119</v>
      </c>
      <c r="D1071" s="141">
        <v>0</v>
      </c>
      <c r="E1071" s="309">
        <v>0</v>
      </c>
      <c r="F1071" s="141">
        <v>0</v>
      </c>
      <c r="G1071" s="141">
        <v>0</v>
      </c>
      <c r="H1071" s="147">
        <v>0</v>
      </c>
      <c r="I1071" s="495">
        <f t="shared" si="56"/>
        <v>0</v>
      </c>
    </row>
    <row r="1072" spans="1:9" ht="12" thickTop="1" thickBot="1" x14ac:dyDescent="0.2">
      <c r="A1072" s="135"/>
      <c r="B1072" s="453"/>
      <c r="C1072" s="454" t="s">
        <v>1291</v>
      </c>
      <c r="D1072" s="166">
        <f>SUM(D1038:D1071)</f>
        <v>0</v>
      </c>
      <c r="E1072" s="297">
        <f>SUM(E1038:E1071)</f>
        <v>0</v>
      </c>
      <c r="F1072" s="166">
        <f>SUM(F1038:F1071)</f>
        <v>0</v>
      </c>
      <c r="G1072" s="166">
        <f>SUM(G1038:G1071)</f>
        <v>0</v>
      </c>
      <c r="H1072" s="166">
        <f>SUM(H1038:H1071)</f>
        <v>0</v>
      </c>
      <c r="I1072" s="166">
        <f t="shared" si="56"/>
        <v>0</v>
      </c>
    </row>
    <row r="1073" spans="1:9" ht="12" thickTop="1" thickBot="1" x14ac:dyDescent="0.2">
      <c r="A1073" s="135"/>
      <c r="B1073" s="454"/>
      <c r="C1073" s="454"/>
      <c r="D1073" s="14"/>
      <c r="E1073" s="301"/>
      <c r="F1073" s="14"/>
      <c r="G1073" s="14"/>
      <c r="H1073" s="14"/>
      <c r="I1073" s="491"/>
    </row>
    <row r="1074" spans="1:9" ht="12" thickTop="1" thickBot="1" x14ac:dyDescent="0.2">
      <c r="B1074" s="454" t="s">
        <v>805</v>
      </c>
      <c r="C1074" s="416"/>
      <c r="D1074" s="166">
        <f>D44+D80+D116+D152+D188+D223+D259+D295+D331+D367+D405+D442+D479+D516+D553+D590+D627+D665+D702+D739+D776+D813+D850+D887+D924+D961+D998+D1035+D1072</f>
        <v>0</v>
      </c>
      <c r="E1074" s="297">
        <f>E44+E80+E116+E152+E188+E223+E259+E295+E331+E367+E405+E442+E479+E516+E553+E590+E627+E665+E702+E739+E776+E813+E850+E887+E924+E961+E998+E1035+E1072</f>
        <v>0</v>
      </c>
      <c r="F1074" s="166">
        <f>F44+F80+F116+F152+F188+F223+F259+F295+F331+F367+F405+F442+F479+F516+F553+F590+F627+F665+F702+F739+F776+F813+F850+F887+F924+F961+F998+F1035+F1072</f>
        <v>0</v>
      </c>
      <c r="G1074" s="166">
        <f>G44+G80+G116+G152+G188+G223+G259+G295+G331+G367+G405+G442+G479+G516+G553+G590+G627+G665+G702+G739+G776+G813+G850+G887+G924+G961+G998+G1035+G1072</f>
        <v>0</v>
      </c>
      <c r="H1074" s="166">
        <f>H44+H80+H116+H152+H188+H223+H259+H295+H331+H367+H405+H442+H479+H516+H553+H590+H627+H665+H702+H739+H776+H813+H850+H887+H924+H961+H998+H1035+H1072</f>
        <v>0</v>
      </c>
      <c r="I1074" s="166">
        <f>SUM(G1074+H1074)</f>
        <v>0</v>
      </c>
    </row>
    <row r="1075" spans="1:9" ht="11.25" thickTop="1" x14ac:dyDescent="0.15">
      <c r="B1075" s="416"/>
      <c r="C1075" s="454"/>
      <c r="I1075" s="164"/>
    </row>
    <row r="1076" spans="1:9" x14ac:dyDescent="0.15">
      <c r="A1076" s="164"/>
      <c r="B1076" s="375"/>
      <c r="C1076" s="375"/>
      <c r="D1076" s="430"/>
      <c r="E1076" s="439"/>
      <c r="F1076" s="430"/>
      <c r="G1076" s="430"/>
      <c r="I1076" s="164"/>
    </row>
    <row r="1077" spans="1:9" x14ac:dyDescent="0.15">
      <c r="A1077" s="721" t="s">
        <v>1550</v>
      </c>
      <c r="B1077" s="375"/>
      <c r="C1077" s="375"/>
      <c r="D1077" s="430"/>
      <c r="E1077" s="439"/>
      <c r="F1077" s="430"/>
      <c r="G1077" s="430"/>
    </row>
    <row r="1078" spans="1:9" x14ac:dyDescent="0.15">
      <c r="A1078" s="164"/>
      <c r="B1078" s="375"/>
      <c r="C1078" s="375"/>
      <c r="D1078" s="430"/>
      <c r="E1078" s="439"/>
      <c r="F1078" s="430"/>
      <c r="G1078" s="430"/>
      <c r="H1078" s="416"/>
    </row>
    <row r="1079" spans="1:9" ht="18.75" x14ac:dyDescent="0.3">
      <c r="A1079" s="149" t="s">
        <v>880</v>
      </c>
      <c r="B1079" s="533">
        <f>SUM(I11+I12+I47+I48+I83+I84+I119+I120+I155+I156+I191+I192+I226+I227+I262+I263+I298+I299+I334+I335+I371+I372+I408+I409+I445+I446+I482+I483+I519+I520+I556+I557+I593+I594+I630+I631+I668+I669+I705+I706+I742+I743+I779+I780+I816+I817+I853+I854+I890+I891+I927+I928+I964+I965+I1001+I1002+I1038+I1039)</f>
        <v>0</v>
      </c>
      <c r="C1079" s="375"/>
      <c r="D1079" s="430"/>
      <c r="E1079" s="439"/>
      <c r="F1079" s="430"/>
      <c r="G1079" s="430"/>
    </row>
    <row r="1080" spans="1:9" ht="18.75" x14ac:dyDescent="0.3">
      <c r="A1080" s="149" t="s">
        <v>881</v>
      </c>
      <c r="B1080" s="533">
        <f>SUM(I14+I13+I50+I49+I86+I85+I122+I121+I158+I157+I194+I193+I229+I228+I265+I264+I301+I300+I337+I336+I374+I373+I411+I410+I448+I447+I485+I484+I522+I521+I559+I558+I596+I595+I633+I632+I671+I670+I708+I707+I745+I744+I782+I781+I819+I818+I856+I855+I893+I892+I930+I929+I967+I966+I1004+I1003+I1041+I1040)</f>
        <v>0</v>
      </c>
      <c r="C1080" s="534"/>
      <c r="D1080" s="455"/>
      <c r="E1080" s="648"/>
      <c r="F1080" s="455"/>
      <c r="G1080" s="430"/>
    </row>
    <row r="1081" spans="1:9" ht="18.75" x14ac:dyDescent="0.3">
      <c r="A1081" s="149" t="s">
        <v>882</v>
      </c>
      <c r="B1081" s="533">
        <f>SUM(GenFundExp!I15+GenFundExp!I51+GenFundExp!I87+GenFundExp!I123+GenFundExp!I159+GenFundExp!I195+GenFundExp!I230+GenFundExp!I266+GenFundExp!I302+GenFundExp!I338+GenFundExp!I375+GenFundExp!I412+GenFundExp!I449+GenFundExp!I486+GenFundExp!I523+GenFundExp!I560+GenFundExp!I597+GenFundExp!I634+GenFundExp!I672+GenFundExp!I709+GenFundExp!I746+GenFundExp!I783+GenFundExp!I820+GenFundExp!I857+GenFundExp!I894+GenFundExp!I931+GenFundExp!I968+GenFundExp!I1005+GenFundExp!I1042)</f>
        <v>0</v>
      </c>
      <c r="C1081" s="375"/>
    </row>
    <row r="1082" spans="1:9" ht="18.75" x14ac:dyDescent="0.3">
      <c r="A1082" s="149" t="s">
        <v>883</v>
      </c>
      <c r="B1082" s="533">
        <f>SUM(GenFundExp!I16+GenFundExp!I52+GenFundExp!I88+GenFundExp!I124+GenFundExp!I160+GenFundExp!I196+GenFundExp!I231+GenFundExp!I267+GenFundExp!I303+GenFundExp!I339+GenFundExp!I376+GenFundExp!I413+GenFundExp!I450+GenFundExp!I487+GenFundExp!I524+GenFundExp!I561+GenFundExp!I598+GenFundExp!I635+GenFundExp!I673+GenFundExp!I710+GenFundExp!I747+GenFundExp!I784+GenFundExp!I821+GenFundExp!I858+GenFundExp!I895+GenFundExp!I932+GenFundExp!I969+GenFundExp!I1006+GenFundExp!I1043)</f>
        <v>0</v>
      </c>
      <c r="C1082" s="375"/>
    </row>
    <row r="1083" spans="1:9" ht="18.75" x14ac:dyDescent="0.3">
      <c r="A1083" s="149" t="s">
        <v>1060</v>
      </c>
      <c r="B1083" s="533">
        <f>SUM(GenFundExp!I17+GenFundExp!I53+GenFundExp!I89+GenFundExp!I125+GenFundExp!I161+GenFundExp!I197+GenFundExp!I232+GenFundExp!I268+GenFundExp!I304+GenFundExp!I340+GenFundExp!I377+GenFundExp!I414+GenFundExp!I451+GenFundExp!I488+GenFundExp!I525+GenFundExp!I562+GenFundExp!I599+GenFundExp!I636+GenFundExp!I674+GenFundExp!I711+GenFundExp!I748+GenFundExp!I785+GenFundExp!I822+GenFundExp!I859+GenFundExp!I896+GenFundExp!I933+GenFundExp!I970+GenFundExp!I1007+GenFundExp!I1044)</f>
        <v>0</v>
      </c>
      <c r="C1083" s="375"/>
    </row>
    <row r="1084" spans="1:9" ht="18.75" x14ac:dyDescent="0.3">
      <c r="A1084" s="149" t="s">
        <v>1062</v>
      </c>
      <c r="B1084" s="533">
        <f>SUM(GenFundExp!I18+GenFundExp!I54+GenFundExp!I90+GenFundExp!I126+GenFundExp!I162+GenFundExp!I198+GenFundExp!I233+GenFundExp!I269+GenFundExp!I305+GenFundExp!I341+GenFundExp!I378+GenFundExp!I415+GenFundExp!I452+GenFundExp!I489+GenFundExp!I526+GenFundExp!I563+GenFundExp!I600+GenFundExp!I637+GenFundExp!I675+GenFundExp!I712+GenFundExp!I749+GenFundExp!I786+GenFundExp!I823+GenFundExp!I860+GenFundExp!I897+GenFundExp!I934+GenFundExp!I971+GenFundExp!I1008+GenFundExp!I1045)</f>
        <v>0</v>
      </c>
      <c r="C1084" s="375"/>
    </row>
    <row r="1085" spans="1:9" ht="18.75" x14ac:dyDescent="0.3">
      <c r="A1085" s="149" t="s">
        <v>884</v>
      </c>
      <c r="B1085" s="533">
        <f>SUM(GenFundExp!I19+GenFundExp!I55+GenFundExp!I91+GenFundExp!I127+GenFundExp!I163+GenFundExp!I199+GenFundExp!I234+GenFundExp!I270+GenFundExp!I306+GenFundExp!I342+GenFundExp!I379+GenFundExp!I416+GenFundExp!I453+GenFundExp!I490+GenFundExp!I527+GenFundExp!I564+GenFundExp!I601+GenFundExp!I638+GenFundExp!I676+GenFundExp!I713+GenFundExp!I750+GenFundExp!I787+GenFundExp!I824+GenFundExp!I861+GenFundExp!I898+GenFundExp!I935+GenFundExp!I972+GenFundExp!I1009+GenFundExp!I1046)</f>
        <v>0</v>
      </c>
      <c r="C1085" s="375"/>
    </row>
    <row r="1086" spans="1:9" ht="18.75" x14ac:dyDescent="0.3">
      <c r="A1086" s="149" t="s">
        <v>1067</v>
      </c>
      <c r="B1086" s="533">
        <f>SUM(GenFundExp!I20+GenFundExp!I56+GenFundExp!I92+GenFundExp!I128+GenFundExp!I164+GenFundExp!I200+GenFundExp!I235+GenFundExp!I271+GenFundExp!I307+GenFundExp!I343+GenFundExp!I380+GenFundExp!I417+GenFundExp!I454+GenFundExp!I491+GenFundExp!I528+GenFundExp!I565+GenFundExp!I602+GenFundExp!I639+GenFundExp!I677+GenFundExp!I714+GenFundExp!I751+GenFundExp!I788+GenFundExp!I825+GenFundExp!I862+GenFundExp!I899+GenFundExp!I936+GenFundExp!I973+GenFundExp!I1010+GenFundExp!I1047)</f>
        <v>0</v>
      </c>
      <c r="C1086" s="375"/>
    </row>
    <row r="1087" spans="1:9" ht="18.75" x14ac:dyDescent="0.3">
      <c r="A1087" s="149" t="s">
        <v>1068</v>
      </c>
      <c r="B1087" s="533">
        <f>SUM(GenFundExp!I381+GenFundExp!I418+GenFundExp!I455+GenFundExp!I492+GenFundExp!I529+GenFundExp!I566+GenFundExp!I603+GenFundExp!I640+GenFundExp!I678+GenFundExp!I715+GenFundExp!I752+GenFundExp!I789+GenFundExp!I826+GenFundExp!I863+GenFundExp!I900+GenFundExp!I937+GenFundExp!I974+GenFundExp!I1011+GenFundExp!I1048)</f>
        <v>0</v>
      </c>
      <c r="C1087" s="375"/>
    </row>
    <row r="1088" spans="1:9" ht="18.75" x14ac:dyDescent="0.3">
      <c r="A1088" s="149" t="s">
        <v>1072</v>
      </c>
      <c r="B1088" s="533">
        <f>SUM(GenFundExp!I21+GenFundExp!I57+GenFundExp!I93+GenFundExp!I129+GenFundExp!I165+GenFundExp!I201+GenFundExp!I236+GenFundExp!I272+GenFundExp!I308+GenFundExp!I344+GenFundExp!I382+GenFundExp!I419+GenFundExp!I456+GenFundExp!I493+GenFundExp!I530+GenFundExp!I567+GenFundExp!I604+GenFundExp!I641+GenFundExp!I679+GenFundExp!I716+GenFundExp!I753+GenFundExp!I790+GenFundExp!I827+GenFundExp!I864+GenFundExp!I901+GenFundExp!I938+GenFundExp!I975+GenFundExp!I1012+GenFundExp!I1049)</f>
        <v>0</v>
      </c>
      <c r="C1088" s="375"/>
    </row>
    <row r="1089" spans="1:3" ht="18.75" x14ac:dyDescent="0.3">
      <c r="A1089" s="718" t="s">
        <v>155</v>
      </c>
      <c r="B1089" s="533">
        <f>SUM(GenFundExp!I22+GenFundExp!I58+GenFundExp!I94+GenFundExp!I130+GenFundExp!I166+GenFundExp!I202+GenFundExp!I237+GenFundExp!I273+GenFundExp!I309+GenFundExp!I345+GenFundExp!I383+GenFundExp!I420+GenFundExp!I457+GenFundExp!I494+GenFundExp!I531+GenFundExp!I568+GenFundExp!I605+GenFundExp!I642+GenFundExp!I680+GenFundExp!I717+GenFundExp!I754+GenFundExp!I791+GenFundExp!I828+GenFundExp!I865+GenFundExp!I902+GenFundExp!I939+GenFundExp!I976+GenFundExp!I1013+GenFundExp!I1050)</f>
        <v>0</v>
      </c>
      <c r="C1089" s="375"/>
    </row>
    <row r="1090" spans="1:3" ht="18.75" x14ac:dyDescent="0.3">
      <c r="A1090" s="149" t="s">
        <v>921</v>
      </c>
      <c r="B1090" s="533">
        <f>SUM(GenFundExp!I23+GenFundExp!I59+GenFundExp!I95+GenFundExp!I131+GenFundExp!I167+GenFundExp!I203+GenFundExp!I238+GenFundExp!I274+GenFundExp!I310+GenFundExp!I346+GenFundExp!I384+GenFundExp!I421+GenFundExp!I458+GenFundExp!I495+GenFundExp!I532+GenFundExp!I569+GenFundExp!I606+GenFundExp!I643+GenFundExp!I681+GenFundExp!I718+GenFundExp!I755+GenFundExp!I792+GenFundExp!I829+GenFundExp!I866+GenFundExp!I903+GenFundExp!I940+GenFundExp!I977+GenFundExp!I1014+GenFundExp!I1051)</f>
        <v>0</v>
      </c>
      <c r="C1090" s="375"/>
    </row>
    <row r="1091" spans="1:3" ht="18.75" x14ac:dyDescent="0.3">
      <c r="A1091" s="149" t="s">
        <v>922</v>
      </c>
      <c r="B1091" s="533">
        <f>SUM(GenFundExp!I24+GenFundExp!I60+GenFundExp!I96+GenFundExp!I132+GenFundExp!I168+GenFundExp!I204+GenFundExp!I239+GenFundExp!I275+GenFundExp!I311+GenFundExp!I347+GenFundExp!I385+GenFundExp!I422+GenFundExp!I459+GenFundExp!I496+GenFundExp!I533+GenFundExp!I570+GenFundExp!I607+GenFundExp!I644+GenFundExp!I682+GenFundExp!I719+GenFundExp!I756+GenFundExp!I793+GenFundExp!I830+GenFundExp!I867+GenFundExp!I904+GenFundExp!I941+GenFundExp!I978+GenFundExp!I1015+GenFundExp!I1052)</f>
        <v>0</v>
      </c>
      <c r="C1091" s="375"/>
    </row>
    <row r="1092" spans="1:3" ht="18.75" x14ac:dyDescent="0.3">
      <c r="A1092" s="149" t="s">
        <v>923</v>
      </c>
      <c r="B1092" s="533">
        <f>SUM(GenFundExp!I25+GenFundExp!I61+GenFundExp!I97+GenFundExp!I133+GenFundExp!I169+GenFundExp!I205+GenFundExp!I240+GenFundExp!I276+GenFundExp!I312+GenFundExp!I348+GenFundExp!I386+GenFundExp!I423+GenFundExp!I460+GenFundExp!I497+GenFundExp!I534+GenFundExp!I571+GenFundExp!I608+GenFundExp!I645+GenFundExp!I683+GenFundExp!I720+GenFundExp!I757+GenFundExp!I794+GenFundExp!I831+GenFundExp!I868+GenFundExp!I905+GenFundExp!I942+GenFundExp!I979+GenFundExp!I1016+GenFundExp!I1053)</f>
        <v>0</v>
      </c>
      <c r="C1092" s="375"/>
    </row>
    <row r="1093" spans="1:3" ht="18.75" x14ac:dyDescent="0.3">
      <c r="A1093" s="149" t="s">
        <v>924</v>
      </c>
      <c r="B1093" s="533">
        <f>SUM(GenFundExp!I26+GenFundExp!I62+GenFundExp!I98+GenFundExp!I134+GenFundExp!I170+GenFundExp!I206+GenFundExp!I241+GenFundExp!I277+GenFundExp!I313+GenFundExp!I349+GenFundExp!I387+GenFundExp!I424+GenFundExp!I461+GenFundExp!I498+GenFundExp!I535+GenFundExp!I572+GenFundExp!I609+GenFundExp!I646+GenFundExp!I684+GenFundExp!I721+GenFundExp!I758+GenFundExp!I795+GenFundExp!I832+GenFundExp!I869+GenFundExp!I906+GenFundExp!I943+GenFundExp!I980+GenFundExp!I1017+GenFundExp!I1054)</f>
        <v>0</v>
      </c>
      <c r="C1093" s="375"/>
    </row>
    <row r="1094" spans="1:3" ht="18.75" x14ac:dyDescent="0.3">
      <c r="A1094" s="149" t="s">
        <v>925</v>
      </c>
      <c r="B1094" s="533">
        <f>SUM(GenFundExp!I27+GenFundExp!I63+GenFundExp!I99+GenFundExp!I135+GenFundExp!I171+GenFundExp!I207+GenFundExp!I242+GenFundExp!I278+GenFundExp!I314+GenFundExp!I350+GenFundExp!I388+GenFundExp!I425+GenFundExp!I462+GenFundExp!I499+GenFundExp!I536+GenFundExp!I573+GenFundExp!I610+GenFundExp!I647+GenFundExp!I685+GenFundExp!I722+GenFundExp!I759+GenFundExp!I796+GenFundExp!I833+GenFundExp!I870+GenFundExp!I907+GenFundExp!I944+GenFundExp!I981+GenFundExp!I1018+GenFundExp!I1055)</f>
        <v>0</v>
      </c>
      <c r="C1094" s="375"/>
    </row>
    <row r="1095" spans="1:3" ht="18.75" x14ac:dyDescent="0.3">
      <c r="A1095" s="149" t="s">
        <v>926</v>
      </c>
      <c r="B1095" s="533">
        <f>SUM(GenFundExp!I28+GenFundExp!I64+GenFundExp!I100+GenFundExp!I136+GenFundExp!I172+GenFundExp!I208+GenFundExp!I243+GenFundExp!I279+GenFundExp!I315+GenFundExp!I351+GenFundExp!I389+GenFundExp!I426+GenFundExp!I463+GenFundExp!I500+GenFundExp!I537+GenFundExp!I574+GenFundExp!I611+GenFundExp!I648+GenFundExp!I686+GenFundExp!I723+GenFundExp!I760+GenFundExp!I797+GenFundExp!I834+GenFundExp!I871+GenFundExp!I908+GenFundExp!I945+GenFundExp!I982+GenFundExp!I1019+GenFundExp!I1056)</f>
        <v>0</v>
      </c>
      <c r="C1095" s="375"/>
    </row>
    <row r="1096" spans="1:3" ht="18.75" x14ac:dyDescent="0.3">
      <c r="A1096" s="149" t="s">
        <v>927</v>
      </c>
      <c r="B1096" s="533">
        <f>SUM(GenFundExp!I29+GenFundExp!I65+GenFundExp!I101+GenFundExp!I137+GenFundExp!I173+GenFundExp!I209+GenFundExp!I244+GenFundExp!I280+GenFundExp!I316+GenFundExp!I352+GenFundExp!I390+GenFundExp!I427+GenFundExp!I464+GenFundExp!I501+GenFundExp!I538+GenFundExp!I575+GenFundExp!I612+GenFundExp!I649+GenFundExp!I687+GenFundExp!I724+GenFundExp!I761+GenFundExp!I798+GenFundExp!I835+GenFundExp!I872+GenFundExp!I909+GenFundExp!I946+GenFundExp!I983+GenFundExp!I1020+GenFundExp!I1057)</f>
        <v>0</v>
      </c>
      <c r="C1096" s="375"/>
    </row>
    <row r="1097" spans="1:3" ht="18.75" x14ac:dyDescent="0.3">
      <c r="A1097" s="149" t="s">
        <v>928</v>
      </c>
      <c r="B1097" s="533">
        <f>SUM(GenFundExp!I30+GenFundExp!I66+GenFundExp!I102+GenFundExp!I138+GenFundExp!I174+GenFundExp!I210+GenFundExp!I245+GenFundExp!I281+GenFundExp!I317+GenFundExp!I353+GenFundExp!I391+GenFundExp!I428+GenFundExp!I465+GenFundExp!I502+GenFundExp!I539+GenFundExp!I576+GenFundExp!I613+GenFundExp!I650+GenFundExp!I688+GenFundExp!I725+GenFundExp!I762+GenFundExp!I799+GenFundExp!I836+GenFundExp!I873+GenFundExp!I910+GenFundExp!I947+GenFundExp!I984+GenFundExp!I1021+GenFundExp!I1058)</f>
        <v>0</v>
      </c>
      <c r="C1097" s="375"/>
    </row>
    <row r="1098" spans="1:3" ht="18.75" x14ac:dyDescent="0.3">
      <c r="A1098" s="149" t="s">
        <v>962</v>
      </c>
      <c r="B1098" s="533">
        <f>SUM(GenFundExp!I31+GenFundExp!I67+GenFundExp!I103+GenFundExp!I139+GenFundExp!I175+GenFundExp!I211+GenFundExp!I246+GenFundExp!I282+GenFundExp!I318+GenFundExp!I354+GenFundExp!I392+GenFundExp!I429+GenFundExp!I466+GenFundExp!I503+GenFundExp!I540+GenFundExp!I577+GenFundExp!I614+GenFundExp!I651+GenFundExp!I689+GenFundExp!I726+GenFundExp!I763+GenFundExp!I800+GenFundExp!I837+GenFundExp!I874+GenFundExp!I911+GenFundExp!I948+GenFundExp!I985+GenFundExp!I1022+GenFundExp!I1059)</f>
        <v>0</v>
      </c>
      <c r="C1098" s="375"/>
    </row>
    <row r="1099" spans="1:3" ht="18.75" x14ac:dyDescent="0.3">
      <c r="A1099" s="149" t="s">
        <v>963</v>
      </c>
      <c r="B1099" s="533">
        <f>SUM(GenFundExp!I32+GenFundExp!I68+GenFundExp!I104+GenFundExp!I140+GenFundExp!I176+GenFundExp!I212+GenFundExp!I247+GenFundExp!I283+GenFundExp!I319+GenFundExp!I355+GenFundExp!I393+GenFundExp!I430+GenFundExp!I467+GenFundExp!I504+GenFundExp!I541+GenFundExp!I578+GenFundExp!I615+GenFundExp!I652+GenFundExp!I690+GenFundExp!I727+GenFundExp!I764+GenFundExp!I801+GenFundExp!I838+GenFundExp!I875+GenFundExp!I912+GenFundExp!I949+GenFundExp!I986+GenFundExp!I1023+GenFundExp!I1060)</f>
        <v>0</v>
      </c>
      <c r="C1099" s="375"/>
    </row>
    <row r="1100" spans="1:3" ht="18.75" x14ac:dyDescent="0.3">
      <c r="A1100" s="149" t="s">
        <v>964</v>
      </c>
      <c r="B1100" s="533">
        <f>SUM(GenFundExp!I33+GenFundExp!I69+GenFundExp!I105+GenFundExp!I141+GenFundExp!I177+GenFundExp!I213+GenFundExp!I248+GenFundExp!I284+GenFundExp!I320+GenFundExp!I356+GenFundExp!I394+GenFundExp!I431+GenFundExp!I468+GenFundExp!I505+GenFundExp!I542+GenFundExp!I579+GenFundExp!I616+GenFundExp!I653+GenFundExp!I691+GenFundExp!I728+GenFundExp!I765+GenFundExp!I802+GenFundExp!I839+GenFundExp!I876+GenFundExp!I913+GenFundExp!I950+GenFundExp!I987+GenFundExp!I1024+GenFundExp!I1061)</f>
        <v>0</v>
      </c>
      <c r="C1100" s="375"/>
    </row>
    <row r="1101" spans="1:3" ht="18.75" x14ac:dyDescent="0.3">
      <c r="A1101" s="149" t="s">
        <v>965</v>
      </c>
      <c r="B1101" s="533">
        <f>SUM(GenFundExp!I34+GenFundExp!I70+GenFundExp!I106+GenFundExp!I142+GenFundExp!I178+GenFundExp!I214+GenFundExp!I249+GenFundExp!I285+GenFundExp!I321+GenFundExp!I357+GenFundExp!I395+GenFundExp!I432+GenFundExp!I469+GenFundExp!I506+GenFundExp!I543+GenFundExp!I580+GenFundExp!I617+GenFundExp!I654+GenFundExp!I692+GenFundExp!I729+GenFundExp!I766+GenFundExp!I803+GenFundExp!I840+GenFundExp!I877+GenFundExp!I914+GenFundExp!I951+GenFundExp!I988+GenFundExp!I1025+GenFundExp!I1062)</f>
        <v>0</v>
      </c>
      <c r="C1101" s="375"/>
    </row>
    <row r="1102" spans="1:3" ht="18.75" x14ac:dyDescent="0.3">
      <c r="A1102" s="149" t="s">
        <v>885</v>
      </c>
      <c r="B1102" s="533">
        <f>SUM(GenFundExp!I35+GenFundExp!I71+GenFundExp!I107+GenFundExp!I143+GenFundExp!I179+GenFundExp!I215+GenFundExp!I250+GenFundExp!I286+GenFundExp!I322+GenFundExp!I358+GenFundExp!I396+GenFundExp!I433+GenFundExp!I470+GenFundExp!I507+GenFundExp!I544+GenFundExp!I581+GenFundExp!I618+GenFundExp!I655+GenFundExp!I693+GenFundExp!I730+GenFundExp!I767+GenFundExp!I804+GenFundExp!I841+GenFundExp!I878+GenFundExp!I915+GenFundExp!I952+GenFundExp!I989+GenFundExp!I1026+GenFundExp!I1063)</f>
        <v>0</v>
      </c>
      <c r="C1102" s="375"/>
    </row>
    <row r="1103" spans="1:3" ht="18.75" x14ac:dyDescent="0.3">
      <c r="A1103" s="149" t="s">
        <v>966</v>
      </c>
      <c r="B1103" s="533">
        <f>SUM(GenFundExp!I36+GenFundExp!I72+GenFundExp!I108+GenFundExp!I144+GenFundExp!I180+GenFundExp!I216+GenFundExp!I251+GenFundExp!I287+GenFundExp!I323+GenFundExp!I359+GenFundExp!I397+GenFundExp!I434+GenFundExp!I471+GenFundExp!I508+GenFundExp!I545+GenFundExp!I582+GenFundExp!I619+GenFundExp!I656+GenFundExp!I694+GenFundExp!I731+GenFundExp!I768+GenFundExp!I805+GenFundExp!I842+GenFundExp!I879+GenFundExp!I916+GenFundExp!I953+GenFundExp!I990+GenFundExp!I1027+GenFundExp!I1064)</f>
        <v>0</v>
      </c>
      <c r="C1103" s="375"/>
    </row>
    <row r="1104" spans="1:3" ht="18.75" x14ac:dyDescent="0.3">
      <c r="A1104" s="149" t="s">
        <v>886</v>
      </c>
      <c r="B1104" s="533">
        <f>SUM(GenFundExp!I37+GenFundExp!I73+GenFundExp!I109+GenFundExp!I145+GenFundExp!I181+GenFundExp!I217+GenFundExp!I252+GenFundExp!I288+GenFundExp!I324+GenFundExp!I360+GenFundExp!I398+GenFundExp!I435+GenFundExp!I472+GenFundExp!I509+GenFundExp!I546+GenFundExp!I583+GenFundExp!I620+GenFundExp!I657+GenFundExp!I695+GenFundExp!I732+GenFundExp!I769+GenFundExp!I806+GenFundExp!I843+GenFundExp!I880+GenFundExp!I917+GenFundExp!I954+GenFundExp!I991+GenFundExp!I1028+GenFundExp!I1065)</f>
        <v>0</v>
      </c>
      <c r="C1104" s="375"/>
    </row>
    <row r="1105" spans="1:3" ht="18.75" x14ac:dyDescent="0.3">
      <c r="A1105" s="149" t="s">
        <v>116</v>
      </c>
      <c r="B1105" s="533">
        <f>SUM(GenFundExp!I38+GenFundExp!I74+GenFundExp!I110+GenFundExp!I146+GenFundExp!I182+GenFundExp!I218+GenFundExp!I253+GenFundExp!I289+GenFundExp!I325+GenFundExp!I361+GenFundExp!I399+GenFundExp!I436+GenFundExp!I473+GenFundExp!I510+GenFundExp!I547+GenFundExp!I584+GenFundExp!I621+GenFundExp!I658+GenFundExp!I696+GenFundExp!I733+GenFundExp!I770+GenFundExp!I807+GenFundExp!I844+GenFundExp!I881+GenFundExp!I918+GenFundExp!I955+GenFundExp!I992+GenFundExp!I1029+GenFundExp!I1066)</f>
        <v>0</v>
      </c>
      <c r="C1105" s="375"/>
    </row>
    <row r="1106" spans="1:3" ht="18" x14ac:dyDescent="0.25">
      <c r="A1106" s="304" t="s">
        <v>1139</v>
      </c>
      <c r="B1106" s="535">
        <f>I659</f>
        <v>0</v>
      </c>
      <c r="C1106" s="375"/>
    </row>
    <row r="1107" spans="1:3" ht="18" x14ac:dyDescent="0.25">
      <c r="A1107" s="149" t="s">
        <v>112</v>
      </c>
      <c r="B1107" s="535">
        <f>SUM(I39+I75+I111+I147+I183+I218+I254+I290+I326+I362+I400+I437+I474+I511+I548+I585+I622+I660+I697+I734+I771+I808+I845+I882+I919+I956+I993+I1030+I1067)</f>
        <v>0</v>
      </c>
      <c r="C1107" s="375"/>
    </row>
    <row r="1108" spans="1:3" ht="18" x14ac:dyDescent="0.25">
      <c r="A1108" s="149" t="s">
        <v>887</v>
      </c>
      <c r="B1108" s="535">
        <f>SUM(I40+I76+I112+I148+I184+I219+I255+I291+I327+I363+I401+I438+I475+I512+I549+I586+I623+I661+I698+I735+I772+I809+I846+I883+I920+I957+I994+I1031+I1068)</f>
        <v>0</v>
      </c>
      <c r="C1108" s="375"/>
    </row>
    <row r="1109" spans="1:3" ht="18" x14ac:dyDescent="0.25">
      <c r="A1109" s="149" t="s">
        <v>1112</v>
      </c>
      <c r="B1109" s="535">
        <f>SUM(I41+I77+I113+I149+I185+I220+I256+I292+I328+I364+I402+I439+I476+I513+I550+I587+I624+I662+I699+I736+I773+I810+I847+I884+I921+I958+I995+I1032+I1069)</f>
        <v>0</v>
      </c>
      <c r="C1109" s="375"/>
    </row>
    <row r="1110" spans="1:3" ht="18" x14ac:dyDescent="0.25">
      <c r="A1110" s="149" t="s">
        <v>1113</v>
      </c>
      <c r="B1110" s="535">
        <f>SUM(I42+I78+I114+I150+I186+I221+I257+I293+I329+I365+I403+I440+I477+I514+I551+I588+I625+I663+I700+I737+I774+I811+I848+I885+I922+I959+I996+I1033+I1070)</f>
        <v>0</v>
      </c>
      <c r="C1110" s="375"/>
    </row>
    <row r="1111" spans="1:3" ht="18" x14ac:dyDescent="0.25">
      <c r="A1111" s="149" t="s">
        <v>1114</v>
      </c>
      <c r="B1111" s="535">
        <f>SUM(I43+I79+I115+I151+I187+I222+I258+I294+I330+I366+I404+I441+I478+I515+I552+I589+I626+I664+I701+I738+I775+I812+I849+I886+I923+I960+I997+I1034+I1071)</f>
        <v>0</v>
      </c>
      <c r="C1111" s="375"/>
    </row>
    <row r="1112" spans="1:3" x14ac:dyDescent="0.15">
      <c r="A1112" s="164"/>
      <c r="B1112" s="536"/>
      <c r="C1112" s="375"/>
    </row>
    <row r="1113" spans="1:3" x14ac:dyDescent="0.15">
      <c r="A1113" s="164"/>
      <c r="B1113" s="536"/>
      <c r="C1113" s="375"/>
    </row>
    <row r="1114" spans="1:3" x14ac:dyDescent="0.15">
      <c r="B1114" s="456"/>
      <c r="C1114" s="416"/>
    </row>
    <row r="1115" spans="1:3" x14ac:dyDescent="0.15">
      <c r="B1115" s="456"/>
      <c r="C1115" s="416"/>
    </row>
    <row r="1116" spans="1:3" x14ac:dyDescent="0.15">
      <c r="B1116" s="416"/>
      <c r="C1116" s="416"/>
    </row>
    <row r="1117" spans="1:3" x14ac:dyDescent="0.15">
      <c r="B1117" s="416"/>
      <c r="C1117" s="416"/>
    </row>
    <row r="1118" spans="1:3" x14ac:dyDescent="0.15">
      <c r="B1118" s="416"/>
      <c r="C1118" s="416"/>
    </row>
    <row r="1119" spans="1:3" x14ac:dyDescent="0.15">
      <c r="B1119" s="416"/>
      <c r="C1119" s="416"/>
    </row>
    <row r="1120" spans="1:3" x14ac:dyDescent="0.15">
      <c r="B1120" s="416"/>
      <c r="C1120" s="416"/>
    </row>
    <row r="1121" spans="2:3" x14ac:dyDescent="0.15">
      <c r="B1121" s="416"/>
      <c r="C1121" s="416"/>
    </row>
    <row r="1122" spans="2:3" x14ac:dyDescent="0.15">
      <c r="B1122" s="416"/>
      <c r="C1122" s="416"/>
    </row>
    <row r="1123" spans="2:3" x14ac:dyDescent="0.15">
      <c r="B1123" s="416"/>
      <c r="C1123" s="416"/>
    </row>
    <row r="1124" spans="2:3" x14ac:dyDescent="0.15">
      <c r="B1124" s="416"/>
      <c r="C1124" s="416"/>
    </row>
    <row r="1125" spans="2:3" x14ac:dyDescent="0.15">
      <c r="B1125" s="416"/>
      <c r="C1125" s="416"/>
    </row>
    <row r="1126" spans="2:3" x14ac:dyDescent="0.15">
      <c r="B1126" s="416"/>
      <c r="C1126" s="416"/>
    </row>
    <row r="1127" spans="2:3" x14ac:dyDescent="0.15">
      <c r="B1127" s="416"/>
      <c r="C1127" s="416"/>
    </row>
    <row r="1128" spans="2:3" x14ac:dyDescent="0.15">
      <c r="B1128" s="416"/>
      <c r="C1128" s="416"/>
    </row>
    <row r="1129" spans="2:3" x14ac:dyDescent="0.15">
      <c r="B1129" s="416"/>
      <c r="C1129" s="416"/>
    </row>
    <row r="1130" spans="2:3" x14ac:dyDescent="0.15">
      <c r="B1130" s="416"/>
      <c r="C1130" s="416"/>
    </row>
    <row r="1131" spans="2:3" x14ac:dyDescent="0.15">
      <c r="B1131" s="416"/>
      <c r="C1131" s="416"/>
    </row>
    <row r="1132" spans="2:3" x14ac:dyDescent="0.15">
      <c r="B1132" s="416"/>
      <c r="C1132" s="416"/>
    </row>
    <row r="1133" spans="2:3" x14ac:dyDescent="0.15">
      <c r="B1133" s="416"/>
      <c r="C1133" s="416"/>
    </row>
    <row r="1134" spans="2:3" x14ac:dyDescent="0.15">
      <c r="B1134" s="416"/>
      <c r="C1134" s="416"/>
    </row>
    <row r="1135" spans="2:3" x14ac:dyDescent="0.15">
      <c r="B1135" s="416"/>
      <c r="C1135" s="416"/>
    </row>
    <row r="1136" spans="2:3" x14ac:dyDescent="0.15">
      <c r="B1136" s="416"/>
      <c r="C1136" s="416"/>
    </row>
    <row r="1137" spans="2:3" x14ac:dyDescent="0.15">
      <c r="B1137" s="416"/>
      <c r="C1137" s="416"/>
    </row>
    <row r="1138" spans="2:3" x14ac:dyDescent="0.15">
      <c r="B1138" s="416"/>
      <c r="C1138" s="416"/>
    </row>
    <row r="1139" spans="2:3" x14ac:dyDescent="0.15">
      <c r="B1139" s="416"/>
      <c r="C1139" s="416"/>
    </row>
    <row r="1140" spans="2:3" x14ac:dyDescent="0.15">
      <c r="B1140" s="416"/>
      <c r="C1140" s="416"/>
    </row>
    <row r="1141" spans="2:3" x14ac:dyDescent="0.15">
      <c r="B1141" s="416"/>
      <c r="C1141" s="416"/>
    </row>
    <row r="1142" spans="2:3" x14ac:dyDescent="0.15">
      <c r="B1142" s="416"/>
      <c r="C1142" s="416"/>
    </row>
    <row r="1143" spans="2:3" x14ac:dyDescent="0.15">
      <c r="B1143" s="416"/>
      <c r="C1143" s="416"/>
    </row>
    <row r="1144" spans="2:3" x14ac:dyDescent="0.15">
      <c r="B1144" s="416"/>
      <c r="C1144" s="416"/>
    </row>
    <row r="1145" spans="2:3" x14ac:dyDescent="0.15">
      <c r="B1145" s="416"/>
      <c r="C1145" s="416"/>
    </row>
    <row r="1146" spans="2:3" x14ac:dyDescent="0.15">
      <c r="B1146" s="416"/>
      <c r="C1146" s="416"/>
    </row>
    <row r="1147" spans="2:3" x14ac:dyDescent="0.15">
      <c r="B1147" s="416"/>
      <c r="C1147" s="416"/>
    </row>
    <row r="1148" spans="2:3" x14ac:dyDescent="0.15">
      <c r="B1148" s="416"/>
      <c r="C1148" s="416"/>
    </row>
    <row r="1149" spans="2:3" x14ac:dyDescent="0.15">
      <c r="B1149" s="416"/>
      <c r="C1149" s="416"/>
    </row>
    <row r="1150" spans="2:3" x14ac:dyDescent="0.15">
      <c r="B1150" s="416"/>
      <c r="C1150" s="416"/>
    </row>
    <row r="1151" spans="2:3" x14ac:dyDescent="0.15">
      <c r="B1151" s="416"/>
      <c r="C1151" s="416"/>
    </row>
    <row r="1152" spans="2:3" x14ac:dyDescent="0.15">
      <c r="B1152" s="416"/>
      <c r="C1152" s="416"/>
    </row>
    <row r="1153" spans="2:3" x14ac:dyDescent="0.15">
      <c r="B1153" s="416"/>
      <c r="C1153" s="416"/>
    </row>
    <row r="1154" spans="2:3" x14ac:dyDescent="0.15">
      <c r="B1154" s="416"/>
      <c r="C1154" s="416"/>
    </row>
    <row r="1155" spans="2:3" x14ac:dyDescent="0.15">
      <c r="B1155" s="416"/>
      <c r="C1155" s="416"/>
    </row>
    <row r="1156" spans="2:3" x14ac:dyDescent="0.15">
      <c r="B1156" s="416"/>
      <c r="C1156" s="416"/>
    </row>
    <row r="1157" spans="2:3" x14ac:dyDescent="0.15">
      <c r="B1157" s="416"/>
      <c r="C1157" s="416"/>
    </row>
    <row r="1158" spans="2:3" x14ac:dyDescent="0.15">
      <c r="B1158" s="416"/>
      <c r="C1158" s="416"/>
    </row>
    <row r="1159" spans="2:3" x14ac:dyDescent="0.15">
      <c r="B1159" s="416"/>
      <c r="C1159" s="416"/>
    </row>
    <row r="1160" spans="2:3" x14ac:dyDescent="0.15">
      <c r="B1160" s="416"/>
      <c r="C1160" s="416"/>
    </row>
    <row r="1161" spans="2:3" x14ac:dyDescent="0.15">
      <c r="B1161" s="416"/>
      <c r="C1161" s="416"/>
    </row>
    <row r="1162" spans="2:3" x14ac:dyDescent="0.15">
      <c r="B1162" s="416"/>
      <c r="C1162" s="416"/>
    </row>
    <row r="1163" spans="2:3" x14ac:dyDescent="0.15">
      <c r="B1163" s="416"/>
      <c r="C1163" s="416"/>
    </row>
    <row r="1164" spans="2:3" x14ac:dyDescent="0.15">
      <c r="B1164" s="416"/>
      <c r="C1164" s="416"/>
    </row>
    <row r="1165" spans="2:3" x14ac:dyDescent="0.15">
      <c r="B1165" s="416"/>
      <c r="C1165" s="416"/>
    </row>
    <row r="1166" spans="2:3" x14ac:dyDescent="0.15">
      <c r="B1166" s="416"/>
      <c r="C1166" s="416"/>
    </row>
    <row r="1167" spans="2:3" x14ac:dyDescent="0.15">
      <c r="B1167" s="416"/>
      <c r="C1167" s="416"/>
    </row>
    <row r="1168" spans="2:3" x14ac:dyDescent="0.15">
      <c r="B1168" s="416"/>
      <c r="C1168" s="416"/>
    </row>
    <row r="1169" spans="2:3" x14ac:dyDescent="0.15">
      <c r="B1169" s="416"/>
      <c r="C1169" s="416"/>
    </row>
    <row r="1170" spans="2:3" x14ac:dyDescent="0.15">
      <c r="B1170" s="416"/>
      <c r="C1170" s="416"/>
    </row>
    <row r="1171" spans="2:3" x14ac:dyDescent="0.15">
      <c r="B1171" s="416"/>
      <c r="C1171" s="416"/>
    </row>
    <row r="1172" spans="2:3" x14ac:dyDescent="0.15">
      <c r="B1172" s="416"/>
      <c r="C1172" s="416"/>
    </row>
    <row r="1173" spans="2:3" x14ac:dyDescent="0.15">
      <c r="B1173" s="416"/>
      <c r="C1173" s="416"/>
    </row>
    <row r="1174" spans="2:3" x14ac:dyDescent="0.15">
      <c r="B1174" s="416"/>
      <c r="C1174" s="416"/>
    </row>
    <row r="1175" spans="2:3" x14ac:dyDescent="0.15">
      <c r="B1175" s="416"/>
      <c r="C1175" s="416"/>
    </row>
    <row r="1176" spans="2:3" x14ac:dyDescent="0.15">
      <c r="B1176" s="416"/>
      <c r="C1176" s="416"/>
    </row>
    <row r="1177" spans="2:3" x14ac:dyDescent="0.15">
      <c r="B1177" s="416"/>
      <c r="C1177" s="416"/>
    </row>
    <row r="1178" spans="2:3" x14ac:dyDescent="0.15">
      <c r="B1178" s="416"/>
      <c r="C1178" s="416"/>
    </row>
    <row r="1179" spans="2:3" x14ac:dyDescent="0.15">
      <c r="B1179" s="416"/>
      <c r="C1179" s="416"/>
    </row>
    <row r="1180" spans="2:3" x14ac:dyDescent="0.15">
      <c r="B1180" s="416"/>
      <c r="C1180" s="416"/>
    </row>
    <row r="1181" spans="2:3" x14ac:dyDescent="0.15">
      <c r="B1181" s="416"/>
      <c r="C1181" s="416"/>
    </row>
    <row r="1182" spans="2:3" x14ac:dyDescent="0.15">
      <c r="B1182" s="416"/>
      <c r="C1182" s="416"/>
    </row>
    <row r="1183" spans="2:3" x14ac:dyDescent="0.15">
      <c r="B1183" s="416"/>
      <c r="C1183" s="416"/>
    </row>
    <row r="1184" spans="2:3" x14ac:dyDescent="0.15">
      <c r="B1184" s="416"/>
      <c r="C1184" s="416"/>
    </row>
    <row r="1185" spans="2:3" x14ac:dyDescent="0.15">
      <c r="B1185" s="416"/>
      <c r="C1185" s="416"/>
    </row>
    <row r="1186" spans="2:3" x14ac:dyDescent="0.15">
      <c r="B1186" s="416"/>
      <c r="C1186" s="416"/>
    </row>
    <row r="1187" spans="2:3" x14ac:dyDescent="0.15">
      <c r="B1187" s="416"/>
      <c r="C1187" s="416"/>
    </row>
    <row r="1188" spans="2:3" x14ac:dyDescent="0.15">
      <c r="B1188" s="416"/>
      <c r="C1188" s="416"/>
    </row>
    <row r="1189" spans="2:3" x14ac:dyDescent="0.15">
      <c r="B1189" s="416"/>
      <c r="C1189" s="416"/>
    </row>
    <row r="1190" spans="2:3" x14ac:dyDescent="0.15">
      <c r="B1190" s="416"/>
      <c r="C1190" s="416"/>
    </row>
    <row r="1191" spans="2:3" x14ac:dyDescent="0.15">
      <c r="B1191" s="416"/>
      <c r="C1191" s="416"/>
    </row>
    <row r="1192" spans="2:3" x14ac:dyDescent="0.15">
      <c r="B1192" s="416"/>
      <c r="C1192" s="416"/>
    </row>
    <row r="1193" spans="2:3" x14ac:dyDescent="0.15">
      <c r="B1193" s="416"/>
      <c r="C1193" s="416"/>
    </row>
    <row r="1194" spans="2:3" x14ac:dyDescent="0.15">
      <c r="B1194" s="416"/>
      <c r="C1194" s="416"/>
    </row>
    <row r="1195" spans="2:3" x14ac:dyDescent="0.15">
      <c r="B1195" s="416"/>
      <c r="C1195" s="416"/>
    </row>
    <row r="1196" spans="2:3" x14ac:dyDescent="0.15">
      <c r="B1196" s="416"/>
      <c r="C1196" s="416"/>
    </row>
    <row r="1197" spans="2:3" x14ac:dyDescent="0.15">
      <c r="B1197" s="416"/>
      <c r="C1197" s="416"/>
    </row>
    <row r="1198" spans="2:3" x14ac:dyDescent="0.15">
      <c r="B1198" s="416"/>
      <c r="C1198" s="416"/>
    </row>
    <row r="1199" spans="2:3" x14ac:dyDescent="0.15">
      <c r="B1199" s="416"/>
      <c r="C1199" s="416"/>
    </row>
    <row r="1200" spans="2:3" x14ac:dyDescent="0.15">
      <c r="B1200" s="416"/>
      <c r="C1200" s="416"/>
    </row>
    <row r="1201" spans="2:3" x14ac:dyDescent="0.15">
      <c r="B1201" s="416"/>
      <c r="C1201" s="416"/>
    </row>
    <row r="1202" spans="2:3" x14ac:dyDescent="0.15">
      <c r="B1202" s="416"/>
      <c r="C1202" s="416"/>
    </row>
    <row r="1203" spans="2:3" x14ac:dyDescent="0.15">
      <c r="B1203" s="416"/>
      <c r="C1203" s="416"/>
    </row>
    <row r="1204" spans="2:3" x14ac:dyDescent="0.15">
      <c r="B1204" s="416"/>
      <c r="C1204" s="416"/>
    </row>
    <row r="1205" spans="2:3" x14ac:dyDescent="0.15">
      <c r="B1205" s="416"/>
      <c r="C1205" s="416"/>
    </row>
    <row r="1206" spans="2:3" x14ac:dyDescent="0.15">
      <c r="B1206" s="416"/>
      <c r="C1206" s="416"/>
    </row>
    <row r="1207" spans="2:3" x14ac:dyDescent="0.15">
      <c r="B1207" s="416"/>
      <c r="C1207" s="416"/>
    </row>
    <row r="1208" spans="2:3" x14ac:dyDescent="0.15">
      <c r="B1208" s="416"/>
      <c r="C1208" s="416"/>
    </row>
    <row r="1209" spans="2:3" x14ac:dyDescent="0.15">
      <c r="B1209" s="416"/>
      <c r="C1209" s="416"/>
    </row>
    <row r="1210" spans="2:3" x14ac:dyDescent="0.15">
      <c r="B1210" s="416"/>
      <c r="C1210" s="416"/>
    </row>
    <row r="1211" spans="2:3" x14ac:dyDescent="0.15">
      <c r="B1211" s="416"/>
      <c r="C1211" s="416"/>
    </row>
    <row r="1212" spans="2:3" x14ac:dyDescent="0.15">
      <c r="B1212" s="416"/>
      <c r="C1212" s="416"/>
    </row>
    <row r="1213" spans="2:3" x14ac:dyDescent="0.15">
      <c r="B1213" s="416"/>
      <c r="C1213" s="416"/>
    </row>
    <row r="1214" spans="2:3" x14ac:dyDescent="0.15">
      <c r="B1214" s="416"/>
      <c r="C1214" s="416"/>
    </row>
    <row r="1215" spans="2:3" x14ac:dyDescent="0.15">
      <c r="B1215" s="416"/>
      <c r="C1215" s="416"/>
    </row>
    <row r="1216" spans="2:3" x14ac:dyDescent="0.15">
      <c r="B1216" s="416"/>
      <c r="C1216" s="416"/>
    </row>
    <row r="1217" spans="2:3" x14ac:dyDescent="0.15">
      <c r="B1217" s="416"/>
      <c r="C1217" s="416"/>
    </row>
    <row r="1218" spans="2:3" x14ac:dyDescent="0.15">
      <c r="B1218" s="416"/>
      <c r="C1218" s="416"/>
    </row>
    <row r="1219" spans="2:3" x14ac:dyDescent="0.15">
      <c r="B1219" s="416"/>
      <c r="C1219" s="416"/>
    </row>
    <row r="1220" spans="2:3" x14ac:dyDescent="0.15">
      <c r="B1220" s="416"/>
      <c r="C1220" s="416"/>
    </row>
    <row r="1221" spans="2:3" x14ac:dyDescent="0.15">
      <c r="B1221" s="416"/>
      <c r="C1221" s="416"/>
    </row>
    <row r="1222" spans="2:3" x14ac:dyDescent="0.15">
      <c r="B1222" s="416"/>
      <c r="C1222" s="416"/>
    </row>
    <row r="1223" spans="2:3" x14ac:dyDescent="0.15">
      <c r="B1223" s="416"/>
      <c r="C1223" s="416"/>
    </row>
    <row r="1224" spans="2:3" x14ac:dyDescent="0.15">
      <c r="B1224" s="416"/>
      <c r="C1224" s="416"/>
    </row>
    <row r="1225" spans="2:3" x14ac:dyDescent="0.15">
      <c r="B1225" s="416"/>
      <c r="C1225" s="416"/>
    </row>
    <row r="1226" spans="2:3" x14ac:dyDescent="0.15">
      <c r="B1226" s="416"/>
      <c r="C1226" s="416"/>
    </row>
    <row r="1227" spans="2:3" x14ac:dyDescent="0.15">
      <c r="B1227" s="416"/>
      <c r="C1227" s="416"/>
    </row>
    <row r="1228" spans="2:3" x14ac:dyDescent="0.15">
      <c r="B1228" s="416"/>
      <c r="C1228" s="416"/>
    </row>
    <row r="1229" spans="2:3" x14ac:dyDescent="0.15">
      <c r="B1229" s="416"/>
      <c r="C1229" s="416"/>
    </row>
    <row r="1230" spans="2:3" x14ac:dyDescent="0.15">
      <c r="B1230" s="416"/>
      <c r="C1230" s="416"/>
    </row>
    <row r="1231" spans="2:3" x14ac:dyDescent="0.15">
      <c r="B1231" s="416"/>
      <c r="C1231" s="416"/>
    </row>
    <row r="1232" spans="2:3" x14ac:dyDescent="0.15">
      <c r="B1232" s="416"/>
      <c r="C1232" s="416"/>
    </row>
    <row r="1233" spans="2:3" x14ac:dyDescent="0.15">
      <c r="B1233" s="416"/>
      <c r="C1233" s="416"/>
    </row>
    <row r="1234" spans="2:3" x14ac:dyDescent="0.15">
      <c r="B1234" s="416"/>
      <c r="C1234" s="416"/>
    </row>
    <row r="1235" spans="2:3" x14ac:dyDescent="0.15">
      <c r="B1235" s="416"/>
      <c r="C1235" s="416"/>
    </row>
    <row r="1236" spans="2:3" x14ac:dyDescent="0.15">
      <c r="B1236" s="416"/>
      <c r="C1236" s="416"/>
    </row>
    <row r="1237" spans="2:3" x14ac:dyDescent="0.15">
      <c r="B1237" s="416"/>
      <c r="C1237" s="416"/>
    </row>
    <row r="1238" spans="2:3" x14ac:dyDescent="0.15">
      <c r="B1238" s="416"/>
      <c r="C1238" s="416"/>
    </row>
    <row r="1239" spans="2:3" x14ac:dyDescent="0.15">
      <c r="B1239" s="416"/>
      <c r="C1239" s="416"/>
    </row>
    <row r="1240" spans="2:3" x14ac:dyDescent="0.15">
      <c r="B1240" s="416"/>
      <c r="C1240" s="416"/>
    </row>
    <row r="1241" spans="2:3" x14ac:dyDescent="0.15">
      <c r="B1241" s="416"/>
      <c r="C1241" s="416"/>
    </row>
    <row r="1242" spans="2:3" x14ac:dyDescent="0.15">
      <c r="B1242" s="416"/>
      <c r="C1242" s="416"/>
    </row>
    <row r="1243" spans="2:3" x14ac:dyDescent="0.15">
      <c r="B1243" s="416"/>
      <c r="C1243" s="416"/>
    </row>
    <row r="1244" spans="2:3" x14ac:dyDescent="0.15">
      <c r="B1244" s="416"/>
      <c r="C1244" s="416"/>
    </row>
    <row r="1245" spans="2:3" x14ac:dyDescent="0.15">
      <c r="B1245" s="416"/>
      <c r="C1245" s="416"/>
    </row>
    <row r="1246" spans="2:3" x14ac:dyDescent="0.15">
      <c r="B1246" s="416"/>
      <c r="C1246" s="416"/>
    </row>
    <row r="1247" spans="2:3" x14ac:dyDescent="0.15">
      <c r="B1247" s="416"/>
      <c r="C1247" s="416"/>
    </row>
    <row r="1248" spans="2:3" x14ac:dyDescent="0.15">
      <c r="B1248" s="416"/>
      <c r="C1248" s="416"/>
    </row>
    <row r="1249" spans="2:3" x14ac:dyDescent="0.15">
      <c r="B1249" s="416"/>
      <c r="C1249" s="416"/>
    </row>
    <row r="1250" spans="2:3" x14ac:dyDescent="0.15">
      <c r="B1250" s="416"/>
      <c r="C1250" s="416"/>
    </row>
    <row r="1251" spans="2:3" x14ac:dyDescent="0.15">
      <c r="B1251" s="416"/>
      <c r="C1251" s="416"/>
    </row>
    <row r="1252" spans="2:3" x14ac:dyDescent="0.15">
      <c r="B1252" s="416"/>
      <c r="C1252" s="416"/>
    </row>
    <row r="1253" spans="2:3" x14ac:dyDescent="0.15">
      <c r="B1253" s="416"/>
      <c r="C1253" s="416"/>
    </row>
    <row r="1254" spans="2:3" x14ac:dyDescent="0.15">
      <c r="B1254" s="416"/>
      <c r="C1254" s="416"/>
    </row>
    <row r="1255" spans="2:3" x14ac:dyDescent="0.15">
      <c r="B1255" s="416"/>
      <c r="C1255" s="416"/>
    </row>
    <row r="1256" spans="2:3" x14ac:dyDescent="0.15">
      <c r="B1256" s="416"/>
      <c r="C1256" s="416"/>
    </row>
    <row r="1257" spans="2:3" x14ac:dyDescent="0.15">
      <c r="B1257" s="416"/>
      <c r="C1257" s="416"/>
    </row>
    <row r="1258" spans="2:3" x14ac:dyDescent="0.15">
      <c r="B1258" s="416"/>
      <c r="C1258" s="416"/>
    </row>
    <row r="1259" spans="2:3" x14ac:dyDescent="0.15">
      <c r="B1259" s="416"/>
      <c r="C1259" s="416"/>
    </row>
    <row r="1260" spans="2:3" x14ac:dyDescent="0.15">
      <c r="B1260" s="416"/>
      <c r="C1260" s="416"/>
    </row>
    <row r="1261" spans="2:3" x14ac:dyDescent="0.15">
      <c r="B1261" s="416"/>
      <c r="C1261" s="416"/>
    </row>
    <row r="1262" spans="2:3" x14ac:dyDescent="0.15">
      <c r="B1262" s="416"/>
      <c r="C1262" s="416"/>
    </row>
    <row r="1263" spans="2:3" x14ac:dyDescent="0.15">
      <c r="B1263" s="416"/>
      <c r="C1263" s="416"/>
    </row>
    <row r="1264" spans="2:3" x14ac:dyDescent="0.15">
      <c r="B1264" s="416"/>
      <c r="C1264" s="416"/>
    </row>
    <row r="1265" spans="2:3" x14ac:dyDescent="0.15">
      <c r="B1265" s="416"/>
      <c r="C1265" s="416"/>
    </row>
    <row r="1266" spans="2:3" x14ac:dyDescent="0.15">
      <c r="B1266" s="416"/>
      <c r="C1266" s="416"/>
    </row>
    <row r="1267" spans="2:3" x14ac:dyDescent="0.15">
      <c r="B1267" s="416"/>
      <c r="C1267" s="416"/>
    </row>
    <row r="1268" spans="2:3" x14ac:dyDescent="0.15">
      <c r="B1268" s="416"/>
      <c r="C1268" s="416"/>
    </row>
    <row r="1269" spans="2:3" x14ac:dyDescent="0.15">
      <c r="B1269" s="416"/>
      <c r="C1269" s="416"/>
    </row>
    <row r="1270" spans="2:3" x14ac:dyDescent="0.15">
      <c r="B1270" s="416"/>
      <c r="C1270" s="416"/>
    </row>
    <row r="1271" spans="2:3" x14ac:dyDescent="0.15">
      <c r="B1271" s="416"/>
      <c r="C1271" s="416"/>
    </row>
    <row r="1272" spans="2:3" x14ac:dyDescent="0.15">
      <c r="B1272" s="416"/>
      <c r="C1272" s="416"/>
    </row>
    <row r="1273" spans="2:3" x14ac:dyDescent="0.15">
      <c r="B1273" s="416"/>
      <c r="C1273" s="416"/>
    </row>
    <row r="1274" spans="2:3" x14ac:dyDescent="0.15">
      <c r="B1274" s="416"/>
      <c r="C1274" s="416"/>
    </row>
    <row r="1275" spans="2:3" x14ac:dyDescent="0.15">
      <c r="B1275" s="416"/>
      <c r="C1275" s="416"/>
    </row>
    <row r="1276" spans="2:3" x14ac:dyDescent="0.15">
      <c r="B1276" s="416"/>
      <c r="C1276" s="416"/>
    </row>
    <row r="1277" spans="2:3" x14ac:dyDescent="0.15">
      <c r="B1277" s="416"/>
      <c r="C1277" s="416"/>
    </row>
    <row r="1278" spans="2:3" x14ac:dyDescent="0.15">
      <c r="B1278" s="416"/>
      <c r="C1278" s="416"/>
    </row>
    <row r="1279" spans="2:3" x14ac:dyDescent="0.15">
      <c r="B1279" s="416"/>
      <c r="C1279" s="416"/>
    </row>
    <row r="1280" spans="2:3" x14ac:dyDescent="0.15">
      <c r="B1280" s="416"/>
      <c r="C1280" s="416"/>
    </row>
    <row r="1281" spans="2:3" x14ac:dyDescent="0.15">
      <c r="B1281" s="416"/>
      <c r="C1281" s="416"/>
    </row>
    <row r="1282" spans="2:3" x14ac:dyDescent="0.15">
      <c r="B1282" s="416"/>
      <c r="C1282" s="416"/>
    </row>
    <row r="1283" spans="2:3" x14ac:dyDescent="0.15">
      <c r="B1283" s="416"/>
      <c r="C1283" s="416"/>
    </row>
    <row r="1284" spans="2:3" x14ac:dyDescent="0.15">
      <c r="B1284" s="416"/>
      <c r="C1284" s="416"/>
    </row>
    <row r="1285" spans="2:3" x14ac:dyDescent="0.15">
      <c r="B1285" s="416"/>
      <c r="C1285" s="416"/>
    </row>
    <row r="1286" spans="2:3" x14ac:dyDescent="0.15">
      <c r="B1286" s="416"/>
      <c r="C1286" s="416"/>
    </row>
    <row r="1287" spans="2:3" x14ac:dyDescent="0.15">
      <c r="B1287" s="416"/>
      <c r="C1287" s="416"/>
    </row>
    <row r="1288" spans="2:3" x14ac:dyDescent="0.15">
      <c r="B1288" s="416"/>
      <c r="C1288" s="416"/>
    </row>
    <row r="1289" spans="2:3" x14ac:dyDescent="0.15">
      <c r="B1289" s="416"/>
      <c r="C1289" s="416"/>
    </row>
    <row r="1290" spans="2:3" x14ac:dyDescent="0.15">
      <c r="B1290" s="416"/>
      <c r="C1290" s="416"/>
    </row>
    <row r="1291" spans="2:3" x14ac:dyDescent="0.15">
      <c r="B1291" s="416"/>
      <c r="C1291" s="416"/>
    </row>
    <row r="1292" spans="2:3" x14ac:dyDescent="0.15">
      <c r="B1292" s="416"/>
      <c r="C1292" s="416"/>
    </row>
    <row r="1293" spans="2:3" x14ac:dyDescent="0.15">
      <c r="B1293" s="416"/>
      <c r="C1293" s="416"/>
    </row>
    <row r="1294" spans="2:3" x14ac:dyDescent="0.15">
      <c r="B1294" s="416"/>
      <c r="C1294" s="416"/>
    </row>
    <row r="1295" spans="2:3" x14ac:dyDescent="0.15">
      <c r="B1295" s="416"/>
      <c r="C1295" s="416"/>
    </row>
    <row r="1296" spans="2:3" x14ac:dyDescent="0.15">
      <c r="B1296" s="416"/>
      <c r="C1296" s="416"/>
    </row>
    <row r="1297" spans="2:3" x14ac:dyDescent="0.15">
      <c r="B1297" s="416"/>
      <c r="C1297" s="416"/>
    </row>
    <row r="1298" spans="2:3" x14ac:dyDescent="0.15">
      <c r="B1298" s="416"/>
      <c r="C1298" s="416"/>
    </row>
    <row r="1299" spans="2:3" x14ac:dyDescent="0.15">
      <c r="B1299" s="416"/>
      <c r="C1299" s="416"/>
    </row>
    <row r="1300" spans="2:3" x14ac:dyDescent="0.15">
      <c r="B1300" s="416"/>
      <c r="C1300" s="416"/>
    </row>
    <row r="1301" spans="2:3" x14ac:dyDescent="0.15">
      <c r="B1301" s="416"/>
      <c r="C1301" s="416"/>
    </row>
    <row r="1302" spans="2:3" x14ac:dyDescent="0.15">
      <c r="B1302" s="416"/>
      <c r="C1302" s="416"/>
    </row>
    <row r="1303" spans="2:3" x14ac:dyDescent="0.15">
      <c r="B1303" s="416"/>
      <c r="C1303" s="416"/>
    </row>
    <row r="1304" spans="2:3" x14ac:dyDescent="0.15">
      <c r="B1304" s="416"/>
      <c r="C1304" s="416"/>
    </row>
    <row r="1305" spans="2:3" x14ac:dyDescent="0.15">
      <c r="B1305" s="416"/>
      <c r="C1305" s="416"/>
    </row>
    <row r="1306" spans="2:3" x14ac:dyDescent="0.15">
      <c r="B1306" s="416"/>
      <c r="C1306" s="416"/>
    </row>
    <row r="1307" spans="2:3" x14ac:dyDescent="0.15">
      <c r="B1307" s="416"/>
      <c r="C1307" s="416"/>
    </row>
    <row r="1308" spans="2:3" x14ac:dyDescent="0.15">
      <c r="B1308" s="416"/>
      <c r="C1308" s="416"/>
    </row>
    <row r="1309" spans="2:3" x14ac:dyDescent="0.15">
      <c r="B1309" s="416"/>
      <c r="C1309" s="416"/>
    </row>
    <row r="1310" spans="2:3" x14ac:dyDescent="0.15">
      <c r="B1310" s="416"/>
      <c r="C1310" s="416"/>
    </row>
    <row r="1311" spans="2:3" x14ac:dyDescent="0.15">
      <c r="B1311" s="416"/>
      <c r="C1311" s="416"/>
    </row>
    <row r="1312" spans="2:3" x14ac:dyDescent="0.15">
      <c r="B1312" s="416"/>
      <c r="C1312" s="416"/>
    </row>
    <row r="1313" spans="2:3" x14ac:dyDescent="0.15">
      <c r="B1313" s="416"/>
      <c r="C1313" s="416"/>
    </row>
    <row r="1314" spans="2:3" x14ac:dyDescent="0.15">
      <c r="B1314" s="416"/>
      <c r="C1314" s="416"/>
    </row>
    <row r="1315" spans="2:3" x14ac:dyDescent="0.15">
      <c r="B1315" s="416"/>
      <c r="C1315" s="416"/>
    </row>
    <row r="1316" spans="2:3" x14ac:dyDescent="0.15">
      <c r="B1316" s="416"/>
      <c r="C1316" s="416"/>
    </row>
    <row r="1317" spans="2:3" x14ac:dyDescent="0.15">
      <c r="B1317" s="416"/>
      <c r="C1317" s="416"/>
    </row>
    <row r="1318" spans="2:3" x14ac:dyDescent="0.15">
      <c r="B1318" s="416"/>
      <c r="C1318" s="416"/>
    </row>
    <row r="1319" spans="2:3" x14ac:dyDescent="0.15">
      <c r="B1319" s="416"/>
      <c r="C1319" s="416"/>
    </row>
    <row r="1320" spans="2:3" x14ac:dyDescent="0.15">
      <c r="B1320" s="416"/>
      <c r="C1320" s="416"/>
    </row>
    <row r="1321" spans="2:3" x14ac:dyDescent="0.15">
      <c r="B1321" s="416"/>
      <c r="C1321" s="416"/>
    </row>
    <row r="1322" spans="2:3" x14ac:dyDescent="0.15">
      <c r="B1322" s="416"/>
      <c r="C1322" s="416"/>
    </row>
    <row r="1323" spans="2:3" x14ac:dyDescent="0.15">
      <c r="B1323" s="416"/>
      <c r="C1323" s="416"/>
    </row>
    <row r="1324" spans="2:3" x14ac:dyDescent="0.15">
      <c r="B1324" s="416"/>
      <c r="C1324" s="416"/>
    </row>
    <row r="1325" spans="2:3" x14ac:dyDescent="0.15">
      <c r="B1325" s="416"/>
      <c r="C1325" s="416"/>
    </row>
    <row r="1326" spans="2:3" x14ac:dyDescent="0.15">
      <c r="B1326" s="416"/>
      <c r="C1326" s="416"/>
    </row>
    <row r="1327" spans="2:3" x14ac:dyDescent="0.15">
      <c r="B1327" s="416"/>
      <c r="C1327" s="416"/>
    </row>
    <row r="1328" spans="2:3" x14ac:dyDescent="0.15">
      <c r="B1328" s="416"/>
      <c r="C1328" s="416"/>
    </row>
    <row r="1329" spans="2:3" x14ac:dyDescent="0.15">
      <c r="B1329" s="416"/>
      <c r="C1329" s="416"/>
    </row>
    <row r="1330" spans="2:3" x14ac:dyDescent="0.15">
      <c r="B1330" s="416"/>
      <c r="C1330" s="416"/>
    </row>
    <row r="1331" spans="2:3" x14ac:dyDescent="0.15">
      <c r="B1331" s="416"/>
      <c r="C1331" s="416"/>
    </row>
    <row r="1332" spans="2:3" x14ac:dyDescent="0.15">
      <c r="B1332" s="416"/>
      <c r="C1332" s="416"/>
    </row>
    <row r="1333" spans="2:3" x14ac:dyDescent="0.15">
      <c r="B1333" s="416"/>
      <c r="C1333" s="416"/>
    </row>
    <row r="1334" spans="2:3" x14ac:dyDescent="0.15">
      <c r="B1334" s="416"/>
      <c r="C1334" s="416"/>
    </row>
    <row r="1335" spans="2:3" x14ac:dyDescent="0.15">
      <c r="B1335" s="416"/>
      <c r="C1335" s="416"/>
    </row>
    <row r="1336" spans="2:3" x14ac:dyDescent="0.15">
      <c r="B1336" s="416"/>
      <c r="C1336" s="416"/>
    </row>
    <row r="1337" spans="2:3" x14ac:dyDescent="0.15">
      <c r="B1337" s="416"/>
      <c r="C1337" s="416"/>
    </row>
    <row r="1338" spans="2:3" x14ac:dyDescent="0.15">
      <c r="B1338" s="416"/>
      <c r="C1338" s="416"/>
    </row>
    <row r="1339" spans="2:3" x14ac:dyDescent="0.15">
      <c r="B1339" s="416"/>
      <c r="C1339" s="416"/>
    </row>
    <row r="1340" spans="2:3" x14ac:dyDescent="0.15">
      <c r="B1340" s="416"/>
      <c r="C1340" s="416"/>
    </row>
    <row r="1341" spans="2:3" x14ac:dyDescent="0.15">
      <c r="B1341" s="416"/>
      <c r="C1341" s="416"/>
    </row>
    <row r="1342" spans="2:3" x14ac:dyDescent="0.15">
      <c r="B1342" s="416"/>
      <c r="C1342" s="416"/>
    </row>
    <row r="1343" spans="2:3" x14ac:dyDescent="0.15">
      <c r="B1343" s="416"/>
      <c r="C1343" s="416"/>
    </row>
    <row r="1344" spans="2:3" x14ac:dyDescent="0.15">
      <c r="B1344" s="416"/>
      <c r="C1344" s="416"/>
    </row>
    <row r="1345" spans="2:3" x14ac:dyDescent="0.15">
      <c r="B1345" s="416"/>
      <c r="C1345" s="416"/>
    </row>
    <row r="1346" spans="2:3" x14ac:dyDescent="0.15">
      <c r="B1346" s="416"/>
      <c r="C1346" s="416"/>
    </row>
    <row r="1347" spans="2:3" x14ac:dyDescent="0.15">
      <c r="B1347" s="416"/>
      <c r="C1347" s="416"/>
    </row>
    <row r="1348" spans="2:3" x14ac:dyDescent="0.15">
      <c r="B1348" s="416"/>
      <c r="C1348" s="416"/>
    </row>
    <row r="1349" spans="2:3" x14ac:dyDescent="0.15">
      <c r="B1349" s="416"/>
      <c r="C1349" s="416"/>
    </row>
    <row r="1350" spans="2:3" x14ac:dyDescent="0.15">
      <c r="B1350" s="416"/>
      <c r="C1350" s="416"/>
    </row>
    <row r="1351" spans="2:3" x14ac:dyDescent="0.15">
      <c r="B1351" s="416"/>
      <c r="C1351" s="416"/>
    </row>
    <row r="1352" spans="2:3" x14ac:dyDescent="0.15">
      <c r="B1352" s="416"/>
      <c r="C1352" s="416"/>
    </row>
    <row r="1353" spans="2:3" x14ac:dyDescent="0.15">
      <c r="B1353" s="416"/>
      <c r="C1353" s="416"/>
    </row>
    <row r="1354" spans="2:3" x14ac:dyDescent="0.15">
      <c r="B1354" s="416"/>
      <c r="C1354" s="416"/>
    </row>
    <row r="1355" spans="2:3" x14ac:dyDescent="0.15">
      <c r="B1355" s="416"/>
      <c r="C1355" s="416"/>
    </row>
    <row r="1356" spans="2:3" x14ac:dyDescent="0.15">
      <c r="B1356" s="416"/>
      <c r="C1356" s="416"/>
    </row>
    <row r="1357" spans="2:3" x14ac:dyDescent="0.15">
      <c r="B1357" s="416"/>
      <c r="C1357" s="416"/>
    </row>
    <row r="1358" spans="2:3" x14ac:dyDescent="0.15">
      <c r="B1358" s="416"/>
      <c r="C1358" s="416"/>
    </row>
    <row r="1359" spans="2:3" x14ac:dyDescent="0.15">
      <c r="B1359" s="416"/>
      <c r="C1359" s="416"/>
    </row>
    <row r="1360" spans="2:3" x14ac:dyDescent="0.15">
      <c r="B1360" s="416"/>
      <c r="C1360" s="416"/>
    </row>
    <row r="1361" spans="2:3" x14ac:dyDescent="0.15">
      <c r="B1361" s="416"/>
      <c r="C1361" s="416"/>
    </row>
    <row r="1362" spans="2:3" x14ac:dyDescent="0.15">
      <c r="B1362" s="416"/>
      <c r="C1362" s="416"/>
    </row>
    <row r="1363" spans="2:3" x14ac:dyDescent="0.15">
      <c r="B1363" s="416"/>
      <c r="C1363" s="416"/>
    </row>
    <row r="1364" spans="2:3" x14ac:dyDescent="0.15">
      <c r="B1364" s="416"/>
      <c r="C1364" s="416"/>
    </row>
    <row r="1365" spans="2:3" x14ac:dyDescent="0.15">
      <c r="B1365" s="416"/>
      <c r="C1365" s="416"/>
    </row>
    <row r="1366" spans="2:3" x14ac:dyDescent="0.15">
      <c r="B1366" s="416"/>
      <c r="C1366" s="416"/>
    </row>
    <row r="1367" spans="2:3" x14ac:dyDescent="0.15">
      <c r="B1367" s="416"/>
      <c r="C1367" s="416"/>
    </row>
    <row r="1368" spans="2:3" x14ac:dyDescent="0.15">
      <c r="B1368" s="416"/>
      <c r="C1368" s="416"/>
    </row>
    <row r="1369" spans="2:3" x14ac:dyDescent="0.15">
      <c r="B1369" s="416"/>
      <c r="C1369" s="416"/>
    </row>
    <row r="1370" spans="2:3" x14ac:dyDescent="0.15">
      <c r="B1370" s="416"/>
      <c r="C1370" s="416"/>
    </row>
    <row r="1371" spans="2:3" x14ac:dyDescent="0.15">
      <c r="B1371" s="416"/>
      <c r="C1371" s="416"/>
    </row>
    <row r="1372" spans="2:3" x14ac:dyDescent="0.15">
      <c r="B1372" s="416"/>
      <c r="C1372" s="416"/>
    </row>
    <row r="1373" spans="2:3" x14ac:dyDescent="0.15">
      <c r="B1373" s="416"/>
      <c r="C1373" s="416"/>
    </row>
  </sheetData>
  <sheetProtection password="CB03" sheet="1" objects="1" scenarios="1" formatCells="0" formatColumns="0" formatRows="0"/>
  <phoneticPr fontId="15" type="noConversion"/>
  <pageMargins left="0.75" right="0.75" top="1" bottom="1" header="0.5" footer="0.5"/>
  <pageSetup scale="58" firstPageNumber="4" fitToHeight="0" orientation="portrait" horizontalDpi="300" verticalDpi="300" r:id="rId1"/>
  <headerFooter alignWithMargins="0">
    <oddFooter>&amp;LCDE, Public Scool Finance Unit&amp;C&amp;P&amp;R&amp;D</oddFooter>
  </headerFooter>
  <rowBreaks count="15" manualBreakCount="15">
    <brk id="81" max="8" man="1"/>
    <brk id="153" max="8" man="1"/>
    <brk id="224" max="8" man="1"/>
    <brk id="260" max="8" man="1"/>
    <brk id="332" max="8" man="1"/>
    <brk id="406" max="8" man="1"/>
    <brk id="480" max="8" man="1"/>
    <brk id="554" max="8" man="1"/>
    <brk id="628" max="8" man="1"/>
    <brk id="703" max="8" man="1"/>
    <brk id="777" max="8" man="1"/>
    <brk id="851" max="8" man="1"/>
    <brk id="925" max="8" man="1"/>
    <brk id="999" max="8" man="1"/>
    <brk id="1076" max="8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F18"/>
  <sheetViews>
    <sheetView workbookViewId="0">
      <selection activeCell="F12" sqref="F12"/>
    </sheetView>
  </sheetViews>
  <sheetFormatPr defaultColWidth="12" defaultRowHeight="10.5" x14ac:dyDescent="0.15"/>
  <cols>
    <col min="1" max="1" width="20.33203125" customWidth="1"/>
    <col min="2" max="6" width="22.83203125" customWidth="1"/>
  </cols>
  <sheetData>
    <row r="1" spans="1:6" x14ac:dyDescent="0.15">
      <c r="A1" t="s">
        <v>1044</v>
      </c>
      <c r="B1">
        <f>+'Page 1 - FY2016-17'!B5</f>
        <v>0</v>
      </c>
      <c r="C1" t="s">
        <v>889</v>
      </c>
      <c r="D1" s="106">
        <f>+'Page 1 - FY2016-17'!F7</f>
        <v>0</v>
      </c>
      <c r="E1" s="17"/>
      <c r="F1" s="12"/>
    </row>
    <row r="3" spans="1:6" x14ac:dyDescent="0.15">
      <c r="A3" s="34" t="s">
        <v>167</v>
      </c>
      <c r="B3" s="17"/>
      <c r="C3" s="17"/>
      <c r="D3" s="17"/>
      <c r="E3" s="17"/>
      <c r="F3" s="17"/>
    </row>
    <row r="6" spans="1:6" x14ac:dyDescent="0.15">
      <c r="B6" s="94" t="s">
        <v>496</v>
      </c>
      <c r="C6" s="94" t="s">
        <v>497</v>
      </c>
      <c r="D6" s="94" t="s">
        <v>498</v>
      </c>
      <c r="E6" s="94" t="s">
        <v>501</v>
      </c>
      <c r="F6" s="94" t="s">
        <v>502</v>
      </c>
    </row>
    <row r="7" spans="1:6" x14ac:dyDescent="0.15">
      <c r="B7" s="95" t="s">
        <v>165</v>
      </c>
      <c r="C7" s="95" t="s">
        <v>503</v>
      </c>
      <c r="D7" s="95" t="s">
        <v>504</v>
      </c>
      <c r="E7" s="95" t="s">
        <v>505</v>
      </c>
      <c r="F7" s="95" t="s">
        <v>506</v>
      </c>
    </row>
    <row r="8" spans="1:6" x14ac:dyDescent="0.15">
      <c r="B8" s="95" t="s">
        <v>507</v>
      </c>
      <c r="C8" s="95" t="s">
        <v>508</v>
      </c>
      <c r="D8" s="95" t="s">
        <v>166</v>
      </c>
      <c r="E8" s="95" t="s">
        <v>509</v>
      </c>
      <c r="F8" s="95" t="s">
        <v>504</v>
      </c>
    </row>
    <row r="9" spans="1:6" x14ac:dyDescent="0.15">
      <c r="B9" s="30"/>
      <c r="C9" s="47" t="s">
        <v>510</v>
      </c>
      <c r="D9" s="95" t="s">
        <v>507</v>
      </c>
      <c r="E9" s="95" t="s">
        <v>507</v>
      </c>
      <c r="F9" s="95" t="s">
        <v>166</v>
      </c>
    </row>
    <row r="10" spans="1:6" x14ac:dyDescent="0.15">
      <c r="B10" s="31"/>
      <c r="C10" s="95" t="s">
        <v>511</v>
      </c>
      <c r="E10" s="130" t="s">
        <v>508</v>
      </c>
      <c r="F10" s="95" t="s">
        <v>507</v>
      </c>
    </row>
    <row r="11" spans="1:6" ht="11.25" thickBot="1" x14ac:dyDescent="0.2">
      <c r="B11" s="32"/>
      <c r="C11" s="32"/>
      <c r="D11" s="33"/>
      <c r="E11" s="18"/>
      <c r="F11" s="32"/>
    </row>
    <row r="12" spans="1:6" x14ac:dyDescent="0.15">
      <c r="A12" s="1" t="s">
        <v>437</v>
      </c>
      <c r="B12" s="96">
        <v>0</v>
      </c>
      <c r="C12" s="97">
        <f>'Tabor Spending Limitations'!E47</f>
        <v>0</v>
      </c>
      <c r="D12" s="46">
        <f>B12+(B12*C12)</f>
        <v>0</v>
      </c>
      <c r="E12" s="96">
        <v>0</v>
      </c>
      <c r="F12" s="98">
        <f>D12+E12</f>
        <v>0</v>
      </c>
    </row>
    <row r="13" spans="1:6" x14ac:dyDescent="0.15">
      <c r="A13" s="1" t="s">
        <v>433</v>
      </c>
      <c r="B13" s="80" t="s">
        <v>512</v>
      </c>
      <c r="C13" s="99" t="s">
        <v>512</v>
      </c>
      <c r="D13" s="80" t="s">
        <v>512</v>
      </c>
      <c r="E13" s="80" t="s">
        <v>512</v>
      </c>
      <c r="F13" s="80" t="s">
        <v>512</v>
      </c>
    </row>
    <row r="14" spans="1:6" x14ac:dyDescent="0.15">
      <c r="A14" s="1" t="s">
        <v>446</v>
      </c>
      <c r="B14" s="40">
        <v>0</v>
      </c>
      <c r="C14" s="91">
        <f>'Tabor Spending Limitations'!E47</f>
        <v>0</v>
      </c>
      <c r="D14" s="46">
        <f>B14+(B14*C14)</f>
        <v>0</v>
      </c>
      <c r="E14" s="40">
        <v>0</v>
      </c>
      <c r="F14" s="46">
        <f>D14+E14</f>
        <v>0</v>
      </c>
    </row>
    <row r="15" spans="1:6" x14ac:dyDescent="0.15">
      <c r="A15" s="1" t="s">
        <v>513</v>
      </c>
      <c r="B15" s="40">
        <v>0</v>
      </c>
      <c r="C15" s="91">
        <f>'Tabor Spending Limitations'!E47</f>
        <v>0</v>
      </c>
      <c r="D15" s="46">
        <f>B15+(B15*C15)</f>
        <v>0</v>
      </c>
      <c r="E15" s="40">
        <v>0</v>
      </c>
      <c r="F15" s="46">
        <f>D15+E15</f>
        <v>0</v>
      </c>
    </row>
    <row r="16" spans="1:6" x14ac:dyDescent="0.15">
      <c r="A16" s="2" t="s">
        <v>514</v>
      </c>
      <c r="B16" s="40">
        <v>0</v>
      </c>
      <c r="C16" s="91">
        <f>'Tabor Spending Limitations'!E47</f>
        <v>0</v>
      </c>
      <c r="D16" s="46">
        <f>B16+(B16*C16)</f>
        <v>0</v>
      </c>
      <c r="E16" s="40">
        <v>0</v>
      </c>
      <c r="F16" s="46">
        <f>D16+E16</f>
        <v>0</v>
      </c>
    </row>
    <row r="17" spans="1:6" x14ac:dyDescent="0.15">
      <c r="A17" s="3"/>
      <c r="B17" s="100"/>
      <c r="C17" s="101"/>
      <c r="D17" s="45"/>
      <c r="E17" s="100"/>
      <c r="F17" s="45"/>
    </row>
    <row r="18" spans="1:6" x14ac:dyDescent="0.15">
      <c r="A18" s="1" t="s">
        <v>1050</v>
      </c>
      <c r="B18" s="46">
        <f>SUM(B12:B16)</f>
        <v>0</v>
      </c>
      <c r="C18" s="91">
        <f>'Tabor Spending Limitations'!E47</f>
        <v>0</v>
      </c>
      <c r="D18" s="46">
        <f>SUM(D12:D16)</f>
        <v>0</v>
      </c>
      <c r="E18" s="46">
        <f>SUM(E12:E16)</f>
        <v>0</v>
      </c>
      <c r="F18" s="46">
        <f>SUM(F12:F16)</f>
        <v>0</v>
      </c>
    </row>
  </sheetData>
  <sheetProtection password="CB03" sheet="1" objects="1" scenarios="1" formatCells="0" formatColumns="0" formatRows="0"/>
  <phoneticPr fontId="15" type="noConversion"/>
  <pageMargins left="0.5" right="0.5" top="0.75" bottom="0.75" header="0.5" footer="0.5"/>
  <pageSetup paperSize="5" scale="78" firstPageNumber="54" fitToHeight="0" orientation="landscape" r:id="rId1"/>
  <headerFooter alignWithMargins="0">
    <oddFooter>&amp;LCDE, Public Scool Finance Unit&amp;C&amp;P&amp;R&amp;D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D35"/>
  <sheetViews>
    <sheetView workbookViewId="0">
      <selection activeCell="C11" sqref="C11"/>
    </sheetView>
  </sheetViews>
  <sheetFormatPr defaultColWidth="12" defaultRowHeight="10.5" x14ac:dyDescent="0.15"/>
  <cols>
    <col min="1" max="1" width="54" customWidth="1"/>
    <col min="2" max="2" width="30" customWidth="1"/>
    <col min="3" max="3" width="31" customWidth="1"/>
    <col min="4" max="4" width="24.33203125" customWidth="1"/>
  </cols>
  <sheetData>
    <row r="1" spans="1:4" x14ac:dyDescent="0.15">
      <c r="A1" t="s">
        <v>1044</v>
      </c>
      <c r="B1">
        <f>+'Page 1 - FY2016-17'!B5</f>
        <v>0</v>
      </c>
      <c r="C1" t="s">
        <v>889</v>
      </c>
      <c r="D1" s="106">
        <f>+'Page 1 - FY2016-17'!F7</f>
        <v>0</v>
      </c>
    </row>
    <row r="3" spans="1:4" x14ac:dyDescent="0.15">
      <c r="A3" s="15" t="s">
        <v>515</v>
      </c>
    </row>
    <row r="7" spans="1:4" ht="11.25" thickBot="1" x14ac:dyDescent="0.2"/>
    <row r="8" spans="1:4" ht="11.25" thickTop="1" x14ac:dyDescent="0.15">
      <c r="A8" s="49" t="s">
        <v>516</v>
      </c>
      <c r="B8" s="102" t="s">
        <v>517</v>
      </c>
      <c r="C8" s="102" t="s">
        <v>518</v>
      </c>
      <c r="D8" s="11" t="s">
        <v>519</v>
      </c>
    </row>
    <row r="9" spans="1:4" ht="11.25" thickBot="1" x14ac:dyDescent="0.2">
      <c r="A9" s="22"/>
      <c r="B9" s="103" t="s">
        <v>520</v>
      </c>
      <c r="C9" s="103" t="s">
        <v>521</v>
      </c>
      <c r="D9" s="23"/>
    </row>
    <row r="10" spans="1:4" ht="11.25" thickTop="1" x14ac:dyDescent="0.15">
      <c r="A10" s="50" t="s">
        <v>1310</v>
      </c>
      <c r="B10" s="46">
        <f>GenFundREV!I114</f>
        <v>0</v>
      </c>
      <c r="C10" s="46">
        <f>GenFundExp2!I672</f>
        <v>0</v>
      </c>
      <c r="D10" s="46">
        <f>AppropRes!H13</f>
        <v>0</v>
      </c>
    </row>
    <row r="11" spans="1:4" x14ac:dyDescent="0.15">
      <c r="A11" s="50" t="s">
        <v>937</v>
      </c>
      <c r="B11" s="46">
        <f>CharterFundRev!I109</f>
        <v>0</v>
      </c>
      <c r="C11" s="46">
        <f>CharterFundExp2!I671</f>
        <v>0</v>
      </c>
      <c r="D11" s="381">
        <f>AppropRes!H14</f>
        <v>0</v>
      </c>
    </row>
    <row r="12" spans="1:4" x14ac:dyDescent="0.15">
      <c r="A12" s="50" t="s">
        <v>528</v>
      </c>
      <c r="B12" s="46">
        <f>InsResv!I18</f>
        <v>0</v>
      </c>
      <c r="C12" s="46">
        <f>InsResv!I49</f>
        <v>0</v>
      </c>
      <c r="D12" s="46">
        <f>+AppropRes!H15</f>
        <v>0</v>
      </c>
    </row>
    <row r="13" spans="1:4" x14ac:dyDescent="0.15">
      <c r="A13" s="50" t="s">
        <v>793</v>
      </c>
      <c r="B13" s="46">
        <f>'CPP Fund'!I19</f>
        <v>0</v>
      </c>
      <c r="C13" s="46">
        <f>'CPP Fund'!I129</f>
        <v>0</v>
      </c>
      <c r="D13" s="46">
        <f>AppropRes!H16</f>
        <v>0</v>
      </c>
    </row>
    <row r="14" spans="1:4" hidden="1" x14ac:dyDescent="0.15">
      <c r="A14" s="50" t="s">
        <v>942</v>
      </c>
      <c r="B14" s="46">
        <f>ARRAGrants!J88</f>
        <v>0</v>
      </c>
      <c r="C14" s="46">
        <f>ARRAGrants!J181</f>
        <v>0</v>
      </c>
      <c r="D14" s="381">
        <f>+AppropRes!H18</f>
        <v>0</v>
      </c>
    </row>
    <row r="15" spans="1:4" x14ac:dyDescent="0.15">
      <c r="A15" s="50" t="s">
        <v>1511</v>
      </c>
      <c r="B15" s="46">
        <f>FoodServiceSRF!I29</f>
        <v>0</v>
      </c>
      <c r="C15" s="46">
        <f>FoodServiceSRF!I82</f>
        <v>0</v>
      </c>
      <c r="D15" s="46">
        <f>+AppropRes!H19</f>
        <v>0</v>
      </c>
    </row>
    <row r="16" spans="1:4" x14ac:dyDescent="0.15">
      <c r="A16" s="50" t="s">
        <v>432</v>
      </c>
      <c r="B16" s="46">
        <f>GovGrants!J88</f>
        <v>0</v>
      </c>
      <c r="C16" s="46">
        <f>GovGrants!J181</f>
        <v>0</v>
      </c>
      <c r="D16" s="46">
        <f>+AppropRes!H20</f>
        <v>0</v>
      </c>
    </row>
    <row r="17" spans="1:4" s="283" customFormat="1" x14ac:dyDescent="0.15">
      <c r="A17" s="50" t="s">
        <v>522</v>
      </c>
      <c r="B17" s="46">
        <f>PupActiv!I19</f>
        <v>0</v>
      </c>
      <c r="C17" s="46">
        <f>PupActiv!I65</f>
        <v>0</v>
      </c>
      <c r="D17" s="46">
        <f>+AppropRes!H21</f>
        <v>0</v>
      </c>
    </row>
    <row r="18" spans="1:4" x14ac:dyDescent="0.15">
      <c r="A18" s="50" t="s">
        <v>1273</v>
      </c>
      <c r="B18" s="46">
        <f>FullDayKOverride!I22</f>
        <v>0</v>
      </c>
      <c r="C18" s="46">
        <f>FullDayKOverride!I47</f>
        <v>0</v>
      </c>
      <c r="D18" s="381">
        <f>+AppropRes!H22</f>
        <v>0</v>
      </c>
    </row>
    <row r="19" spans="1:4" x14ac:dyDescent="0.15">
      <c r="A19" s="50" t="s">
        <v>406</v>
      </c>
      <c r="B19" s="46">
        <f>Transp!I22</f>
        <v>0</v>
      </c>
      <c r="C19" s="46">
        <f>Transp!I48</f>
        <v>0</v>
      </c>
      <c r="D19" s="46">
        <f>+AppropRes!H23</f>
        <v>0</v>
      </c>
    </row>
    <row r="20" spans="1:4" x14ac:dyDescent="0.15">
      <c r="A20" s="50" t="s">
        <v>523</v>
      </c>
      <c r="B20" s="46">
        <f>OthSpecRev!I18</f>
        <v>0</v>
      </c>
      <c r="C20" s="46">
        <f>OthSpecRev!I67</f>
        <v>0</v>
      </c>
      <c r="D20" s="46">
        <f>+AppropRes!H24</f>
        <v>0</v>
      </c>
    </row>
    <row r="21" spans="1:4" x14ac:dyDescent="0.15">
      <c r="A21" s="50" t="s">
        <v>408</v>
      </c>
      <c r="B21" s="46">
        <f>BondRedm!I24</f>
        <v>0</v>
      </c>
      <c r="C21" s="46">
        <f>BondRedm!I46</f>
        <v>0</v>
      </c>
      <c r="D21" s="46">
        <f>+AppropRes!H26</f>
        <v>0</v>
      </c>
    </row>
    <row r="22" spans="1:4" x14ac:dyDescent="0.15">
      <c r="A22" s="50" t="s">
        <v>1585</v>
      </c>
      <c r="B22" s="46">
        <f>COPDebt!I24</f>
        <v>0</v>
      </c>
      <c r="C22" s="46">
        <f>COPDebt!I46</f>
        <v>0</v>
      </c>
      <c r="D22" s="46">
        <f>+AppropRes!H27</f>
        <v>0</v>
      </c>
    </row>
    <row r="23" spans="1:4" x14ac:dyDescent="0.15">
      <c r="A23" s="50" t="s">
        <v>409</v>
      </c>
      <c r="B23" s="46">
        <f>BuildFund!I20</f>
        <v>0</v>
      </c>
      <c r="C23" s="46">
        <f>BuildFund!I52</f>
        <v>0</v>
      </c>
      <c r="D23" s="46">
        <f>+AppropRes!H29</f>
        <v>0</v>
      </c>
    </row>
    <row r="24" spans="1:4" x14ac:dyDescent="0.15">
      <c r="A24" s="113" t="s">
        <v>524</v>
      </c>
      <c r="B24" s="46">
        <f>SpecBuild!I17</f>
        <v>0</v>
      </c>
      <c r="C24" s="46">
        <f>SpecBuild!I40</f>
        <v>0</v>
      </c>
      <c r="D24" s="46">
        <f>+AppropRes!H30</f>
        <v>0</v>
      </c>
    </row>
    <row r="25" spans="1:4" x14ac:dyDescent="0.15">
      <c r="A25" s="50" t="s">
        <v>414</v>
      </c>
      <c r="B25" s="46">
        <f>CapResCapPrj!I27</f>
        <v>0</v>
      </c>
      <c r="C25" s="46">
        <f>CapResCapPrj!I88</f>
        <v>0</v>
      </c>
      <c r="D25" s="46">
        <f>+AppropRes!H31</f>
        <v>0</v>
      </c>
    </row>
    <row r="26" spans="1:4" x14ac:dyDescent="0.15">
      <c r="A26" s="50" t="s">
        <v>1510</v>
      </c>
      <c r="B26" s="46">
        <v>0</v>
      </c>
      <c r="C26" s="46">
        <v>0</v>
      </c>
      <c r="D26" s="46">
        <f>+AppropRes!H33</f>
        <v>0</v>
      </c>
    </row>
    <row r="27" spans="1:4" x14ac:dyDescent="0.15">
      <c r="A27" s="50" t="s">
        <v>526</v>
      </c>
      <c r="B27" s="46">
        <f>OtherEnterprise!I19</f>
        <v>0</v>
      </c>
      <c r="C27" s="46">
        <f>OtherEnterprise!I47</f>
        <v>0</v>
      </c>
      <c r="D27" s="46">
        <f>+AppropRes!H34</f>
        <v>0</v>
      </c>
    </row>
    <row r="28" spans="1:4" x14ac:dyDescent="0.15">
      <c r="A28" s="50" t="s">
        <v>601</v>
      </c>
      <c r="B28" s="46">
        <f>RiskRelated!I17</f>
        <v>0</v>
      </c>
      <c r="C28" s="46">
        <f>RiskRelated!I45</f>
        <v>0</v>
      </c>
      <c r="D28" s="46">
        <f>+AppropRes!H36</f>
        <v>0</v>
      </c>
    </row>
    <row r="29" spans="1:4" x14ac:dyDescent="0.15">
      <c r="A29" s="50" t="s">
        <v>602</v>
      </c>
      <c r="B29" s="46">
        <f>OtherInternal!I21</f>
        <v>0</v>
      </c>
      <c r="C29" s="46">
        <f>OtherInternal!I49</f>
        <v>0</v>
      </c>
      <c r="D29" s="46">
        <f>+AppropRes!H37</f>
        <v>0</v>
      </c>
    </row>
    <row r="30" spans="1:4" x14ac:dyDescent="0.15">
      <c r="A30" s="50" t="s">
        <v>603</v>
      </c>
      <c r="B30" s="46">
        <f>PupilActAgency!I16</f>
        <v>0</v>
      </c>
      <c r="C30" s="46">
        <f>PupilActAgency!I59</f>
        <v>0</v>
      </c>
      <c r="D30" s="46">
        <f>+AppropRes!H39</f>
        <v>0</v>
      </c>
    </row>
    <row r="31" spans="1:4" x14ac:dyDescent="0.15">
      <c r="A31" s="50" t="s">
        <v>604</v>
      </c>
      <c r="B31" s="46">
        <f>'Trust&amp;Agency'!I15</f>
        <v>0</v>
      </c>
      <c r="C31" s="46">
        <f>'Trust&amp;Agency'!I58</f>
        <v>0</v>
      </c>
      <c r="D31" s="46">
        <f>+AppropRes!H40</f>
        <v>0</v>
      </c>
    </row>
    <row r="32" spans="1:4" x14ac:dyDescent="0.15">
      <c r="A32" s="50" t="s">
        <v>948</v>
      </c>
      <c r="B32" s="46">
        <f>'Foundation Fund'!I15</f>
        <v>0</v>
      </c>
      <c r="C32" s="46">
        <f>'Foundation Fund'!I58</f>
        <v>0</v>
      </c>
      <c r="D32" s="46">
        <f>+AppropRes!H41</f>
        <v>0</v>
      </c>
    </row>
    <row r="33" spans="1:4" x14ac:dyDescent="0.15">
      <c r="A33" s="50" t="s">
        <v>605</v>
      </c>
      <c r="B33" s="46">
        <f>+Arbitrage!I22</f>
        <v>0</v>
      </c>
      <c r="C33" s="46">
        <f>+Arbitrage!H33</f>
        <v>0</v>
      </c>
      <c r="D33" s="46">
        <f>+AppropRes!H42</f>
        <v>0</v>
      </c>
    </row>
    <row r="35" spans="1:4" x14ac:dyDescent="0.15">
      <c r="A35" s="108" t="s">
        <v>214</v>
      </c>
      <c r="B35" s="127">
        <f>SUM(B10:B33)</f>
        <v>0</v>
      </c>
      <c r="C35" s="127">
        <f>SUM(C10:C33)</f>
        <v>0</v>
      </c>
      <c r="D35" s="127">
        <f>SUM(D10:D33)</f>
        <v>0</v>
      </c>
    </row>
  </sheetData>
  <sheetProtection password="CB03" sheet="1" objects="1" scenarios="1" formatCells="0" formatColumns="0" formatRows="0"/>
  <phoneticPr fontId="15" type="noConversion"/>
  <pageMargins left="0.5" right="0.5" top="0.75" bottom="0.75" header="0.5" footer="0.5"/>
  <pageSetup paperSize="5" firstPageNumber="55" fitToHeight="0" orientation="landscape" r:id="rId1"/>
  <headerFooter alignWithMargins="0">
    <oddFooter>&amp;LCDE, Public Scool Finance Unit&amp;C&amp;P&amp;R&amp;D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E18"/>
  <sheetViews>
    <sheetView workbookViewId="0">
      <selection activeCell="D27" sqref="D27"/>
    </sheetView>
  </sheetViews>
  <sheetFormatPr defaultColWidth="12" defaultRowHeight="10.5" x14ac:dyDescent="0.15"/>
  <cols>
    <col min="1" max="1" width="66.33203125" customWidth="1"/>
    <col min="2" max="4" width="22.83203125" customWidth="1"/>
  </cols>
  <sheetData>
    <row r="1" spans="1:5" x14ac:dyDescent="0.15">
      <c r="A1">
        <f>+'Page 1 - FY2016-17'!B5</f>
        <v>0</v>
      </c>
      <c r="B1" s="17"/>
      <c r="C1" s="17"/>
      <c r="D1" s="12"/>
      <c r="E1" s="17"/>
    </row>
    <row r="2" spans="1:5" ht="19.5" x14ac:dyDescent="0.35">
      <c r="A2" s="51" t="s">
        <v>1578</v>
      </c>
      <c r="B2" s="17"/>
      <c r="C2" s="17"/>
      <c r="D2" s="17"/>
      <c r="E2" s="17"/>
    </row>
    <row r="3" spans="1:5" x14ac:dyDescent="0.15">
      <c r="E3" s="17"/>
    </row>
    <row r="4" spans="1:5" ht="15.75" x14ac:dyDescent="0.25">
      <c r="A4" s="24"/>
      <c r="B4" s="52" t="s">
        <v>606</v>
      </c>
      <c r="C4" s="52" t="s">
        <v>606</v>
      </c>
      <c r="D4" s="52" t="s">
        <v>607</v>
      </c>
    </row>
    <row r="5" spans="1:5" ht="15.75" x14ac:dyDescent="0.25">
      <c r="A5" s="53" t="s">
        <v>608</v>
      </c>
      <c r="B5" s="53" t="s">
        <v>609</v>
      </c>
      <c r="C5" s="53" t="s">
        <v>611</v>
      </c>
      <c r="D5" s="53" t="s">
        <v>611</v>
      </c>
    </row>
    <row r="6" spans="1:5" ht="16.5" thickBot="1" x14ac:dyDescent="0.3">
      <c r="A6" s="25"/>
      <c r="B6" s="54" t="s">
        <v>611</v>
      </c>
      <c r="C6" s="54" t="s">
        <v>612</v>
      </c>
      <c r="D6" s="25"/>
    </row>
    <row r="7" spans="1:5" ht="16.5" thickTop="1" x14ac:dyDescent="0.25">
      <c r="A7" s="55" t="s">
        <v>617</v>
      </c>
      <c r="B7" s="56">
        <f>+'Budget Summaries 2'!N7</f>
        <v>0</v>
      </c>
      <c r="C7" s="56">
        <f>+'Budget Summaries 4'!H8</f>
        <v>0</v>
      </c>
      <c r="D7" s="56">
        <f t="shared" ref="D7:D17" si="0">SUM(B7:C7)</f>
        <v>0</v>
      </c>
    </row>
    <row r="8" spans="1:5" ht="15.75" x14ac:dyDescent="0.25">
      <c r="A8" s="55" t="s">
        <v>618</v>
      </c>
      <c r="B8" s="56">
        <f>+'Budget Summaries 2'!N17+'Budget Summaries 2'!N19</f>
        <v>0</v>
      </c>
      <c r="C8" s="56">
        <f>+'Budget Summaries 4'!H14+'Budget Summaries 4'!H16</f>
        <v>0</v>
      </c>
      <c r="D8" s="56">
        <f>SUM(B8:C8)</f>
        <v>0</v>
      </c>
    </row>
    <row r="9" spans="1:5" ht="15.75" x14ac:dyDescent="0.25">
      <c r="A9" s="55" t="s">
        <v>616</v>
      </c>
      <c r="B9" s="56">
        <f>'Budget Summaries 2'!N20</f>
        <v>0</v>
      </c>
      <c r="C9" s="56">
        <f>'Budget Summaries 4'!H17</f>
        <v>0</v>
      </c>
      <c r="D9" s="56">
        <f>SUM(B9:C9)</f>
        <v>0</v>
      </c>
    </row>
    <row r="10" spans="1:5" ht="16.5" thickBot="1" x14ac:dyDescent="0.3">
      <c r="A10" s="55" t="s">
        <v>619</v>
      </c>
      <c r="B10" s="56">
        <f>+'Budget Summaries 2'!N18</f>
        <v>0</v>
      </c>
      <c r="C10" s="56">
        <f>'Budget Summaries 4'!H15</f>
        <v>0</v>
      </c>
      <c r="D10" s="56">
        <f t="shared" si="0"/>
        <v>0</v>
      </c>
    </row>
    <row r="11" spans="1:5" ht="17.25" thickTop="1" thickBot="1" x14ac:dyDescent="0.3">
      <c r="A11" s="57" t="s">
        <v>620</v>
      </c>
      <c r="B11" s="58">
        <f>SUM(B7:B10)</f>
        <v>0</v>
      </c>
      <c r="C11" s="58">
        <f>SUM(C7:C10)</f>
        <v>0</v>
      </c>
      <c r="D11" s="58">
        <f t="shared" si="0"/>
        <v>0</v>
      </c>
    </row>
    <row r="12" spans="1:5" ht="16.5" thickTop="1" x14ac:dyDescent="0.25">
      <c r="A12" s="55" t="s">
        <v>621</v>
      </c>
      <c r="B12" s="56">
        <f>+'Budget Summaries 3'!N22</f>
        <v>0</v>
      </c>
      <c r="C12" s="56">
        <f>+'Budget Summaries 5'!H22</f>
        <v>0</v>
      </c>
      <c r="D12" s="56">
        <f t="shared" si="0"/>
        <v>0</v>
      </c>
    </row>
    <row r="13" spans="1:5" ht="15.75" x14ac:dyDescent="0.25">
      <c r="A13" s="55" t="s">
        <v>622</v>
      </c>
      <c r="B13" s="56">
        <f>+'Budget Summaries 3'!N25</f>
        <v>0</v>
      </c>
      <c r="C13" s="56">
        <f>+'Budget Summaries 5'!H25</f>
        <v>0</v>
      </c>
      <c r="D13" s="56">
        <f t="shared" si="0"/>
        <v>0</v>
      </c>
    </row>
    <row r="14" spans="1:5" ht="16.5" thickBot="1" x14ac:dyDescent="0.3">
      <c r="A14" s="59" t="s">
        <v>545</v>
      </c>
      <c r="B14" s="60">
        <f>+'Budget Summaries 3'!N26</f>
        <v>0</v>
      </c>
      <c r="C14" s="60">
        <f>+'Budget Summaries 5'!H26</f>
        <v>0</v>
      </c>
      <c r="D14" s="56">
        <f t="shared" si="0"/>
        <v>0</v>
      </c>
    </row>
    <row r="15" spans="1:5" ht="17.25" thickTop="1" thickBot="1" x14ac:dyDescent="0.3">
      <c r="A15" s="57" t="s">
        <v>833</v>
      </c>
      <c r="B15" s="58">
        <f>SUM(B12:B14)</f>
        <v>0</v>
      </c>
      <c r="C15" s="58">
        <f>SUM(C12:C14)</f>
        <v>0</v>
      </c>
      <c r="D15" s="58">
        <f t="shared" si="0"/>
        <v>0</v>
      </c>
    </row>
    <row r="16" spans="1:5" ht="17.25" thickTop="1" thickBot="1" x14ac:dyDescent="0.3">
      <c r="A16" s="55" t="s">
        <v>747</v>
      </c>
      <c r="B16" s="60">
        <f>+'Budget Summaries 3'!N27</f>
        <v>0</v>
      </c>
      <c r="C16" s="60">
        <f>+'Budget Summaries 5'!H27</f>
        <v>0</v>
      </c>
      <c r="D16" s="58">
        <f t="shared" si="0"/>
        <v>0</v>
      </c>
    </row>
    <row r="17" spans="1:4" ht="17.25" thickTop="1" thickBot="1" x14ac:dyDescent="0.3">
      <c r="A17" s="57" t="s">
        <v>748</v>
      </c>
      <c r="B17" s="61">
        <f>B15+B16</f>
        <v>0</v>
      </c>
      <c r="C17" s="61">
        <f>C15+C16</f>
        <v>0</v>
      </c>
      <c r="D17" s="58">
        <f t="shared" si="0"/>
        <v>0</v>
      </c>
    </row>
    <row r="18" spans="1:4" ht="11.25" thickTop="1" x14ac:dyDescent="0.15"/>
  </sheetData>
  <sheetProtection password="CB03" sheet="1" objects="1" scenarios="1" formatCells="0" formatColumns="0" formatRows="0"/>
  <phoneticPr fontId="15" type="noConversion"/>
  <pageMargins left="0.5" right="0.5" top="0.75" bottom="0.75" header="0.5" footer="0.5"/>
  <pageSetup paperSize="5" firstPageNumber="56" fitToHeight="0" orientation="landscape" r:id="rId1"/>
  <headerFooter alignWithMargins="0">
    <oddFooter>&amp;LCDE, Public Scool Finance Unit&amp;C&amp;P&amp;R&amp;D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N24"/>
  <sheetViews>
    <sheetView zoomScale="90" workbookViewId="0">
      <selection activeCell="A3" sqref="A3"/>
    </sheetView>
  </sheetViews>
  <sheetFormatPr defaultColWidth="12" defaultRowHeight="11.25" customHeight="1" x14ac:dyDescent="0.15"/>
  <cols>
    <col min="1" max="1" width="32.83203125" customWidth="1"/>
    <col min="2" max="5" width="15.83203125" customWidth="1"/>
    <col min="6" max="6" width="15.83203125" style="283" hidden="1" customWidth="1"/>
    <col min="7" max="14" width="15.83203125" customWidth="1"/>
  </cols>
  <sheetData>
    <row r="1" spans="1:14" ht="11.25" customHeight="1" x14ac:dyDescent="0.15">
      <c r="A1">
        <f>+'Page 1 - FY2016-17'!B5</f>
        <v>0</v>
      </c>
      <c r="B1" s="17"/>
      <c r="C1" s="17"/>
      <c r="D1" s="17"/>
      <c r="E1" s="17"/>
      <c r="F1" s="367"/>
      <c r="G1" s="17"/>
      <c r="H1" s="17"/>
      <c r="I1" s="17"/>
      <c r="J1" s="17"/>
      <c r="K1" s="17"/>
      <c r="L1" s="17"/>
      <c r="M1" s="17"/>
      <c r="N1" s="12" t="s">
        <v>749</v>
      </c>
    </row>
    <row r="2" spans="1:14" ht="15.75" x14ac:dyDescent="0.25">
      <c r="A2" s="62" t="s">
        <v>750</v>
      </c>
      <c r="B2" s="17"/>
      <c r="C2" s="17"/>
      <c r="D2" s="17"/>
      <c r="E2" s="17"/>
      <c r="F2" s="367"/>
      <c r="G2" s="17"/>
      <c r="H2" s="17"/>
      <c r="I2" s="17"/>
      <c r="J2" s="17"/>
      <c r="K2" s="17"/>
      <c r="L2" s="17"/>
      <c r="M2" s="17"/>
      <c r="N2" s="17"/>
    </row>
    <row r="3" spans="1:14" ht="11.25" customHeight="1" x14ac:dyDescent="0.15">
      <c r="F3"/>
    </row>
    <row r="4" spans="1:14" ht="11.25" customHeight="1" x14ac:dyDescent="0.2">
      <c r="A4" s="26"/>
      <c r="B4" s="27"/>
      <c r="C4" s="380" t="s">
        <v>936</v>
      </c>
      <c r="D4" s="63" t="s">
        <v>754</v>
      </c>
      <c r="E4" s="63" t="s">
        <v>256</v>
      </c>
      <c r="F4" s="63" t="s">
        <v>935</v>
      </c>
      <c r="G4" s="63" t="s">
        <v>756</v>
      </c>
      <c r="H4" s="63" t="s">
        <v>752</v>
      </c>
      <c r="I4" s="63" t="s">
        <v>753</v>
      </c>
      <c r="J4" s="63" t="s">
        <v>755</v>
      </c>
      <c r="K4" s="63" t="s">
        <v>1566</v>
      </c>
      <c r="L4" s="63" t="s">
        <v>757</v>
      </c>
      <c r="M4" s="63" t="s">
        <v>758</v>
      </c>
      <c r="N4" s="63" t="s">
        <v>606</v>
      </c>
    </row>
    <row r="5" spans="1:14" ht="11.25" customHeight="1" x14ac:dyDescent="0.2">
      <c r="A5" s="64" t="s">
        <v>608</v>
      </c>
      <c r="B5" s="64" t="s">
        <v>759</v>
      </c>
      <c r="C5" s="64" t="s">
        <v>257</v>
      </c>
      <c r="D5" s="64" t="s">
        <v>760</v>
      </c>
      <c r="E5" s="64" t="s">
        <v>257</v>
      </c>
      <c r="F5" s="64" t="s">
        <v>781</v>
      </c>
      <c r="G5" s="64" t="s">
        <v>784</v>
      </c>
      <c r="H5" s="64" t="s">
        <v>781</v>
      </c>
      <c r="I5" s="64" t="s">
        <v>782</v>
      </c>
      <c r="J5" s="64" t="s">
        <v>783</v>
      </c>
      <c r="K5" s="64" t="s">
        <v>1567</v>
      </c>
      <c r="L5" s="64" t="s">
        <v>785</v>
      </c>
      <c r="M5" s="64" t="s">
        <v>784</v>
      </c>
      <c r="N5" s="64" t="s">
        <v>609</v>
      </c>
    </row>
    <row r="6" spans="1:14" ht="11.25" customHeight="1" thickBot="1" x14ac:dyDescent="0.25">
      <c r="A6" s="28"/>
      <c r="B6" s="65" t="s">
        <v>786</v>
      </c>
      <c r="C6" s="65" t="s">
        <v>786</v>
      </c>
      <c r="D6" s="65" t="s">
        <v>786</v>
      </c>
      <c r="E6" s="65" t="s">
        <v>786</v>
      </c>
      <c r="F6" s="66" t="s">
        <v>1321</v>
      </c>
      <c r="G6" s="65" t="s">
        <v>786</v>
      </c>
      <c r="H6" s="66" t="s">
        <v>1321</v>
      </c>
      <c r="I6" s="65" t="s">
        <v>786</v>
      </c>
      <c r="J6" s="65" t="s">
        <v>787</v>
      </c>
      <c r="K6" s="65" t="s">
        <v>1568</v>
      </c>
      <c r="L6" s="65" t="s">
        <v>787</v>
      </c>
      <c r="M6" s="65" t="s">
        <v>787</v>
      </c>
      <c r="N6" s="65" t="s">
        <v>611</v>
      </c>
    </row>
    <row r="7" spans="1:14" ht="11.25" customHeight="1" thickTop="1" thickBot="1" x14ac:dyDescent="0.25">
      <c r="A7" s="66" t="s">
        <v>617</v>
      </c>
      <c r="B7" s="67">
        <f>GenFundREV!I5</f>
        <v>0</v>
      </c>
      <c r="C7" s="67">
        <f>CharterFundRev!I5</f>
        <v>0</v>
      </c>
      <c r="D7" s="67">
        <f>InsResv!I6</f>
        <v>0</v>
      </c>
      <c r="E7" s="67">
        <f>'CPP Fund'!I7</f>
        <v>0</v>
      </c>
      <c r="F7" s="67">
        <f>ARRAGrants!J6</f>
        <v>0</v>
      </c>
      <c r="G7" s="67">
        <f>FoodServiceSRF!I6</f>
        <v>0</v>
      </c>
      <c r="H7" s="67">
        <f>GovGrants!J6</f>
        <v>0</v>
      </c>
      <c r="I7" s="67">
        <f>PupActiv!I6</f>
        <v>0</v>
      </c>
      <c r="J7" s="67">
        <f>Transp!I6+OthSpecRev!I7+FullDayKOverride!I6</f>
        <v>0</v>
      </c>
      <c r="K7" s="67"/>
      <c r="L7" s="67">
        <f>OtherEnterprise!I6</f>
        <v>0</v>
      </c>
      <c r="M7" s="67">
        <f>+RiskRelated!I7+OtherInternal!I6</f>
        <v>0</v>
      </c>
      <c r="N7" s="67">
        <f>SUM(B7:M7)</f>
        <v>0</v>
      </c>
    </row>
    <row r="8" spans="1:14" ht="11.25" customHeight="1" thickTop="1" x14ac:dyDescent="0.2">
      <c r="A8" s="68" t="s">
        <v>788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</row>
    <row r="9" spans="1:14" ht="11.25" customHeight="1" x14ac:dyDescent="0.2">
      <c r="A9" s="70" t="s">
        <v>789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</row>
    <row r="10" spans="1:14" ht="11.25" customHeight="1" x14ac:dyDescent="0.2">
      <c r="A10" s="68" t="s">
        <v>790</v>
      </c>
      <c r="B10" s="72">
        <f>GenFundREV!I7</f>
        <v>0</v>
      </c>
      <c r="C10" s="72">
        <f>CharterFundRev!I7</f>
        <v>0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2">
        <f t="shared" ref="N10:N20" si="0">SUM(B10:M10)</f>
        <v>0</v>
      </c>
    </row>
    <row r="11" spans="1:14" ht="11.25" customHeight="1" x14ac:dyDescent="0.2">
      <c r="A11" s="68" t="s">
        <v>837</v>
      </c>
      <c r="B11" s="72">
        <f>GenFundREV!I52</f>
        <v>0</v>
      </c>
      <c r="C11" s="72">
        <f>CharterFundRev!I52</f>
        <v>0</v>
      </c>
      <c r="D11" s="72">
        <f>InsResv!I11</f>
        <v>0</v>
      </c>
      <c r="E11" s="73"/>
      <c r="F11" s="73"/>
      <c r="G11" s="73"/>
      <c r="H11" s="73"/>
      <c r="I11" s="73"/>
      <c r="J11" s="73"/>
      <c r="K11" s="73"/>
      <c r="L11" s="73"/>
      <c r="M11" s="73"/>
      <c r="N11" s="72">
        <f t="shared" si="0"/>
        <v>0</v>
      </c>
    </row>
    <row r="12" spans="1:14" ht="11.25" customHeight="1" thickBot="1" x14ac:dyDescent="0.25">
      <c r="A12" s="66" t="s">
        <v>838</v>
      </c>
      <c r="B12" s="67">
        <f>GenFundREV!I8</f>
        <v>0</v>
      </c>
      <c r="C12" s="67">
        <f>CharterFundRev!I8</f>
        <v>0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2">
        <f t="shared" si="0"/>
        <v>0</v>
      </c>
    </row>
    <row r="13" spans="1:14" ht="11.25" customHeight="1" thickTop="1" x14ac:dyDescent="0.2">
      <c r="A13" s="70" t="s">
        <v>839</v>
      </c>
      <c r="B13" s="211">
        <f>GenFundREV!I46-GenFundREV!I7-GenFundREV!I8</f>
        <v>0</v>
      </c>
      <c r="C13" s="211">
        <f>CharterFundRev!I46-CharterFundRev!I7-CharterFundRev!I8</f>
        <v>0</v>
      </c>
      <c r="D13" s="211">
        <f>InsResv!I8+InsResv!I9+InsResv!I10</f>
        <v>0</v>
      </c>
      <c r="E13" s="211">
        <f>'CPP Fund'!I9</f>
        <v>0</v>
      </c>
      <c r="F13" s="211">
        <f>ARRAGrants!J65</f>
        <v>0</v>
      </c>
      <c r="G13" s="211">
        <f>SUM(FoodServiceSRF!I8:I11)</f>
        <v>0</v>
      </c>
      <c r="H13" s="211">
        <f>GovGrants!J65</f>
        <v>0</v>
      </c>
      <c r="I13" s="211">
        <f>PupActiv!I8+PupActiv!I9+PupActiv!I10+PupActiv!I11</f>
        <v>0</v>
      </c>
      <c r="J13" s="211">
        <f>SUM(Transp!I8:I15)+OthSpecRev!I9+OthSpecRev!I10+SUM(FullDayKOverride!I8:I15)</f>
        <v>0</v>
      </c>
      <c r="K13" s="211"/>
      <c r="L13" s="211">
        <f>SUM(OtherEnterprise!I9:I13)</f>
        <v>0</v>
      </c>
      <c r="M13" s="211">
        <f>SUM(RiskRelated!I9:I11)+SUM(OtherInternal!I8:I15)</f>
        <v>0</v>
      </c>
      <c r="N13" s="220">
        <f t="shared" si="0"/>
        <v>0</v>
      </c>
    </row>
    <row r="14" spans="1:14" ht="11.25" customHeight="1" x14ac:dyDescent="0.2">
      <c r="A14" s="212" t="s">
        <v>544</v>
      </c>
      <c r="B14" s="213">
        <f>GenFundREV!I49</f>
        <v>0</v>
      </c>
      <c r="C14" s="213">
        <f>CharterFundRev!I49</f>
        <v>0</v>
      </c>
      <c r="D14" s="213"/>
      <c r="E14" s="213">
        <f>'CPP Fund'!I10</f>
        <v>0</v>
      </c>
      <c r="F14" s="213"/>
      <c r="G14" s="213"/>
      <c r="H14" s="213"/>
      <c r="I14" s="213"/>
      <c r="J14" s="213"/>
      <c r="K14" s="213"/>
      <c r="L14" s="213"/>
      <c r="M14" s="213"/>
      <c r="N14" s="219">
        <f t="shared" si="0"/>
        <v>0</v>
      </c>
    </row>
    <row r="15" spans="1:14" ht="11.25" customHeight="1" x14ac:dyDescent="0.2">
      <c r="A15" s="70" t="s">
        <v>840</v>
      </c>
      <c r="B15" s="211">
        <f>GenFundREV!I77-GenFundREV!I52</f>
        <v>0</v>
      </c>
      <c r="C15" s="211">
        <f>CharterFundRev!I75-CharterFundRev!I52</f>
        <v>0</v>
      </c>
      <c r="D15" s="211"/>
      <c r="E15" s="211">
        <f>'CPP Fund'!I11</f>
        <v>0</v>
      </c>
      <c r="F15" s="211">
        <f>ARRAGrants!J23</f>
        <v>0</v>
      </c>
      <c r="G15" s="211">
        <f>SUM(FoodServiceSRF!I12:I15)</f>
        <v>0</v>
      </c>
      <c r="H15" s="211">
        <f>GovGrants!J23</f>
        <v>0</v>
      </c>
      <c r="I15" s="211">
        <f>PupActiv!I12</f>
        <v>0</v>
      </c>
      <c r="J15" s="211">
        <f>Transp!I16+OthSpecRev!I11+FullDayKOverride!I16</f>
        <v>0</v>
      </c>
      <c r="K15" s="211"/>
      <c r="L15" s="211"/>
      <c r="M15" s="211"/>
      <c r="N15" s="219">
        <f t="shared" si="0"/>
        <v>0</v>
      </c>
    </row>
    <row r="16" spans="1:14" ht="11.25" customHeight="1" x14ac:dyDescent="0.2">
      <c r="A16" s="70" t="s">
        <v>841</v>
      </c>
      <c r="B16" s="211">
        <f>GenFundREV!I93</f>
        <v>0</v>
      </c>
      <c r="C16" s="211">
        <f>CharterFundRev!I90</f>
        <v>0</v>
      </c>
      <c r="D16" s="211"/>
      <c r="E16" s="211">
        <f>'CPP Fund'!I12</f>
        <v>0</v>
      </c>
      <c r="F16" s="211">
        <f>ARRAGrants!J50</f>
        <v>0</v>
      </c>
      <c r="G16" s="211">
        <f>SUM(FoodServiceSRF!I16:I19)</f>
        <v>0</v>
      </c>
      <c r="H16" s="211">
        <f>GovGrants!J50</f>
        <v>0</v>
      </c>
      <c r="I16" s="211">
        <f>PupActiv!I13</f>
        <v>0</v>
      </c>
      <c r="J16" s="211">
        <f>OthSpecRev!I12</f>
        <v>0</v>
      </c>
      <c r="K16" s="211"/>
      <c r="L16" s="211"/>
      <c r="M16" s="211"/>
      <c r="N16" s="219">
        <f t="shared" si="0"/>
        <v>0</v>
      </c>
    </row>
    <row r="17" spans="1:14" ht="11.25" customHeight="1" thickBot="1" x14ac:dyDescent="0.25">
      <c r="A17" s="66" t="s">
        <v>842</v>
      </c>
      <c r="B17" s="67">
        <f>SUM(B8:B16)</f>
        <v>0</v>
      </c>
      <c r="C17" s="67">
        <f t="shared" ref="C17:M17" si="1">SUM(C8:C16)</f>
        <v>0</v>
      </c>
      <c r="D17" s="67">
        <f t="shared" si="1"/>
        <v>0</v>
      </c>
      <c r="E17" s="67">
        <f>SUM(E8:E16)</f>
        <v>0</v>
      </c>
      <c r="F17" s="67">
        <f>SUM(F8:F16)</f>
        <v>0</v>
      </c>
      <c r="G17" s="67">
        <f>SUM(G8:G16)</f>
        <v>0</v>
      </c>
      <c r="H17" s="67">
        <f t="shared" si="1"/>
        <v>0</v>
      </c>
      <c r="I17" s="67">
        <f t="shared" si="1"/>
        <v>0</v>
      </c>
      <c r="J17" s="67">
        <f t="shared" si="1"/>
        <v>0</v>
      </c>
      <c r="K17" s="67">
        <f t="shared" si="1"/>
        <v>0</v>
      </c>
      <c r="L17" s="67">
        <f t="shared" si="1"/>
        <v>0</v>
      </c>
      <c r="M17" s="67">
        <f t="shared" si="1"/>
        <v>0</v>
      </c>
      <c r="N17" s="221">
        <f t="shared" si="0"/>
        <v>0</v>
      </c>
    </row>
    <row r="18" spans="1:14" ht="11.25" customHeight="1" thickTop="1" x14ac:dyDescent="0.2">
      <c r="A18" s="68" t="s">
        <v>908</v>
      </c>
      <c r="B18" s="584">
        <f>GenFundREV!I96</f>
        <v>0</v>
      </c>
      <c r="C18" s="584">
        <f>CharterFundRev!I93</f>
        <v>0</v>
      </c>
      <c r="D18" s="72">
        <f>InsResv!I12</f>
        <v>0</v>
      </c>
      <c r="E18" s="72">
        <f>'CPP Fund'!I13</f>
        <v>0</v>
      </c>
      <c r="F18" s="72">
        <f>ARRAGrants!J71</f>
        <v>0</v>
      </c>
      <c r="G18" s="72">
        <f>FoodServiceSRF!I20</f>
        <v>0</v>
      </c>
      <c r="H18" s="72">
        <f>GovGrants!J71</f>
        <v>0</v>
      </c>
      <c r="I18" s="72">
        <f>PupActiv!I14</f>
        <v>0</v>
      </c>
      <c r="J18" s="72">
        <f>Transp!I17+OthSpecRev!I13+FullDayKOverride!I17</f>
        <v>0</v>
      </c>
      <c r="K18" s="72"/>
      <c r="L18" s="72">
        <f>OtherEnterprise!I14</f>
        <v>0</v>
      </c>
      <c r="M18" s="72">
        <f>RiskRelated!I12+OtherInternal!I16</f>
        <v>0</v>
      </c>
      <c r="N18" s="72">
        <f t="shared" si="0"/>
        <v>0</v>
      </c>
    </row>
    <row r="19" spans="1:14" ht="11.25" customHeight="1" x14ac:dyDescent="0.2">
      <c r="A19" s="68" t="s">
        <v>843</v>
      </c>
      <c r="B19" s="584">
        <f>SUM(GenFundREV!I97:I101)</f>
        <v>0</v>
      </c>
      <c r="C19" s="584">
        <f>CharterFundRev!I94+CharterFundRev!I95+CharterFundRev!I96</f>
        <v>0</v>
      </c>
      <c r="D19" s="72">
        <f>InsResv!I14</f>
        <v>0</v>
      </c>
      <c r="E19" s="72">
        <f>'CPP Fund'!I15</f>
        <v>0</v>
      </c>
      <c r="F19" s="72">
        <f>ARRAGrants!J86</f>
        <v>0</v>
      </c>
      <c r="G19" s="72">
        <f>FoodServiceSRF!I21</f>
        <v>0</v>
      </c>
      <c r="H19" s="72">
        <f>GovGrants!J86</f>
        <v>0</v>
      </c>
      <c r="I19" s="72">
        <f>PupActiv!I15</f>
        <v>0</v>
      </c>
      <c r="J19" s="72">
        <f>Transp!I18+OthSpecRev!I14+FullDayKOverride!I18</f>
        <v>0</v>
      </c>
      <c r="K19" s="72"/>
      <c r="L19" s="72">
        <f>OtherEnterprise!I15</f>
        <v>0</v>
      </c>
      <c r="M19" s="72">
        <f>RiskRelated!I13+OtherInternal!I17</f>
        <v>0</v>
      </c>
      <c r="N19" s="72">
        <f t="shared" si="0"/>
        <v>0</v>
      </c>
    </row>
    <row r="20" spans="1:14" ht="11.25" customHeight="1" thickBot="1" x14ac:dyDescent="0.25">
      <c r="A20" s="66" t="s">
        <v>844</v>
      </c>
      <c r="B20" s="585">
        <f>-GenFundREV!I112</f>
        <v>0</v>
      </c>
      <c r="C20" s="585">
        <f>-CharterFundRev!I107</f>
        <v>0</v>
      </c>
      <c r="D20" s="67">
        <f>InsResv!I13</f>
        <v>0</v>
      </c>
      <c r="E20" s="67">
        <f>'CPP Fund'!I14</f>
        <v>0</v>
      </c>
      <c r="F20" s="67"/>
      <c r="G20" s="67"/>
      <c r="H20" s="67"/>
      <c r="I20" s="67"/>
      <c r="J20" s="67"/>
      <c r="K20" s="67"/>
      <c r="L20" s="67"/>
      <c r="M20" s="67"/>
      <c r="N20" s="67">
        <f t="shared" si="0"/>
        <v>0</v>
      </c>
    </row>
    <row r="21" spans="1:14" ht="11.25" customHeight="1" thickTop="1" thickBot="1" x14ac:dyDescent="0.25">
      <c r="A21" s="66" t="s">
        <v>845</v>
      </c>
      <c r="B21" s="67">
        <f>SUM(B17:B20)</f>
        <v>0</v>
      </c>
      <c r="C21" s="67">
        <f t="shared" ref="C21:N21" si="2">SUM(C17:C20)</f>
        <v>0</v>
      </c>
      <c r="D21" s="67">
        <f>SUM(D17:D20)</f>
        <v>0</v>
      </c>
      <c r="E21" s="67">
        <f t="shared" si="2"/>
        <v>0</v>
      </c>
      <c r="F21" s="67">
        <f>SUM(F17:F20)</f>
        <v>0</v>
      </c>
      <c r="G21" s="67">
        <f t="shared" si="2"/>
        <v>0</v>
      </c>
      <c r="H21" s="67">
        <f t="shared" si="2"/>
        <v>0</v>
      </c>
      <c r="I21" s="67">
        <f>SUM(I17:I20)</f>
        <v>0</v>
      </c>
      <c r="J21" s="67">
        <f t="shared" si="2"/>
        <v>0</v>
      </c>
      <c r="K21" s="67">
        <f t="shared" si="2"/>
        <v>0</v>
      </c>
      <c r="L21" s="67">
        <f t="shared" si="2"/>
        <v>0</v>
      </c>
      <c r="M21" s="67">
        <f t="shared" si="2"/>
        <v>0</v>
      </c>
      <c r="N21" s="67">
        <f t="shared" si="2"/>
        <v>0</v>
      </c>
    </row>
    <row r="22" spans="1:14" ht="11.25" customHeight="1" thickTop="1" x14ac:dyDescent="0.2">
      <c r="A22" s="70" t="s">
        <v>846</v>
      </c>
      <c r="B22" s="128">
        <f>'Page 1 - FY2016-17'!$C$7</f>
        <v>0</v>
      </c>
      <c r="C22" s="128">
        <f>'Page 1 - FY2016-17'!$C$7</f>
        <v>0</v>
      </c>
      <c r="D22" s="128">
        <f>'Page 1 - FY2016-17'!$C$7</f>
        <v>0</v>
      </c>
      <c r="E22" s="128">
        <f>'Page 1 - FY2016-17'!$C$7</f>
        <v>0</v>
      </c>
      <c r="F22" s="128">
        <f>'Page 1 - FY2016-17'!$C$7</f>
        <v>0</v>
      </c>
      <c r="G22" s="128">
        <f>'Page 1 - FY2016-17'!$C$7</f>
        <v>0</v>
      </c>
      <c r="H22" s="128">
        <f>'Page 1 - FY2016-17'!$C$7</f>
        <v>0</v>
      </c>
      <c r="I22" s="128">
        <f>'Page 1 - FY2016-17'!$C$7</f>
        <v>0</v>
      </c>
      <c r="J22" s="128">
        <f>'Page 1 - FY2016-17'!$C$7</f>
        <v>0</v>
      </c>
      <c r="K22" s="128">
        <f>'Page 1 - FY2016-17'!$C$7</f>
        <v>0</v>
      </c>
      <c r="L22" s="128">
        <f>'Page 1 - FY2016-17'!$C$7</f>
        <v>0</v>
      </c>
      <c r="M22" s="128">
        <f>'Page 1 - FY2016-17'!$C$7</f>
        <v>0</v>
      </c>
      <c r="N22" s="128">
        <f>'Page 1 - FY2016-17'!$C$7</f>
        <v>0</v>
      </c>
    </row>
    <row r="23" spans="1:14" ht="11.25" customHeight="1" x14ac:dyDescent="0.2">
      <c r="A23" s="70" t="s">
        <v>847</v>
      </c>
      <c r="B23" s="77" t="e">
        <f>B21/B22</f>
        <v>#DIV/0!</v>
      </c>
      <c r="C23" s="77" t="e">
        <f>C21/C22</f>
        <v>#DIV/0!</v>
      </c>
      <c r="D23" s="77" t="e">
        <f>D21/D22</f>
        <v>#DIV/0!</v>
      </c>
      <c r="E23" s="77" t="e">
        <f t="shared" ref="E23:N23" si="3">E21/E22</f>
        <v>#DIV/0!</v>
      </c>
      <c r="F23" s="77" t="e">
        <f>F21/F22</f>
        <v>#DIV/0!</v>
      </c>
      <c r="G23" s="77" t="e">
        <f t="shared" si="3"/>
        <v>#DIV/0!</v>
      </c>
      <c r="H23" s="77" t="e">
        <f t="shared" si="3"/>
        <v>#DIV/0!</v>
      </c>
      <c r="I23" s="77" t="e">
        <f>I21/I22</f>
        <v>#DIV/0!</v>
      </c>
      <c r="J23" s="77" t="e">
        <f t="shared" si="3"/>
        <v>#DIV/0!</v>
      </c>
      <c r="K23" s="77" t="e">
        <f t="shared" si="3"/>
        <v>#DIV/0!</v>
      </c>
      <c r="L23" s="77" t="e">
        <f t="shared" si="3"/>
        <v>#DIV/0!</v>
      </c>
      <c r="M23" s="77" t="e">
        <f t="shared" si="3"/>
        <v>#DIV/0!</v>
      </c>
      <c r="N23" s="77" t="e">
        <f t="shared" si="3"/>
        <v>#DIV/0!</v>
      </c>
    </row>
    <row r="24" spans="1:14" ht="11.25" customHeight="1" x14ac:dyDescent="0.15">
      <c r="F24"/>
    </row>
  </sheetData>
  <sheetProtection password="CB03" sheet="1" objects="1" scenarios="1" formatCells="0" formatColumns="0" formatRows="0"/>
  <phoneticPr fontId="15" type="noConversion"/>
  <pageMargins left="0.5" right="0.5" top="0.75" bottom="0.75" header="0.5" footer="0.5"/>
  <pageSetup paperSize="5" firstPageNumber="57" fitToWidth="2" orientation="landscape" r:id="rId1"/>
  <headerFooter alignWithMargins="0">
    <oddFooter>&amp;LCDE, Public Scool Finance Unit&amp;C&amp;P&amp;R&amp;D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N27"/>
  <sheetViews>
    <sheetView zoomScaleNormal="100" workbookViewId="0">
      <selection activeCell="C18" sqref="C18"/>
    </sheetView>
  </sheetViews>
  <sheetFormatPr defaultColWidth="12" defaultRowHeight="10.5" x14ac:dyDescent="0.15"/>
  <cols>
    <col min="1" max="1" width="31.6640625" customWidth="1"/>
    <col min="2" max="5" width="17.83203125" customWidth="1"/>
    <col min="6" max="6" width="17.83203125" style="283" hidden="1" customWidth="1"/>
    <col min="7" max="14" width="17.83203125" customWidth="1"/>
  </cols>
  <sheetData>
    <row r="1" spans="1:14" x14ac:dyDescent="0.15">
      <c r="A1">
        <f>+'Page 1 - FY2016-17'!B5</f>
        <v>0</v>
      </c>
      <c r="B1" s="17"/>
      <c r="C1" s="17"/>
      <c r="D1" s="17"/>
      <c r="E1" s="17"/>
      <c r="F1" s="367"/>
      <c r="G1" s="17"/>
      <c r="H1" s="17"/>
      <c r="I1" s="17"/>
      <c r="J1" s="17"/>
      <c r="K1" s="17"/>
      <c r="L1" s="17"/>
      <c r="M1" s="17"/>
      <c r="N1" s="12"/>
    </row>
    <row r="2" spans="1:14" ht="15.75" x14ac:dyDescent="0.25">
      <c r="A2" s="62" t="s">
        <v>848</v>
      </c>
      <c r="B2" s="17"/>
      <c r="C2" s="17"/>
      <c r="D2" s="17"/>
      <c r="E2" s="17"/>
      <c r="F2" s="367"/>
      <c r="G2" s="17"/>
      <c r="H2" s="17"/>
      <c r="I2" s="17"/>
      <c r="J2" s="17"/>
      <c r="K2" s="17"/>
      <c r="L2" s="17"/>
      <c r="M2" s="17"/>
      <c r="N2" s="17"/>
    </row>
    <row r="3" spans="1:14" ht="15.75" x14ac:dyDescent="0.25">
      <c r="B3" s="16"/>
      <c r="C3" s="16"/>
      <c r="D3" s="16"/>
      <c r="E3" s="16"/>
      <c r="F3" s="368"/>
      <c r="G3" s="16"/>
      <c r="H3" s="16"/>
      <c r="I3" s="16"/>
      <c r="J3" s="16"/>
      <c r="K3" s="16"/>
      <c r="L3" s="16"/>
      <c r="M3" s="16"/>
      <c r="N3" s="16"/>
    </row>
    <row r="4" spans="1:14" ht="15.75" x14ac:dyDescent="0.25">
      <c r="B4" s="16"/>
      <c r="C4" s="16"/>
      <c r="D4" s="16"/>
      <c r="E4" s="16"/>
      <c r="F4" s="368"/>
      <c r="G4" s="16"/>
      <c r="H4" s="16"/>
      <c r="I4" s="16"/>
      <c r="J4" s="16"/>
      <c r="K4" s="16"/>
      <c r="L4" s="16"/>
      <c r="M4" s="16"/>
      <c r="N4" s="16"/>
    </row>
    <row r="5" spans="1:14" ht="11.25" x14ac:dyDescent="0.2">
      <c r="A5" s="26"/>
      <c r="B5" s="29"/>
      <c r="C5" s="379" t="s">
        <v>936</v>
      </c>
      <c r="D5" s="78" t="s">
        <v>849</v>
      </c>
      <c r="E5" s="78" t="s">
        <v>256</v>
      </c>
      <c r="F5" s="78" t="s">
        <v>935</v>
      </c>
      <c r="G5" s="78" t="s">
        <v>1569</v>
      </c>
      <c r="H5" s="78" t="s">
        <v>752</v>
      </c>
      <c r="I5" s="78" t="s">
        <v>753</v>
      </c>
      <c r="J5" s="549" t="s">
        <v>755</v>
      </c>
      <c r="K5" s="78" t="s">
        <v>1566</v>
      </c>
      <c r="L5" s="78" t="s">
        <v>757</v>
      </c>
      <c r="M5" s="78" t="s">
        <v>758</v>
      </c>
      <c r="N5" s="78" t="s">
        <v>606</v>
      </c>
    </row>
    <row r="6" spans="1:14" ht="11.25" x14ac:dyDescent="0.2">
      <c r="A6" s="64" t="s">
        <v>608</v>
      </c>
      <c r="B6" s="79" t="s">
        <v>759</v>
      </c>
      <c r="C6" s="79" t="s">
        <v>257</v>
      </c>
      <c r="D6" s="79" t="s">
        <v>760</v>
      </c>
      <c r="E6" s="79" t="s">
        <v>257</v>
      </c>
      <c r="F6" s="79" t="s">
        <v>781</v>
      </c>
      <c r="G6" s="79" t="s">
        <v>784</v>
      </c>
      <c r="H6" s="79" t="s">
        <v>781</v>
      </c>
      <c r="I6" s="79" t="s">
        <v>782</v>
      </c>
      <c r="J6" s="550" t="s">
        <v>783</v>
      </c>
      <c r="K6" s="79" t="s">
        <v>1567</v>
      </c>
      <c r="L6" s="79" t="s">
        <v>785</v>
      </c>
      <c r="M6" s="79" t="s">
        <v>784</v>
      </c>
      <c r="N6" s="79" t="s">
        <v>609</v>
      </c>
    </row>
    <row r="7" spans="1:14" ht="12" thickBot="1" x14ac:dyDescent="0.25">
      <c r="A7" s="28"/>
      <c r="B7" s="65" t="s">
        <v>786</v>
      </c>
      <c r="C7" s="65" t="s">
        <v>786</v>
      </c>
      <c r="D7" s="65" t="s">
        <v>786</v>
      </c>
      <c r="E7" s="65" t="s">
        <v>786</v>
      </c>
      <c r="F7" s="66" t="s">
        <v>1321</v>
      </c>
      <c r="G7" s="65" t="s">
        <v>786</v>
      </c>
      <c r="H7" s="66" t="s">
        <v>1321</v>
      </c>
      <c r="I7" s="65" t="s">
        <v>786</v>
      </c>
      <c r="J7" s="551" t="s">
        <v>787</v>
      </c>
      <c r="K7" s="65" t="s">
        <v>1568</v>
      </c>
      <c r="L7" s="65" t="s">
        <v>787</v>
      </c>
      <c r="M7" s="65" t="s">
        <v>787</v>
      </c>
      <c r="N7" s="65" t="s">
        <v>611</v>
      </c>
    </row>
    <row r="8" spans="1:14" ht="12" thickTop="1" x14ac:dyDescent="0.2">
      <c r="A8" s="68" t="s">
        <v>850</v>
      </c>
      <c r="B8" s="72">
        <f>GenFundExp!I1074</f>
        <v>0</v>
      </c>
      <c r="C8" s="72">
        <f>CharterFundExp!I1074</f>
        <v>0</v>
      </c>
      <c r="D8" s="72"/>
      <c r="E8" s="72">
        <f>'CPP Fund'!I60</f>
        <v>0</v>
      </c>
      <c r="F8" s="72"/>
      <c r="G8" s="72"/>
      <c r="H8" s="72"/>
      <c r="I8" s="72">
        <f>PupActiv!I40</f>
        <v>0</v>
      </c>
      <c r="J8" s="72">
        <f>OthSpecRev!I35+FullDayKOverride!I37</f>
        <v>0</v>
      </c>
      <c r="K8" s="72"/>
      <c r="L8" s="72"/>
      <c r="M8" s="72"/>
      <c r="N8" s="72">
        <f>SUM(B8:M8)</f>
        <v>0</v>
      </c>
    </row>
    <row r="9" spans="1:14" ht="11.25" x14ac:dyDescent="0.2">
      <c r="A9" s="68" t="s">
        <v>851</v>
      </c>
      <c r="B9" s="72">
        <f>GenFundExp2!I44+GenFundExp2!I81+GenFundExp2!I118</f>
        <v>0</v>
      </c>
      <c r="C9" s="72">
        <f>CharterFundExp2!I44+CharterFundExp2!I81+CharterFundExp2!I118</f>
        <v>0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>
        <f>SUM(B9:M9)</f>
        <v>0</v>
      </c>
    </row>
    <row r="10" spans="1:14" ht="12" thickBot="1" x14ac:dyDescent="0.25">
      <c r="A10" s="66" t="s">
        <v>852</v>
      </c>
      <c r="B10" s="67">
        <f>GenFundExp2!I249</f>
        <v>0</v>
      </c>
      <c r="C10" s="67">
        <f>CharterFundExp2!I249</f>
        <v>0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>
        <f>SUM(B10:M10)</f>
        <v>0</v>
      </c>
    </row>
    <row r="11" spans="1:14" ht="12.75" thickTop="1" thickBot="1" x14ac:dyDescent="0.25">
      <c r="A11" s="66" t="s">
        <v>853</v>
      </c>
      <c r="B11" s="67">
        <f>SUM(B8:B10)</f>
        <v>0</v>
      </c>
      <c r="C11" s="67">
        <f t="shared" ref="C11:L11" si="0">SUM(C8:C10)</f>
        <v>0</v>
      </c>
      <c r="D11" s="67">
        <f>SUM(D8:D10)</f>
        <v>0</v>
      </c>
      <c r="E11" s="67">
        <f t="shared" si="0"/>
        <v>0</v>
      </c>
      <c r="F11" s="67">
        <f>SUM(F8:F10)</f>
        <v>0</v>
      </c>
      <c r="G11" s="67">
        <f t="shared" si="0"/>
        <v>0</v>
      </c>
      <c r="H11" s="67">
        <f>SUM(H8:H10)</f>
        <v>0</v>
      </c>
      <c r="I11" s="67">
        <f>SUM(I8:I10)</f>
        <v>0</v>
      </c>
      <c r="J11" s="67">
        <f>SUM(J8:J10)</f>
        <v>0</v>
      </c>
      <c r="K11" s="67">
        <f t="shared" si="0"/>
        <v>0</v>
      </c>
      <c r="L11" s="67">
        <f t="shared" si="0"/>
        <v>0</v>
      </c>
      <c r="M11" s="67">
        <f>SUM(M8:M10)</f>
        <v>0</v>
      </c>
      <c r="N11" s="67">
        <f>SUM(N8:N10)</f>
        <v>0</v>
      </c>
    </row>
    <row r="12" spans="1:14" ht="12" thickTop="1" x14ac:dyDescent="0.2">
      <c r="A12" s="81" t="s">
        <v>854</v>
      </c>
      <c r="B12" s="75"/>
      <c r="C12" s="75"/>
      <c r="D12" s="75"/>
      <c r="E12" s="211">
        <f>'CPP Fund'!I113</f>
        <v>0</v>
      </c>
      <c r="F12" s="75"/>
      <c r="G12" s="211"/>
      <c r="H12" s="75"/>
      <c r="I12" s="211">
        <f>PupActiv!I53</f>
        <v>0</v>
      </c>
      <c r="J12" s="75"/>
      <c r="K12" s="75"/>
      <c r="L12" s="75"/>
      <c r="M12" s="211">
        <f>RiskRelated!I35+OtherInternal!I39</f>
        <v>0</v>
      </c>
      <c r="N12" s="211">
        <f t="shared" ref="N12:N17" si="1">SUM(B12:M12)</f>
        <v>0</v>
      </c>
    </row>
    <row r="13" spans="1:14" ht="11.25" x14ac:dyDescent="0.2">
      <c r="A13" s="68" t="s">
        <v>855</v>
      </c>
      <c r="B13" s="72">
        <f>GenFundExp2!I149+GenFundExp2!I180+GenFundExp2!I211</f>
        <v>0</v>
      </c>
      <c r="C13" s="72">
        <f>CharterFundExp2!I149+CharterFundExp2!I180+CharterFundExp2!I211</f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>
        <f t="shared" si="1"/>
        <v>0</v>
      </c>
    </row>
    <row r="14" spans="1:14" ht="11.25" x14ac:dyDescent="0.2">
      <c r="A14" s="68" t="s">
        <v>856</v>
      </c>
      <c r="B14" s="72">
        <f>GenFundExp2!I343</f>
        <v>0</v>
      </c>
      <c r="C14" s="72">
        <f>CharterFundExp2!I343</f>
        <v>0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>
        <f t="shared" si="1"/>
        <v>0</v>
      </c>
    </row>
    <row r="15" spans="1:14" ht="11.25" x14ac:dyDescent="0.2">
      <c r="A15" s="68" t="s">
        <v>857</v>
      </c>
      <c r="B15" s="72">
        <f>GenFundExp2!I382</f>
        <v>0</v>
      </c>
      <c r="C15" s="72">
        <f>CharterFundExp2!I382</f>
        <v>0</v>
      </c>
      <c r="D15" s="72"/>
      <c r="E15" s="72"/>
      <c r="F15" s="72"/>
      <c r="G15" s="72"/>
      <c r="H15" s="72"/>
      <c r="I15" s="72"/>
      <c r="J15" s="72">
        <f>Transp!I38</f>
        <v>0</v>
      </c>
      <c r="K15" s="72"/>
      <c r="L15" s="72"/>
      <c r="M15" s="72"/>
      <c r="N15" s="72">
        <f t="shared" si="1"/>
        <v>0</v>
      </c>
    </row>
    <row r="16" spans="1:14" ht="11.25" x14ac:dyDescent="0.2">
      <c r="A16" s="68" t="s">
        <v>858</v>
      </c>
      <c r="B16" s="72">
        <f>GenFundExp2!I505</f>
        <v>0</v>
      </c>
      <c r="C16" s="72">
        <f>CharterFundExp2!I505</f>
        <v>0</v>
      </c>
      <c r="D16" s="72"/>
      <c r="E16" s="72"/>
      <c r="F16" s="72"/>
      <c r="G16" s="72">
        <f>FoodServiceSRF!I50</f>
        <v>0</v>
      </c>
      <c r="H16" s="72"/>
      <c r="I16" s="72"/>
      <c r="J16" s="72"/>
      <c r="K16" s="72"/>
      <c r="L16" s="72"/>
      <c r="M16" s="72"/>
      <c r="N16" s="72">
        <f t="shared" si="1"/>
        <v>0</v>
      </c>
    </row>
    <row r="17" spans="1:14" ht="12" thickBot="1" x14ac:dyDescent="0.25">
      <c r="A17" s="66" t="s">
        <v>859</v>
      </c>
      <c r="B17" s="67">
        <f>GenFundExp2!I280+GenFundExp2!I311+GenFundExp2!I413+GenFundExp2!I444+GenFundExp2!I474+GenFundExp2!I528+GenFundExp2!I646+GenFundExp2!I551</f>
        <v>0</v>
      </c>
      <c r="C17" s="67">
        <f>CharterFundExp2!I280+CharterFundExp2!I311+CharterFundExp2!I413+CharterFundExp2!I444+CharterFundExp2!I474+CharterFundExp2!I528+CharterFundExp2!I646+CharterFundExp2!I551</f>
        <v>0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>
        <f t="shared" si="1"/>
        <v>0</v>
      </c>
    </row>
    <row r="18" spans="1:14" ht="12.75" thickTop="1" thickBot="1" x14ac:dyDescent="0.25">
      <c r="A18" s="66" t="s">
        <v>860</v>
      </c>
      <c r="B18" s="67">
        <f>SUM(B12:B17)</f>
        <v>0</v>
      </c>
      <c r="C18" s="67">
        <f>SUM(C12:C17)</f>
        <v>0</v>
      </c>
      <c r="D18" s="67">
        <f>SUM(D12:D17)</f>
        <v>0</v>
      </c>
      <c r="E18" s="67">
        <f t="shared" ref="E18:M18" si="2">SUM(E12:E17)</f>
        <v>0</v>
      </c>
      <c r="F18" s="67">
        <f>SUM(F12:F17)</f>
        <v>0</v>
      </c>
      <c r="G18" s="67">
        <f t="shared" si="2"/>
        <v>0</v>
      </c>
      <c r="H18" s="67">
        <f t="shared" si="2"/>
        <v>0</v>
      </c>
      <c r="I18" s="67">
        <f t="shared" si="2"/>
        <v>0</v>
      </c>
      <c r="J18" s="67">
        <f t="shared" si="2"/>
        <v>0</v>
      </c>
      <c r="K18" s="67">
        <f t="shared" si="2"/>
        <v>0</v>
      </c>
      <c r="L18" s="67">
        <f t="shared" si="2"/>
        <v>0</v>
      </c>
      <c r="M18" s="67">
        <f t="shared" si="2"/>
        <v>0</v>
      </c>
      <c r="N18" s="67">
        <f>SUM(N12:N17)</f>
        <v>0</v>
      </c>
    </row>
    <row r="19" spans="1:14" ht="12" thickTop="1" x14ac:dyDescent="0.2">
      <c r="A19" s="68" t="s">
        <v>861</v>
      </c>
      <c r="B19" s="72">
        <f>GenFundExp2!I582+GenFundExp2!I613</f>
        <v>0</v>
      </c>
      <c r="C19" s="72">
        <f>CharterFundExp2!I582+CharterFundExp2!I613</f>
        <v>0</v>
      </c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>
        <f>SUM(B19:M19)</f>
        <v>0</v>
      </c>
    </row>
    <row r="20" spans="1:14" ht="11.25" x14ac:dyDescent="0.2">
      <c r="A20" s="68" t="s">
        <v>862</v>
      </c>
      <c r="B20" s="72">
        <f>GenFundExp2!I655+GenFundExp2!I656</f>
        <v>0</v>
      </c>
      <c r="C20" s="72">
        <f>CharterFundExp2!I655+CharterFundExp2!I656</f>
        <v>0</v>
      </c>
      <c r="D20" s="72"/>
      <c r="E20" s="72"/>
      <c r="F20" s="72"/>
      <c r="G20" s="72"/>
      <c r="H20" s="72"/>
      <c r="I20" s="72"/>
      <c r="J20" s="72">
        <f>OthSpecRev!I55</f>
        <v>0</v>
      </c>
      <c r="K20" s="72"/>
      <c r="L20" s="72"/>
      <c r="M20" s="72"/>
      <c r="N20" s="72">
        <f>SUM(B20:M20)</f>
        <v>0</v>
      </c>
    </row>
    <row r="21" spans="1:14" ht="12" thickBot="1" x14ac:dyDescent="0.25">
      <c r="A21" s="66" t="s">
        <v>863</v>
      </c>
      <c r="B21" s="72">
        <f>GenFundExp2!I653+GenFundExp2!I658</f>
        <v>0</v>
      </c>
      <c r="C21" s="72">
        <f>CharterFundExp2!I653+CharterFundExp2!I658</f>
        <v>0</v>
      </c>
      <c r="D21" s="67">
        <f>InsResv!I39</f>
        <v>0</v>
      </c>
      <c r="E21" s="67">
        <f>+'CPP Fund'!I115+'CPP Fund'!I116</f>
        <v>0</v>
      </c>
      <c r="F21" s="67"/>
      <c r="G21" s="67"/>
      <c r="H21" s="67"/>
      <c r="I21" s="67"/>
      <c r="J21" s="72">
        <f>OthSpecRev!I47</f>
        <v>0</v>
      </c>
      <c r="K21" s="67"/>
      <c r="L21" s="67">
        <f>OtherEnterprise!I37</f>
        <v>0</v>
      </c>
      <c r="M21" s="67"/>
      <c r="N21" s="67">
        <f>SUM(B21:M21)</f>
        <v>0</v>
      </c>
    </row>
    <row r="22" spans="1:14" ht="12.75" thickTop="1" thickBot="1" x14ac:dyDescent="0.25">
      <c r="A22" s="83" t="s">
        <v>864</v>
      </c>
      <c r="B22" s="84">
        <f t="shared" ref="B22:L22" si="3">SUM(B18:B21)+B11</f>
        <v>0</v>
      </c>
      <c r="C22" s="84">
        <f t="shared" si="3"/>
        <v>0</v>
      </c>
      <c r="D22" s="84">
        <f>SUM(D18:D21)+D11</f>
        <v>0</v>
      </c>
      <c r="E22" s="84">
        <f t="shared" si="3"/>
        <v>0</v>
      </c>
      <c r="F22" s="84">
        <f>ARRAGrants!J170</f>
        <v>0</v>
      </c>
      <c r="G22" s="84">
        <f t="shared" si="3"/>
        <v>0</v>
      </c>
      <c r="H22" s="84">
        <f>GovGrants!J170</f>
        <v>0</v>
      </c>
      <c r="I22" s="84">
        <f>SUM(I18:I21)+I11</f>
        <v>0</v>
      </c>
      <c r="J22" s="84">
        <f>SUM(J18:J21)+J11</f>
        <v>0</v>
      </c>
      <c r="K22" s="84">
        <f t="shared" si="3"/>
        <v>0</v>
      </c>
      <c r="L22" s="84">
        <f t="shared" si="3"/>
        <v>0</v>
      </c>
      <c r="M22" s="84">
        <f>SUM(M18:M21)+M11</f>
        <v>0</v>
      </c>
      <c r="N22" s="84">
        <f>SUM(B22:M22)</f>
        <v>0</v>
      </c>
    </row>
    <row r="23" spans="1:14" ht="12" thickTop="1" x14ac:dyDescent="0.2">
      <c r="A23" s="68" t="s">
        <v>846</v>
      </c>
      <c r="B23" s="76">
        <f>'Page 1 - FY2016-17'!$C7</f>
        <v>0</v>
      </c>
      <c r="C23" s="76">
        <f>'Page 1 - FY2016-17'!$C7</f>
        <v>0</v>
      </c>
      <c r="D23" s="76">
        <f>'Page 1 - FY2016-17'!$C7</f>
        <v>0</v>
      </c>
      <c r="E23" s="76">
        <f>'Page 1 - FY2016-17'!$C7</f>
        <v>0</v>
      </c>
      <c r="F23" s="76">
        <f>'Page 1 - FY2016-17'!$C7</f>
        <v>0</v>
      </c>
      <c r="G23" s="76">
        <f>'Page 1 - FY2016-17'!$C7</f>
        <v>0</v>
      </c>
      <c r="H23" s="76">
        <f>'Page 1 - FY2016-17'!$C7</f>
        <v>0</v>
      </c>
      <c r="I23" s="76">
        <f>'Page 1 - FY2016-17'!$C7</f>
        <v>0</v>
      </c>
      <c r="J23" s="76">
        <f>'Page 1 - FY2016-17'!$C7</f>
        <v>0</v>
      </c>
      <c r="K23" s="76">
        <f>'Page 1 - FY2016-17'!$C7</f>
        <v>0</v>
      </c>
      <c r="L23" s="76">
        <f>'Page 1 - FY2016-17'!$C7</f>
        <v>0</v>
      </c>
      <c r="M23" s="76">
        <f>'Page 1 - FY2016-17'!$C7</f>
        <v>0</v>
      </c>
      <c r="N23" s="76">
        <f>'Page 1 - FY2016-17'!$C7</f>
        <v>0</v>
      </c>
    </row>
    <row r="24" spans="1:14" ht="12" thickBot="1" x14ac:dyDescent="0.25">
      <c r="A24" s="68" t="s">
        <v>865</v>
      </c>
      <c r="B24" s="72" t="e">
        <f t="shared" ref="B24:L24" si="4">B22/B23</f>
        <v>#DIV/0!</v>
      </c>
      <c r="C24" s="72" t="e">
        <f t="shared" si="4"/>
        <v>#DIV/0!</v>
      </c>
      <c r="D24" s="72" t="e">
        <f>D22/D23</f>
        <v>#DIV/0!</v>
      </c>
      <c r="E24" s="72" t="e">
        <f t="shared" si="4"/>
        <v>#DIV/0!</v>
      </c>
      <c r="F24" s="72" t="e">
        <f>F22/F23</f>
        <v>#DIV/0!</v>
      </c>
      <c r="G24" s="72" t="e">
        <f t="shared" si="4"/>
        <v>#DIV/0!</v>
      </c>
      <c r="H24" s="72" t="e">
        <f>H22/H23</f>
        <v>#DIV/0!</v>
      </c>
      <c r="I24" s="72" t="e">
        <f>I22/I23</f>
        <v>#DIV/0!</v>
      </c>
      <c r="J24" s="72" t="e">
        <f>J22/J23</f>
        <v>#DIV/0!</v>
      </c>
      <c r="K24" s="72" t="e">
        <f>K22/K23</f>
        <v>#DIV/0!</v>
      </c>
      <c r="L24" s="72" t="e">
        <f t="shared" si="4"/>
        <v>#DIV/0!</v>
      </c>
      <c r="M24" s="72" t="e">
        <f>M22/M23</f>
        <v>#DIV/0!</v>
      </c>
      <c r="N24" s="72" t="e">
        <f>N22/N23</f>
        <v>#DIV/0!</v>
      </c>
    </row>
    <row r="25" spans="1:14" ht="12" thickTop="1" x14ac:dyDescent="0.2">
      <c r="A25" s="85" t="s">
        <v>622</v>
      </c>
      <c r="B25" s="86">
        <f>GenFundExp2!I665</f>
        <v>0</v>
      </c>
      <c r="C25" s="86">
        <f>CharterFundExp2!I665</f>
        <v>0</v>
      </c>
      <c r="D25" s="86">
        <f>InsResv!I43</f>
        <v>0</v>
      </c>
      <c r="E25" s="86">
        <f>'CPP Fund'!I123</f>
        <v>0</v>
      </c>
      <c r="F25" s="86">
        <f>ARRAGrants!J175</f>
        <v>0</v>
      </c>
      <c r="G25" s="86">
        <f>FoodServiceSRF!I76</f>
        <v>0</v>
      </c>
      <c r="H25" s="86">
        <f>GovGrants!J175</f>
        <v>0</v>
      </c>
      <c r="I25" s="86">
        <f>PupActiv!I59</f>
        <v>0</v>
      </c>
      <c r="J25" s="86">
        <f>Transp!I42+OthSpecRev!I61+FullDayKOverride!I41</f>
        <v>0</v>
      </c>
      <c r="K25" s="86"/>
      <c r="L25" s="86">
        <f>OtherEnterprise!I41</f>
        <v>0</v>
      </c>
      <c r="M25" s="86">
        <f>RiskRelated!I39+OtherInternal!I43</f>
        <v>0</v>
      </c>
      <c r="N25" s="86">
        <f>SUM(B25:M25)</f>
        <v>0</v>
      </c>
    </row>
    <row r="26" spans="1:14" ht="12" thickBot="1" x14ac:dyDescent="0.25">
      <c r="A26" s="68" t="s">
        <v>545</v>
      </c>
      <c r="B26" s="72">
        <f>GenFundExp2!I670-GenFundExp2!I665</f>
        <v>0</v>
      </c>
      <c r="C26" s="72">
        <f>CharterFundExp2!I669-CharterFundExp2!I665</f>
        <v>0</v>
      </c>
      <c r="D26" s="72">
        <f>InsResv!I47-InsResv!I43</f>
        <v>0</v>
      </c>
      <c r="E26" s="72">
        <f>'CPP Fund'!I127-'CPP Fund'!I123</f>
        <v>0</v>
      </c>
      <c r="F26" s="72">
        <f>ARRAGrants!J179-ARRAGrants!J175</f>
        <v>0</v>
      </c>
      <c r="G26" s="72">
        <f>FoodServiceSRF!I80-FoodServiceSRF!I76</f>
        <v>0</v>
      </c>
      <c r="H26" s="72">
        <f>GovGrants!J179-GovGrants!J175</f>
        <v>0</v>
      </c>
      <c r="I26" s="72">
        <f>PupActiv!I63-PupActiv!I59</f>
        <v>0</v>
      </c>
      <c r="J26" s="72">
        <f>Transp!I46-Transp!I42+OthSpecRev!I65-OthSpecRev!I61+FullDayKOverride!I45-FullDayKOverride!I41</f>
        <v>0</v>
      </c>
      <c r="K26" s="72"/>
      <c r="L26" s="72">
        <f>OtherEnterprise!I45-OtherEnterprise!I41</f>
        <v>0</v>
      </c>
      <c r="M26" s="72">
        <f>RiskRelated!I43-RiskRelated!I39+OtherInternal!I47-OtherInternal!I43</f>
        <v>0</v>
      </c>
      <c r="N26" s="72">
        <f>SUM(B26:M26)</f>
        <v>0</v>
      </c>
    </row>
    <row r="27" spans="1:14" ht="12" thickTop="1" x14ac:dyDescent="0.2">
      <c r="A27" s="81" t="s">
        <v>747</v>
      </c>
      <c r="B27" s="87">
        <f>GenFundExp2!I676</f>
        <v>0</v>
      </c>
      <c r="C27" s="87">
        <f>CharterFundExp2!I675</f>
        <v>0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>
        <f>SUM(B27:M27)</f>
        <v>0</v>
      </c>
    </row>
  </sheetData>
  <sheetProtection password="CB03" sheet="1" objects="1" scenarios="1" formatCells="0" formatColumns="0" formatRows="0"/>
  <phoneticPr fontId="15" type="noConversion"/>
  <pageMargins left="0.5" right="0.5" top="0.75" bottom="0.75" header="0.5" footer="0.5"/>
  <pageSetup paperSize="5" firstPageNumber="58" fitToWidth="2" orientation="landscape" r:id="rId1"/>
  <headerFooter alignWithMargins="0">
    <oddFooter>&amp;LCDE, Public Scool Finance Unit&amp;C&amp;P&amp;R&amp;D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H20"/>
  <sheetViews>
    <sheetView workbookViewId="0">
      <selection activeCell="A3" sqref="A3"/>
    </sheetView>
  </sheetViews>
  <sheetFormatPr defaultColWidth="12" defaultRowHeight="10.5" x14ac:dyDescent="0.15"/>
  <cols>
    <col min="1" max="1" width="30.6640625" customWidth="1"/>
    <col min="2" max="7" width="17.83203125" customWidth="1"/>
    <col min="8" max="8" width="15.33203125" bestFit="1" customWidth="1"/>
  </cols>
  <sheetData>
    <row r="1" spans="1:8" x14ac:dyDescent="0.15">
      <c r="A1">
        <f>+'Page 1 - FY2016-17'!B5</f>
        <v>0</v>
      </c>
      <c r="B1" s="17"/>
      <c r="C1" s="17"/>
      <c r="D1" s="17"/>
      <c r="E1" s="17"/>
      <c r="F1" s="17"/>
      <c r="G1" s="12"/>
    </row>
    <row r="2" spans="1:8" ht="15.75" x14ac:dyDescent="0.25">
      <c r="A2" s="62" t="s">
        <v>866</v>
      </c>
      <c r="B2" s="17"/>
      <c r="C2" s="17"/>
      <c r="D2" s="17"/>
      <c r="E2" s="17"/>
      <c r="F2" s="17"/>
      <c r="G2" s="17"/>
    </row>
    <row r="4" spans="1:8" ht="11.25" x14ac:dyDescent="0.2">
      <c r="A4" s="26"/>
      <c r="B4" s="63"/>
      <c r="C4" s="63"/>
      <c r="D4" s="126" t="s">
        <v>751</v>
      </c>
      <c r="E4" s="63" t="s">
        <v>755</v>
      </c>
      <c r="F4" s="63"/>
      <c r="G4" s="89"/>
      <c r="H4" s="63"/>
    </row>
    <row r="5" spans="1:8" ht="11.25" x14ac:dyDescent="0.2">
      <c r="A5" s="64" t="s">
        <v>608</v>
      </c>
      <c r="B5" s="64" t="s">
        <v>867</v>
      </c>
      <c r="C5" s="64" t="s">
        <v>1055</v>
      </c>
      <c r="D5" s="64" t="s">
        <v>870</v>
      </c>
      <c r="E5" s="117" t="s">
        <v>871</v>
      </c>
      <c r="F5" s="64" t="s">
        <v>868</v>
      </c>
      <c r="G5" s="64" t="s">
        <v>680</v>
      </c>
      <c r="H5" s="64" t="s">
        <v>606</v>
      </c>
    </row>
    <row r="6" spans="1:8" ht="11.25" x14ac:dyDescent="0.2">
      <c r="A6" s="64"/>
      <c r="B6" s="64" t="s">
        <v>869</v>
      </c>
      <c r="C6" s="64" t="s">
        <v>1577</v>
      </c>
      <c r="D6" s="64" t="s">
        <v>873</v>
      </c>
      <c r="E6" s="64" t="s">
        <v>874</v>
      </c>
      <c r="F6" s="64" t="s">
        <v>872</v>
      </c>
      <c r="G6" s="64" t="s">
        <v>681</v>
      </c>
      <c r="H6" s="64" t="s">
        <v>611</v>
      </c>
    </row>
    <row r="7" spans="1:8" ht="12" thickBot="1" x14ac:dyDescent="0.25">
      <c r="A7" s="28"/>
      <c r="B7" s="65" t="s">
        <v>786</v>
      </c>
      <c r="C7" s="65" t="s">
        <v>786</v>
      </c>
      <c r="D7" s="65" t="s">
        <v>786</v>
      </c>
      <c r="E7" s="65" t="s">
        <v>786</v>
      </c>
      <c r="F7" s="65" t="s">
        <v>787</v>
      </c>
      <c r="G7" s="65" t="s">
        <v>682</v>
      </c>
      <c r="H7" s="65" t="s">
        <v>875</v>
      </c>
    </row>
    <row r="8" spans="1:8" ht="12.75" thickTop="1" thickBot="1" x14ac:dyDescent="0.25">
      <c r="A8" s="66" t="s">
        <v>617</v>
      </c>
      <c r="B8" s="67">
        <f>BondRedm!I6</f>
        <v>0</v>
      </c>
      <c r="C8" s="67">
        <f>COPDebt!I6</f>
        <v>0</v>
      </c>
      <c r="D8" s="67">
        <f>CapResCapPrj!I6+BuildFund!I6</f>
        <v>0</v>
      </c>
      <c r="E8" s="67">
        <f>SpecBuild!I6</f>
        <v>0</v>
      </c>
      <c r="F8" s="67">
        <f>PupilActAgency!I6+'Trust&amp;Agency'!I6</f>
        <v>0</v>
      </c>
      <c r="G8" s="67">
        <f>Arbitrage!I12+'Foundation Fund'!I6</f>
        <v>0</v>
      </c>
      <c r="H8" s="67">
        <f>SUM(B8:G8)</f>
        <v>0</v>
      </c>
    </row>
    <row r="9" spans="1:8" ht="12" thickTop="1" x14ac:dyDescent="0.2">
      <c r="A9" s="68" t="s">
        <v>788</v>
      </c>
      <c r="B9" s="69"/>
      <c r="C9" s="69"/>
      <c r="D9" s="69"/>
      <c r="E9" s="69"/>
      <c r="F9" s="69"/>
      <c r="G9" s="69"/>
      <c r="H9" s="69"/>
    </row>
    <row r="10" spans="1:8" ht="11.25" x14ac:dyDescent="0.2">
      <c r="A10" s="70" t="s">
        <v>839</v>
      </c>
      <c r="B10" s="211">
        <f>SUM(BondRedm!I8:I14)</f>
        <v>0</v>
      </c>
      <c r="C10" s="211">
        <f>SUM(COPDebt!I8:I14)</f>
        <v>0</v>
      </c>
      <c r="D10" s="211">
        <f>SUM(BuildFund!I8:I9)+SUM(CapResCapPrj!I8:I12)</f>
        <v>0</v>
      </c>
      <c r="E10" s="211">
        <f>SUM(SpecBuild!I8:I11)</f>
        <v>0</v>
      </c>
      <c r="F10" s="211">
        <f>SUM(PupilActAgency!I8:I10)+'Trust&amp;Agency'!I9</f>
        <v>0</v>
      </c>
      <c r="G10" s="211">
        <f>SUM(Arbitrage!G15:G17)+'Foundation Fund'!I9</f>
        <v>0</v>
      </c>
      <c r="H10" s="213">
        <f>SUM(B10:G10)</f>
        <v>0</v>
      </c>
    </row>
    <row r="11" spans="1:8" ht="11.25" x14ac:dyDescent="0.2">
      <c r="A11" s="212" t="s">
        <v>544</v>
      </c>
      <c r="B11" s="213">
        <f>BondRedm!I15</f>
        <v>0</v>
      </c>
      <c r="C11" s="213">
        <f>COPDebt!I15</f>
        <v>0</v>
      </c>
      <c r="D11" s="213">
        <f>+CapResCapPrj!I13</f>
        <v>0</v>
      </c>
      <c r="E11" s="213"/>
      <c r="F11" s="213"/>
      <c r="G11" s="213"/>
      <c r="H11" s="213">
        <f>SUM(B11:G11)</f>
        <v>0</v>
      </c>
    </row>
    <row r="12" spans="1:8" ht="11.25" x14ac:dyDescent="0.2">
      <c r="A12" s="214" t="s">
        <v>840</v>
      </c>
      <c r="B12" s="215"/>
      <c r="C12" s="215"/>
      <c r="D12" s="215">
        <f>BuildFund!I10+SUM(CapResCapPrj!I14:I17)</f>
        <v>0</v>
      </c>
      <c r="E12" s="215"/>
      <c r="F12" s="215"/>
      <c r="G12" s="215"/>
      <c r="H12" s="213">
        <f>SUM(B12:G12)</f>
        <v>0</v>
      </c>
    </row>
    <row r="13" spans="1:8" ht="12" thickBot="1" x14ac:dyDescent="0.25">
      <c r="A13" s="216" t="s">
        <v>841</v>
      </c>
      <c r="B13" s="217"/>
      <c r="C13" s="217"/>
      <c r="D13" s="217">
        <f>BuildFund!I11+CapResCapPrj!I18</f>
        <v>0</v>
      </c>
      <c r="E13" s="217"/>
      <c r="F13" s="217"/>
      <c r="G13" s="217"/>
      <c r="H13" s="213">
        <f>SUM(B13:G13)</f>
        <v>0</v>
      </c>
    </row>
    <row r="14" spans="1:8" ht="12.75" thickTop="1" thickBot="1" x14ac:dyDescent="0.25">
      <c r="A14" s="83" t="s">
        <v>842</v>
      </c>
      <c r="B14" s="84">
        <f t="shared" ref="B14:H14" si="0">SUM(B9:B13)</f>
        <v>0</v>
      </c>
      <c r="C14" s="84">
        <f>SUM(C9:C13)</f>
        <v>0</v>
      </c>
      <c r="D14" s="84">
        <f t="shared" si="0"/>
        <v>0</v>
      </c>
      <c r="E14" s="84">
        <f t="shared" si="0"/>
        <v>0</v>
      </c>
      <c r="F14" s="84">
        <f t="shared" si="0"/>
        <v>0</v>
      </c>
      <c r="G14" s="84">
        <f t="shared" si="0"/>
        <v>0</v>
      </c>
      <c r="H14" s="84">
        <f t="shared" si="0"/>
        <v>0</v>
      </c>
    </row>
    <row r="15" spans="1:8" ht="12" thickTop="1" x14ac:dyDescent="0.2">
      <c r="A15" s="68" t="s">
        <v>908</v>
      </c>
      <c r="B15" s="72">
        <f>BondRedm!I19</f>
        <v>0</v>
      </c>
      <c r="C15" s="72">
        <f>COPDebt!I19</f>
        <v>0</v>
      </c>
      <c r="D15" s="72">
        <f>BuildFund!I15+CapResCapPrj!I19</f>
        <v>0</v>
      </c>
      <c r="E15" s="72">
        <f>SpecBuild!I12</f>
        <v>0</v>
      </c>
      <c r="F15" s="72">
        <f>PupilActAgency!I11+'Trust&amp;Agency'!I10</f>
        <v>0</v>
      </c>
      <c r="G15" s="72">
        <f>Arbitrage!G20+'Foundation Fund'!I10</f>
        <v>0</v>
      </c>
      <c r="H15" s="72">
        <f>SUM(B15:G15)</f>
        <v>0</v>
      </c>
    </row>
    <row r="16" spans="1:8" ht="11.25" x14ac:dyDescent="0.2">
      <c r="A16" s="68" t="s">
        <v>843</v>
      </c>
      <c r="B16" s="72">
        <f>BondRedm!I16+BondRedm!I17+BondRedm!I18+BondRedm!I20</f>
        <v>0</v>
      </c>
      <c r="C16" s="72">
        <f>COPDebt!I16+COPDebt!I17+COPDebt!I18+COPDebt!I20</f>
        <v>0</v>
      </c>
      <c r="D16" s="72">
        <f>BuildFund!I12+BuildFund!I13+BuildFund!I14+BuildFund!I16+CapResCapPrj!I20+CapResCapPrj!I21+CapResCapPrj!I23</f>
        <v>0</v>
      </c>
      <c r="E16" s="72">
        <f>SpecBuild!I13</f>
        <v>0</v>
      </c>
      <c r="F16" s="72">
        <f>PupilActAgency!I12+'Trust&amp;Agency'!I11</f>
        <v>0</v>
      </c>
      <c r="G16" s="72">
        <f>Arbitrage!G18+'Foundation Fund'!I11</f>
        <v>0</v>
      </c>
      <c r="H16" s="72">
        <f>SUM(B16:G16)</f>
        <v>0</v>
      </c>
    </row>
    <row r="17" spans="1:8" ht="12" thickBot="1" x14ac:dyDescent="0.25">
      <c r="A17" s="66" t="s">
        <v>844</v>
      </c>
      <c r="B17" s="67"/>
      <c r="C17" s="67"/>
      <c r="D17" s="67">
        <f>CapResCapPrj!I22</f>
        <v>0</v>
      </c>
      <c r="E17" s="67"/>
      <c r="F17" s="67"/>
      <c r="G17" s="67">
        <f>+Arbitrage!G19</f>
        <v>0</v>
      </c>
      <c r="H17" s="67">
        <f>SUM(B17:G17)</f>
        <v>0</v>
      </c>
    </row>
    <row r="18" spans="1:8" ht="12.75" thickTop="1" thickBot="1" x14ac:dyDescent="0.25">
      <c r="A18" s="66" t="s">
        <v>845</v>
      </c>
      <c r="B18" s="67">
        <f t="shared" ref="B18:H18" si="1">SUM(B14:B17)</f>
        <v>0</v>
      </c>
      <c r="C18" s="67">
        <f>SUM(C14:C17)</f>
        <v>0</v>
      </c>
      <c r="D18" s="67">
        <f t="shared" si="1"/>
        <v>0</v>
      </c>
      <c r="E18" s="67">
        <f t="shared" si="1"/>
        <v>0</v>
      </c>
      <c r="F18" s="67">
        <f t="shared" si="1"/>
        <v>0</v>
      </c>
      <c r="G18" s="67">
        <f t="shared" si="1"/>
        <v>0</v>
      </c>
      <c r="H18" s="67">
        <f t="shared" si="1"/>
        <v>0</v>
      </c>
    </row>
    <row r="19" spans="1:8" ht="12" thickTop="1" x14ac:dyDescent="0.2">
      <c r="A19" s="68" t="s">
        <v>846</v>
      </c>
      <c r="B19" s="76">
        <f>'Page 1 - FY2016-17'!$C7</f>
        <v>0</v>
      </c>
      <c r="C19" s="76">
        <f>'Page 1 - FY2016-17'!$C7</f>
        <v>0</v>
      </c>
      <c r="D19" s="76">
        <f>'Page 1 - FY2016-17'!$C7</f>
        <v>0</v>
      </c>
      <c r="E19" s="76">
        <f>'Page 1 - FY2016-17'!$C7</f>
        <v>0</v>
      </c>
      <c r="F19" s="76">
        <f>'Page 1 - FY2016-17'!$C7</f>
        <v>0</v>
      </c>
      <c r="G19" s="76">
        <f>'Page 1 - FY2016-17'!$C7</f>
        <v>0</v>
      </c>
      <c r="H19" s="76">
        <f>'Page 1 - FY2016-17'!$C7</f>
        <v>0</v>
      </c>
    </row>
    <row r="20" spans="1:8" ht="11.25" x14ac:dyDescent="0.2">
      <c r="A20" s="70" t="s">
        <v>847</v>
      </c>
      <c r="B20" s="77" t="e">
        <f t="shared" ref="B20:H20" si="2">B18/B19</f>
        <v>#DIV/0!</v>
      </c>
      <c r="C20" s="77" t="e">
        <f>C18/C19</f>
        <v>#DIV/0!</v>
      </c>
      <c r="D20" s="77" t="e">
        <f t="shared" si="2"/>
        <v>#DIV/0!</v>
      </c>
      <c r="E20" s="77" t="e">
        <f t="shared" si="2"/>
        <v>#DIV/0!</v>
      </c>
      <c r="F20" s="77" t="e">
        <f t="shared" si="2"/>
        <v>#DIV/0!</v>
      </c>
      <c r="G20" s="77" t="e">
        <f t="shared" si="2"/>
        <v>#DIV/0!</v>
      </c>
      <c r="H20" s="77" t="e">
        <f t="shared" si="2"/>
        <v>#DIV/0!</v>
      </c>
    </row>
  </sheetData>
  <sheetProtection password="CB03" sheet="1" objects="1" scenarios="1" formatCells="0" formatColumns="0" formatRows="0"/>
  <phoneticPr fontId="15" type="noConversion"/>
  <pageMargins left="0.5" right="0.5" top="0.75" bottom="0.75" header="0.5" footer="0.5"/>
  <pageSetup paperSize="5" firstPageNumber="59" fitToWidth="2" orientation="landscape" r:id="rId1"/>
  <headerFooter alignWithMargins="0">
    <oddFooter>&amp;LCDE, Public Scool Finance Unit&amp;C&amp;P&amp;R&amp;D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H27"/>
  <sheetViews>
    <sheetView workbookViewId="0">
      <selection activeCell="A3" sqref="A3"/>
    </sheetView>
  </sheetViews>
  <sheetFormatPr defaultColWidth="12" defaultRowHeight="10.5" x14ac:dyDescent="0.15"/>
  <cols>
    <col min="1" max="1" width="33.1640625" customWidth="1"/>
    <col min="2" max="7" width="17.83203125" customWidth="1"/>
  </cols>
  <sheetData>
    <row r="1" spans="1:8" x14ac:dyDescent="0.15">
      <c r="A1">
        <f>+'Page 1 - FY2016-17'!B5</f>
        <v>0</v>
      </c>
      <c r="B1" s="17"/>
      <c r="C1" s="17"/>
      <c r="D1" s="17"/>
      <c r="E1" s="17"/>
      <c r="F1" s="17"/>
      <c r="G1" s="12"/>
    </row>
    <row r="2" spans="1:8" ht="15.75" x14ac:dyDescent="0.25">
      <c r="A2" s="62" t="s">
        <v>876</v>
      </c>
      <c r="B2" s="17"/>
      <c r="C2" s="17"/>
      <c r="D2" s="17"/>
      <c r="E2" s="17"/>
      <c r="F2" s="17"/>
      <c r="G2" s="17"/>
    </row>
    <row r="4" spans="1:8" ht="11.25" x14ac:dyDescent="0.2">
      <c r="A4" s="26"/>
      <c r="B4" s="63"/>
      <c r="C4" s="63"/>
      <c r="D4" s="126" t="s">
        <v>751</v>
      </c>
      <c r="E4" s="63" t="s">
        <v>755</v>
      </c>
      <c r="F4" s="63"/>
      <c r="G4" s="89"/>
      <c r="H4" s="63"/>
    </row>
    <row r="5" spans="1:8" ht="11.25" x14ac:dyDescent="0.2">
      <c r="A5" s="64" t="s">
        <v>608</v>
      </c>
      <c r="B5" s="64" t="s">
        <v>867</v>
      </c>
      <c r="C5" s="64" t="s">
        <v>1055</v>
      </c>
      <c r="D5" s="64" t="s">
        <v>870</v>
      </c>
      <c r="E5" s="117" t="s">
        <v>871</v>
      </c>
      <c r="F5" s="64" t="s">
        <v>868</v>
      </c>
      <c r="G5" s="64" t="s">
        <v>680</v>
      </c>
      <c r="H5" s="64" t="s">
        <v>606</v>
      </c>
    </row>
    <row r="6" spans="1:8" ht="11.25" x14ac:dyDescent="0.2">
      <c r="A6" s="64"/>
      <c r="B6" s="64" t="s">
        <v>869</v>
      </c>
      <c r="C6" s="64" t="s">
        <v>1577</v>
      </c>
      <c r="D6" s="64" t="s">
        <v>873</v>
      </c>
      <c r="E6" s="64" t="s">
        <v>874</v>
      </c>
      <c r="F6" s="64" t="s">
        <v>872</v>
      </c>
      <c r="G6" s="64" t="s">
        <v>681</v>
      </c>
      <c r="H6" s="64" t="s">
        <v>611</v>
      </c>
    </row>
    <row r="7" spans="1:8" ht="12" thickBot="1" x14ac:dyDescent="0.25">
      <c r="A7" s="28"/>
      <c r="B7" s="65" t="s">
        <v>786</v>
      </c>
      <c r="C7" s="65" t="s">
        <v>786</v>
      </c>
      <c r="D7" s="65" t="s">
        <v>786</v>
      </c>
      <c r="E7" s="65" t="s">
        <v>786</v>
      </c>
      <c r="F7" s="65" t="s">
        <v>787</v>
      </c>
      <c r="G7" s="65" t="s">
        <v>682</v>
      </c>
      <c r="H7" s="65" t="s">
        <v>875</v>
      </c>
    </row>
    <row r="8" spans="1:8" ht="12" thickTop="1" x14ac:dyDescent="0.2">
      <c r="A8" s="68" t="s">
        <v>850</v>
      </c>
      <c r="B8" s="72"/>
      <c r="C8" s="72"/>
      <c r="D8" s="72">
        <f>CapResCapPrj!I50</f>
        <v>0</v>
      </c>
      <c r="E8" s="72"/>
      <c r="F8" s="72">
        <f>PupilActAgency!I34+'Trust&amp;Agency'!I33</f>
        <v>0</v>
      </c>
      <c r="G8" s="72">
        <f>'Foundation Fund'!I33</f>
        <v>0</v>
      </c>
      <c r="H8" s="72">
        <f t="shared" ref="H8:H17" si="0">SUM(B8:G8)</f>
        <v>0</v>
      </c>
    </row>
    <row r="9" spans="1:8" ht="11.25" x14ac:dyDescent="0.2">
      <c r="A9" s="68" t="s">
        <v>851</v>
      </c>
      <c r="B9" s="72"/>
      <c r="C9" s="72"/>
      <c r="D9" s="72"/>
      <c r="E9" s="72"/>
      <c r="F9" s="72"/>
      <c r="G9" s="72"/>
      <c r="H9" s="72">
        <f t="shared" si="0"/>
        <v>0</v>
      </c>
    </row>
    <row r="10" spans="1:8" ht="12" thickBot="1" x14ac:dyDescent="0.25">
      <c r="A10" s="66" t="s">
        <v>852</v>
      </c>
      <c r="B10" s="67"/>
      <c r="C10" s="67"/>
      <c r="D10" s="67"/>
      <c r="E10" s="67"/>
      <c r="F10" s="67"/>
      <c r="G10" s="67"/>
      <c r="H10" s="67">
        <f t="shared" si="0"/>
        <v>0</v>
      </c>
    </row>
    <row r="11" spans="1:8" ht="12.75" thickTop="1" thickBot="1" x14ac:dyDescent="0.25">
      <c r="A11" s="66" t="s">
        <v>853</v>
      </c>
      <c r="B11" s="67">
        <f t="shared" ref="B11:G11" si="1">SUM(B8:B10)</f>
        <v>0</v>
      </c>
      <c r="C11" s="67">
        <f t="shared" si="1"/>
        <v>0</v>
      </c>
      <c r="D11" s="67">
        <f t="shared" si="1"/>
        <v>0</v>
      </c>
      <c r="E11" s="67">
        <f t="shared" si="1"/>
        <v>0</v>
      </c>
      <c r="F11" s="67">
        <f t="shared" si="1"/>
        <v>0</v>
      </c>
      <c r="G11" s="67">
        <f t="shared" si="1"/>
        <v>0</v>
      </c>
      <c r="H11" s="67">
        <f t="shared" si="0"/>
        <v>0</v>
      </c>
    </row>
    <row r="12" spans="1:8" ht="12" thickTop="1" x14ac:dyDescent="0.2">
      <c r="A12" s="81" t="s">
        <v>854</v>
      </c>
      <c r="B12" s="75"/>
      <c r="C12" s="75"/>
      <c r="D12" s="211">
        <f>BuildFund!I42+CapResCapPrj!I68</f>
        <v>0</v>
      </c>
      <c r="E12" s="211">
        <f>SpecBuild!I30</f>
        <v>0</v>
      </c>
      <c r="F12" s="211">
        <f>PupilActAgency!I48+'Trust&amp;Agency'!I47</f>
        <v>0</v>
      </c>
      <c r="G12" s="211">
        <f>'Foundation Fund'!I47</f>
        <v>0</v>
      </c>
      <c r="H12" s="211">
        <f t="shared" si="0"/>
        <v>0</v>
      </c>
    </row>
    <row r="13" spans="1:8" ht="11.25" x14ac:dyDescent="0.2">
      <c r="A13" s="68" t="s">
        <v>855</v>
      </c>
      <c r="B13" s="72"/>
      <c r="C13" s="72"/>
      <c r="D13" s="72"/>
      <c r="E13" s="72"/>
      <c r="F13" s="72"/>
      <c r="G13" s="72"/>
      <c r="H13" s="72">
        <f t="shared" si="0"/>
        <v>0</v>
      </c>
    </row>
    <row r="14" spans="1:8" ht="11.25" x14ac:dyDescent="0.2">
      <c r="A14" s="68" t="s">
        <v>856</v>
      </c>
      <c r="B14" s="72"/>
      <c r="C14" s="72"/>
      <c r="D14" s="72"/>
      <c r="E14" s="72"/>
      <c r="F14" s="72"/>
      <c r="G14" s="72"/>
      <c r="H14" s="72">
        <f t="shared" si="0"/>
        <v>0</v>
      </c>
    </row>
    <row r="15" spans="1:8" ht="11.25" x14ac:dyDescent="0.2">
      <c r="A15" s="68" t="s">
        <v>857</v>
      </c>
      <c r="B15" s="72"/>
      <c r="C15" s="72"/>
      <c r="D15" s="72"/>
      <c r="E15" s="72"/>
      <c r="F15" s="72"/>
      <c r="G15" s="72"/>
      <c r="H15" s="72">
        <f t="shared" si="0"/>
        <v>0</v>
      </c>
    </row>
    <row r="16" spans="1:8" ht="11.25" x14ac:dyDescent="0.2">
      <c r="A16" s="68" t="s">
        <v>858</v>
      </c>
      <c r="B16" s="72"/>
      <c r="C16" s="72"/>
      <c r="D16" s="72"/>
      <c r="E16" s="72"/>
      <c r="F16" s="72"/>
      <c r="G16" s="72"/>
      <c r="H16" s="72">
        <f t="shared" si="0"/>
        <v>0</v>
      </c>
    </row>
    <row r="17" spans="1:8" ht="12" thickBot="1" x14ac:dyDescent="0.25">
      <c r="A17" s="66" t="s">
        <v>859</v>
      </c>
      <c r="B17" s="67"/>
      <c r="C17" s="67"/>
      <c r="D17" s="67"/>
      <c r="E17" s="67"/>
      <c r="F17" s="67"/>
      <c r="G17" s="67"/>
      <c r="H17" s="67">
        <f t="shared" si="0"/>
        <v>0</v>
      </c>
    </row>
    <row r="18" spans="1:8" ht="12.75" thickTop="1" thickBot="1" x14ac:dyDescent="0.25">
      <c r="A18" s="66" t="s">
        <v>860</v>
      </c>
      <c r="B18" s="67">
        <f t="shared" ref="B18:H18" si="2">SUM(B12:B17)</f>
        <v>0</v>
      </c>
      <c r="C18" s="67">
        <f>SUM(C12:C17)</f>
        <v>0</v>
      </c>
      <c r="D18" s="67">
        <f t="shared" si="2"/>
        <v>0</v>
      </c>
      <c r="E18" s="67">
        <f t="shared" si="2"/>
        <v>0</v>
      </c>
      <c r="F18" s="67">
        <f t="shared" si="2"/>
        <v>0</v>
      </c>
      <c r="G18" s="67">
        <f t="shared" si="2"/>
        <v>0</v>
      </c>
      <c r="H18" s="67">
        <f t="shared" si="2"/>
        <v>0</v>
      </c>
    </row>
    <row r="19" spans="1:8" ht="12" thickTop="1" x14ac:dyDescent="0.2">
      <c r="A19" s="68" t="s">
        <v>861</v>
      </c>
      <c r="B19" s="72"/>
      <c r="C19" s="72"/>
      <c r="D19" s="72"/>
      <c r="E19" s="72"/>
      <c r="F19" s="72"/>
      <c r="G19" s="72"/>
      <c r="H19" s="72">
        <f>SUM(B19:G19)</f>
        <v>0</v>
      </c>
    </row>
    <row r="20" spans="1:8" ht="11.25" x14ac:dyDescent="0.2">
      <c r="A20" s="68" t="s">
        <v>862</v>
      </c>
      <c r="B20" s="72">
        <f>BondRedm!I32+BondRedm!I33</f>
        <v>0</v>
      </c>
      <c r="C20" s="72">
        <f>COPDebt!I32+COPDebt!I33</f>
        <v>0</v>
      </c>
      <c r="E20" s="72"/>
      <c r="F20" s="72"/>
      <c r="G20" s="72"/>
      <c r="H20" s="72">
        <f>SUM(B20:G20)</f>
        <v>0</v>
      </c>
    </row>
    <row r="21" spans="1:8" ht="12" thickBot="1" x14ac:dyDescent="0.25">
      <c r="A21" s="66" t="s">
        <v>877</v>
      </c>
      <c r="B21" s="67">
        <f>+BondRedm!I35+BondRedm!I34</f>
        <v>0</v>
      </c>
      <c r="C21" s="67">
        <f>+COPDebt!I35+COPDebt!I34</f>
        <v>0</v>
      </c>
      <c r="D21" s="72">
        <f>CapResCapPrj!I76</f>
        <v>0</v>
      </c>
      <c r="E21" s="67"/>
      <c r="F21" s="67"/>
      <c r="G21" s="67">
        <f>+Arbitrage!G28+Arbitrage!G25</f>
        <v>0</v>
      </c>
      <c r="H21" s="67">
        <f>SUM(B21:G21)</f>
        <v>0</v>
      </c>
    </row>
    <row r="22" spans="1:8" ht="12.75" thickTop="1" thickBot="1" x14ac:dyDescent="0.25">
      <c r="A22" s="83" t="s">
        <v>864</v>
      </c>
      <c r="B22" s="84">
        <f t="shared" ref="B22:G22" si="3">SUM(B18:B21)+B11</f>
        <v>0</v>
      </c>
      <c r="C22" s="84">
        <f t="shared" si="3"/>
        <v>0</v>
      </c>
      <c r="D22" s="84">
        <f>SUM(D18:D21)+D11</f>
        <v>0</v>
      </c>
      <c r="E22" s="84">
        <f t="shared" si="3"/>
        <v>0</v>
      </c>
      <c r="F22" s="84">
        <f t="shared" si="3"/>
        <v>0</v>
      </c>
      <c r="G22" s="84">
        <f t="shared" si="3"/>
        <v>0</v>
      </c>
      <c r="H22" s="84">
        <f>SUM(B22:G22)</f>
        <v>0</v>
      </c>
    </row>
    <row r="23" spans="1:8" ht="12" thickTop="1" x14ac:dyDescent="0.2">
      <c r="A23" s="68" t="s">
        <v>846</v>
      </c>
      <c r="B23" s="76">
        <f>'Page 1 - FY2016-17'!$C7</f>
        <v>0</v>
      </c>
      <c r="C23" s="76">
        <f>'Page 1 - FY2016-17'!$C7</f>
        <v>0</v>
      </c>
      <c r="D23" s="76">
        <f>'Page 1 - FY2016-17'!$C7</f>
        <v>0</v>
      </c>
      <c r="E23" s="76">
        <f>'Page 1 - FY2016-17'!$C7</f>
        <v>0</v>
      </c>
      <c r="F23" s="76">
        <f>'Page 1 - FY2016-17'!$C7</f>
        <v>0</v>
      </c>
      <c r="G23" s="76">
        <f>'Page 1 - FY2016-17'!$C7</f>
        <v>0</v>
      </c>
      <c r="H23" s="76">
        <f>'Page 1 - FY2016-17'!$C7</f>
        <v>0</v>
      </c>
    </row>
    <row r="24" spans="1:8" ht="12" thickBot="1" x14ac:dyDescent="0.25">
      <c r="A24" s="68" t="s">
        <v>865</v>
      </c>
      <c r="B24" s="72" t="e">
        <f t="shared" ref="B24:H24" si="4">B22/B23</f>
        <v>#DIV/0!</v>
      </c>
      <c r="C24" s="72" t="e">
        <f>C22/C23</f>
        <v>#DIV/0!</v>
      </c>
      <c r="D24" s="72" t="e">
        <f t="shared" si="4"/>
        <v>#DIV/0!</v>
      </c>
      <c r="E24" s="72" t="e">
        <f t="shared" si="4"/>
        <v>#DIV/0!</v>
      </c>
      <c r="F24" s="72" t="e">
        <f t="shared" si="4"/>
        <v>#DIV/0!</v>
      </c>
      <c r="G24" s="72" t="e">
        <f t="shared" si="4"/>
        <v>#DIV/0!</v>
      </c>
      <c r="H24" s="72" t="e">
        <f t="shared" si="4"/>
        <v>#DIV/0!</v>
      </c>
    </row>
    <row r="25" spans="1:8" ht="12" thickTop="1" x14ac:dyDescent="0.2">
      <c r="A25" s="85" t="s">
        <v>622</v>
      </c>
      <c r="B25" s="218" t="str">
        <f>+Arbitrage!D53</f>
        <v>Not Required</v>
      </c>
      <c r="C25" s="218" t="str">
        <f>+Arbitrage!D54</f>
        <v>Provide if required</v>
      </c>
      <c r="D25" s="86">
        <f>BuildFund!I46+CapResCapPrj!I82</f>
        <v>0</v>
      </c>
      <c r="E25" s="86">
        <f>SpecBuild!I34</f>
        <v>0</v>
      </c>
      <c r="F25" s="218" t="s">
        <v>225</v>
      </c>
      <c r="G25" s="218" t="s">
        <v>225</v>
      </c>
      <c r="H25" s="552">
        <f>SUM(B25:G25)</f>
        <v>0</v>
      </c>
    </row>
    <row r="26" spans="1:8" ht="12" thickBot="1" x14ac:dyDescent="0.25">
      <c r="A26" s="66" t="s">
        <v>545</v>
      </c>
      <c r="B26" s="67">
        <f>BondRedm!I44</f>
        <v>0</v>
      </c>
      <c r="C26" s="67">
        <f>COPDebt!I44</f>
        <v>0</v>
      </c>
      <c r="D26" s="67">
        <f>BuildFund!I50-BuildFund!I46+CapResCapPrj!I86-CapResCapPrj!I82</f>
        <v>0</v>
      </c>
      <c r="E26" s="67">
        <f>SpecBuild!I38-SpecBuild!I34</f>
        <v>0</v>
      </c>
      <c r="F26" s="67">
        <f>PupilActAgency!I57+'Trust&amp;Agency'!I56</f>
        <v>0</v>
      </c>
      <c r="G26" s="67">
        <f>Arbitrage!G32+'Foundation Fund'!I56</f>
        <v>0</v>
      </c>
      <c r="H26" s="67">
        <f>SUM(B26:G26)</f>
        <v>0</v>
      </c>
    </row>
    <row r="27" spans="1:8" ht="12" thickTop="1" x14ac:dyDescent="0.2">
      <c r="A27" s="70" t="s">
        <v>747</v>
      </c>
      <c r="B27" s="77"/>
      <c r="C27" s="77"/>
      <c r="D27" s="77"/>
      <c r="E27" s="77"/>
      <c r="F27" s="77"/>
      <c r="G27" s="77">
        <f>Arbitrage!G35</f>
        <v>0</v>
      </c>
      <c r="H27" s="77">
        <f>SUM(B27:G27)</f>
        <v>0</v>
      </c>
    </row>
  </sheetData>
  <sheetProtection password="CB03" sheet="1" objects="1" scenarios="1" formatCells="0" formatColumns="0" formatRows="0"/>
  <phoneticPr fontId="15" type="noConversion"/>
  <pageMargins left="0.5" right="0.5" top="0.75" bottom="0.75" header="0.5" footer="0.5"/>
  <pageSetup paperSize="5" firstPageNumber="60" fitToWidth="2" orientation="landscape" r:id="rId1"/>
  <headerFooter alignWithMargins="0">
    <oddFooter>&amp;LCDE, Public Scool Finance Unit&amp;C&amp;P&amp;R&amp;D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BV195"/>
  <sheetViews>
    <sheetView zoomScale="60" zoomScaleNormal="60" workbookViewId="0">
      <pane xSplit="3" ySplit="5" topLeftCell="D6" activePane="bottomRight" state="frozen"/>
      <selection activeCell="G13" sqref="G13"/>
      <selection pane="topRight" activeCell="G13" sqref="G13"/>
      <selection pane="bottomLeft" activeCell="G13" sqref="G13"/>
      <selection pane="bottomRight"/>
    </sheetView>
  </sheetViews>
  <sheetFormatPr defaultRowHeight="14.25" zeroHeight="1" x14ac:dyDescent="0.2"/>
  <cols>
    <col min="1" max="1" width="49.83203125" style="602" customWidth="1"/>
    <col min="2" max="2" width="18.83203125" style="586" customWidth="1"/>
    <col min="3" max="3" width="1.6640625" style="587" customWidth="1"/>
    <col min="4" max="4" width="29.33203125" style="230" customWidth="1"/>
    <col min="5" max="5" width="1.6640625" style="587" customWidth="1"/>
    <col min="6" max="6" width="30.33203125" style="230" customWidth="1"/>
    <col min="7" max="7" width="1.6640625" style="587" customWidth="1"/>
    <col min="8" max="8" width="29" style="230" customWidth="1"/>
    <col min="9" max="9" width="1.6640625" style="587" customWidth="1"/>
    <col min="10" max="10" width="29.33203125" style="230" customWidth="1"/>
    <col min="11" max="11" width="1.6640625" style="587" customWidth="1"/>
    <col min="12" max="12" width="30.83203125" style="376" hidden="1" customWidth="1"/>
    <col min="13" max="13" width="1.6640625" style="587" hidden="1" customWidth="1"/>
    <col min="14" max="14" width="30" style="230" customWidth="1"/>
    <col min="15" max="15" width="1.6640625" style="587" customWidth="1"/>
    <col min="16" max="16" width="30.83203125" style="230" customWidth="1"/>
    <col min="17" max="17" width="1.6640625" style="587" customWidth="1"/>
    <col min="18" max="18" width="29" style="230" customWidth="1"/>
    <col min="19" max="19" width="1.6640625" style="587" customWidth="1"/>
    <col min="20" max="20" width="30" style="230" customWidth="1"/>
    <col min="21" max="21" width="1.6640625" style="587" customWidth="1"/>
    <col min="22" max="22" width="30" style="230" customWidth="1"/>
    <col min="23" max="23" width="1.6640625" style="587" customWidth="1"/>
    <col min="24" max="24" width="29.33203125" style="230" customWidth="1"/>
    <col min="25" max="26" width="1.6640625" style="587" customWidth="1"/>
    <col min="27" max="27" width="29.33203125" style="230" customWidth="1"/>
    <col min="28" max="28" width="1.6640625" style="587" customWidth="1"/>
    <col min="29" max="29" width="29.33203125" style="230" customWidth="1"/>
    <col min="30" max="31" width="1.6640625" style="587" customWidth="1"/>
    <col min="32" max="32" width="29.1640625" style="230" customWidth="1"/>
    <col min="33" max="33" width="1.6640625" style="587" customWidth="1"/>
    <col min="34" max="34" width="29.33203125" style="230" customWidth="1"/>
    <col min="35" max="35" width="1.6640625" style="587" customWidth="1"/>
    <col min="36" max="36" width="29.33203125" style="230" customWidth="1"/>
    <col min="37" max="37" width="1.6640625" style="587" customWidth="1"/>
    <col min="38" max="38" width="30.6640625" style="230" customWidth="1"/>
    <col min="39" max="39" width="1.6640625" style="587" customWidth="1"/>
    <col min="40" max="40" width="29.33203125" style="230" customWidth="1"/>
    <col min="41" max="41" width="1.6640625" style="587" customWidth="1"/>
    <col min="42" max="42" width="29.33203125" style="230" customWidth="1"/>
    <col min="43" max="43" width="1.6640625" style="587" customWidth="1"/>
    <col min="44" max="44" width="29.33203125" style="230" customWidth="1"/>
    <col min="45" max="45" width="2.1640625" style="587" customWidth="1"/>
    <col min="46" max="46" width="1.6640625" style="587" customWidth="1"/>
    <col min="47" max="47" width="29.33203125" style="230" customWidth="1"/>
    <col min="48" max="48" width="1.6640625" style="587" customWidth="1"/>
    <col min="49" max="49" width="29.33203125" style="230" customWidth="1"/>
    <col min="50" max="50" width="1.6640625" style="587" customWidth="1"/>
    <col min="51" max="51" width="29.33203125" style="230" customWidth="1"/>
    <col min="52" max="52" width="1.6640625" style="587" customWidth="1"/>
    <col min="53" max="53" width="29.33203125" style="230" customWidth="1"/>
    <col min="54" max="54" width="1.6640625" style="587" customWidth="1"/>
    <col min="55" max="55" width="29.33203125" style="230" customWidth="1"/>
    <col min="56" max="56" width="1.6640625" style="587" customWidth="1"/>
    <col min="57" max="57" width="29.33203125" style="230" customWidth="1"/>
    <col min="58" max="58" width="1.6640625" style="587" customWidth="1"/>
    <col min="59" max="59" width="29.33203125" style="230" customWidth="1"/>
    <col min="60" max="60" width="1.6640625" style="587" customWidth="1"/>
    <col min="61" max="61" width="29.33203125" style="230" customWidth="1"/>
    <col min="62" max="62" width="1.6640625" style="587" customWidth="1"/>
    <col min="63" max="64" width="0" style="587" hidden="1" customWidth="1"/>
    <col min="65" max="65" width="0" style="588" hidden="1" customWidth="1"/>
    <col min="66" max="16384" width="9.33203125" style="589"/>
  </cols>
  <sheetData>
    <row r="1" spans="1:65" ht="53.25" thickBot="1" x14ac:dyDescent="0.45">
      <c r="A1" s="603" t="s">
        <v>1595</v>
      </c>
    </row>
    <row r="2" spans="1:65" s="252" customFormat="1" ht="74.25" customHeight="1" thickBot="1" x14ac:dyDescent="0.3">
      <c r="A2" s="231" t="s">
        <v>278</v>
      </c>
      <c r="B2" s="232" t="s">
        <v>279</v>
      </c>
      <c r="C2" s="233"/>
      <c r="D2" s="234" t="s">
        <v>280</v>
      </c>
      <c r="E2" s="233"/>
      <c r="F2" s="234" t="s">
        <v>281</v>
      </c>
      <c r="G2" s="233"/>
      <c r="H2" s="234" t="s">
        <v>282</v>
      </c>
      <c r="I2" s="233"/>
      <c r="J2" s="234" t="s">
        <v>1572</v>
      </c>
      <c r="K2" s="233"/>
      <c r="L2" s="377" t="s">
        <v>1250</v>
      </c>
      <c r="M2" s="236"/>
      <c r="N2" s="234" t="s">
        <v>1512</v>
      </c>
      <c r="O2" s="233"/>
      <c r="P2" s="234" t="s">
        <v>283</v>
      </c>
      <c r="Q2" s="233"/>
      <c r="R2" s="235" t="s">
        <v>284</v>
      </c>
      <c r="S2" s="233"/>
      <c r="T2" s="377" t="s">
        <v>1251</v>
      </c>
      <c r="U2" s="237"/>
      <c r="V2" s="234" t="s">
        <v>184</v>
      </c>
      <c r="W2" s="237"/>
      <c r="X2" s="234" t="s">
        <v>683</v>
      </c>
      <c r="Y2" s="233"/>
      <c r="Z2" s="236"/>
      <c r="AA2" s="234" t="s">
        <v>185</v>
      </c>
      <c r="AB2" s="233"/>
      <c r="AC2" s="234" t="s">
        <v>1580</v>
      </c>
      <c r="AD2" s="236"/>
      <c r="AE2" s="233"/>
      <c r="AF2" s="234" t="s">
        <v>186</v>
      </c>
      <c r="AG2" s="233"/>
      <c r="AH2" s="234" t="s">
        <v>187</v>
      </c>
      <c r="AI2" s="233"/>
      <c r="AJ2" s="234" t="s">
        <v>188</v>
      </c>
      <c r="AK2" s="233"/>
      <c r="AL2" s="234" t="s">
        <v>189</v>
      </c>
      <c r="AM2" s="233"/>
      <c r="AN2" s="234" t="s">
        <v>1513</v>
      </c>
      <c r="AO2" s="233"/>
      <c r="AP2" s="234" t="s">
        <v>190</v>
      </c>
      <c r="AQ2" s="233"/>
      <c r="AR2" s="234" t="s">
        <v>307</v>
      </c>
      <c r="AS2" s="236"/>
      <c r="AT2" s="233"/>
      <c r="AU2" s="234" t="s">
        <v>308</v>
      </c>
      <c r="AV2" s="238"/>
      <c r="AW2" s="234" t="s">
        <v>1570</v>
      </c>
      <c r="AX2" s="233"/>
      <c r="AY2" s="294" t="s">
        <v>309</v>
      </c>
      <c r="AZ2" s="233"/>
      <c r="BA2" s="294" t="s">
        <v>310</v>
      </c>
      <c r="BB2" s="233"/>
      <c r="BC2" s="234" t="s">
        <v>311</v>
      </c>
      <c r="BD2" s="233"/>
      <c r="BE2" s="234" t="s">
        <v>312</v>
      </c>
      <c r="BF2" s="233"/>
      <c r="BG2" s="377" t="s">
        <v>1571</v>
      </c>
      <c r="BH2" s="233"/>
      <c r="BI2" s="234" t="s">
        <v>1050</v>
      </c>
      <c r="BJ2" s="233"/>
      <c r="BK2" s="239"/>
      <c r="BL2" s="239"/>
      <c r="BM2" s="240"/>
    </row>
    <row r="3" spans="1:65" s="252" customFormat="1" ht="42.75" customHeight="1" thickBot="1" x14ac:dyDescent="0.3">
      <c r="A3" s="241">
        <f>'Page 1 - FY2016-17'!B5</f>
        <v>0</v>
      </c>
      <c r="B3" s="296">
        <f>'Page 1 - FY2016-17'!F7</f>
        <v>0</v>
      </c>
      <c r="C3" s="242"/>
      <c r="D3" s="243" t="s">
        <v>1596</v>
      </c>
      <c r="E3" s="242"/>
      <c r="F3" s="243" t="s">
        <v>1596</v>
      </c>
      <c r="G3" s="242"/>
      <c r="H3" s="243" t="s">
        <v>1596</v>
      </c>
      <c r="I3" s="242"/>
      <c r="J3" s="243" t="s">
        <v>1596</v>
      </c>
      <c r="K3" s="242"/>
      <c r="L3" s="378" t="s">
        <v>1370</v>
      </c>
      <c r="M3" s="242"/>
      <c r="N3" s="243" t="s">
        <v>1596</v>
      </c>
      <c r="O3" s="242"/>
      <c r="P3" s="243" t="s">
        <v>1596</v>
      </c>
      <c r="Q3" s="242"/>
      <c r="R3" s="243" t="s">
        <v>1596</v>
      </c>
      <c r="S3" s="242"/>
      <c r="T3" s="243" t="s">
        <v>1596</v>
      </c>
      <c r="U3" s="244"/>
      <c r="V3" s="243" t="s">
        <v>1596</v>
      </c>
      <c r="W3" s="244"/>
      <c r="X3" s="243" t="s">
        <v>1596</v>
      </c>
      <c r="Y3" s="242"/>
      <c r="Z3" s="242"/>
      <c r="AA3" s="243" t="s">
        <v>1596</v>
      </c>
      <c r="AB3" s="242"/>
      <c r="AC3" s="243" t="s">
        <v>1596</v>
      </c>
      <c r="AD3" s="242"/>
      <c r="AE3" s="242"/>
      <c r="AF3" s="243" t="s">
        <v>1596</v>
      </c>
      <c r="AG3" s="242"/>
      <c r="AH3" s="243" t="s">
        <v>1596</v>
      </c>
      <c r="AI3" s="242"/>
      <c r="AJ3" s="243" t="s">
        <v>1596</v>
      </c>
      <c r="AK3" s="242"/>
      <c r="AL3" s="243" t="s">
        <v>1596</v>
      </c>
      <c r="AM3" s="242"/>
      <c r="AN3" s="243" t="s">
        <v>1596</v>
      </c>
      <c r="AO3" s="242"/>
      <c r="AP3" s="243" t="s">
        <v>1596</v>
      </c>
      <c r="AQ3" s="242"/>
      <c r="AR3" s="243" t="s">
        <v>1596</v>
      </c>
      <c r="AS3" s="242"/>
      <c r="AT3" s="242"/>
      <c r="AU3" s="243" t="s">
        <v>1596</v>
      </c>
      <c r="AV3" s="246"/>
      <c r="AW3" s="243" t="s">
        <v>1596</v>
      </c>
      <c r="AX3" s="242"/>
      <c r="AY3" s="243" t="s">
        <v>1596</v>
      </c>
      <c r="AZ3" s="242"/>
      <c r="BA3" s="243" t="s">
        <v>1596</v>
      </c>
      <c r="BB3" s="242"/>
      <c r="BC3" s="243" t="s">
        <v>1596</v>
      </c>
      <c r="BD3" s="242"/>
      <c r="BE3" s="243" t="s">
        <v>1596</v>
      </c>
      <c r="BF3" s="242"/>
      <c r="BG3" s="243" t="s">
        <v>1596</v>
      </c>
      <c r="BH3" s="242"/>
      <c r="BI3" s="243" t="s">
        <v>1596</v>
      </c>
      <c r="BJ3" s="242"/>
      <c r="BK3" s="239"/>
      <c r="BL3" s="239"/>
      <c r="BM3" s="240"/>
    </row>
    <row r="4" spans="1:65" s="252" customFormat="1" ht="8.25" customHeight="1" x14ac:dyDescent="0.25">
      <c r="A4" s="247"/>
      <c r="B4" s="248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9"/>
      <c r="BL4" s="249"/>
      <c r="BM4" s="250"/>
    </row>
    <row r="5" spans="1:65" s="252" customFormat="1" ht="8.25" customHeight="1" x14ac:dyDescent="0.25">
      <c r="A5" s="250"/>
      <c r="B5" s="251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9"/>
      <c r="BL5" s="249"/>
      <c r="BM5" s="250"/>
    </row>
    <row r="6" spans="1:65" s="252" customFormat="1" ht="21" customHeight="1" thickBot="1" x14ac:dyDescent="0.3">
      <c r="A6" s="252" t="s">
        <v>313</v>
      </c>
      <c r="B6" s="553">
        <f>'Page 1 - FY2016-17'!C7</f>
        <v>0</v>
      </c>
      <c r="C6" s="242"/>
      <c r="D6" s="254"/>
      <c r="E6" s="242"/>
      <c r="F6" s="254"/>
      <c r="G6" s="242"/>
      <c r="H6" s="254"/>
      <c r="I6" s="242"/>
      <c r="J6" s="254"/>
      <c r="K6" s="242"/>
      <c r="L6" s="254"/>
      <c r="M6" s="242"/>
      <c r="N6" s="254"/>
      <c r="O6" s="242"/>
      <c r="P6" s="254"/>
      <c r="Q6" s="242"/>
      <c r="R6" s="254"/>
      <c r="S6" s="242"/>
      <c r="T6" s="254"/>
      <c r="U6" s="242"/>
      <c r="V6" s="254"/>
      <c r="W6" s="242"/>
      <c r="X6" s="254"/>
      <c r="Y6" s="242"/>
      <c r="Z6" s="242"/>
      <c r="AA6" s="254"/>
      <c r="AB6" s="242"/>
      <c r="AC6" s="254"/>
      <c r="AD6" s="242"/>
      <c r="AE6" s="242"/>
      <c r="AF6" s="254"/>
      <c r="AG6" s="242"/>
      <c r="AH6" s="254"/>
      <c r="AI6" s="242"/>
      <c r="AJ6" s="254"/>
      <c r="AK6" s="242"/>
      <c r="AL6" s="254"/>
      <c r="AM6" s="242"/>
      <c r="AN6" s="254"/>
      <c r="AO6" s="242"/>
      <c r="AP6" s="254"/>
      <c r="AQ6" s="242"/>
      <c r="AR6" s="291" t="s">
        <v>1108</v>
      </c>
      <c r="AS6" s="242"/>
      <c r="AT6" s="242"/>
      <c r="AU6" s="254"/>
      <c r="AV6" s="242"/>
      <c r="AW6" s="254"/>
      <c r="AX6" s="242"/>
      <c r="AY6" s="291" t="s">
        <v>1106</v>
      </c>
      <c r="AZ6" s="242"/>
      <c r="BA6" s="291" t="s">
        <v>1106</v>
      </c>
      <c r="BB6" s="242"/>
      <c r="BC6" s="254"/>
      <c r="BD6" s="242"/>
      <c r="BE6" s="254"/>
      <c r="BF6" s="242"/>
      <c r="BG6" s="254"/>
      <c r="BH6" s="242"/>
      <c r="BI6" s="254"/>
      <c r="BJ6" s="242"/>
      <c r="BK6" s="255"/>
      <c r="BL6" s="255"/>
    </row>
    <row r="7" spans="1:65" s="252" customFormat="1" ht="37.5" customHeight="1" x14ac:dyDescent="0.25">
      <c r="A7" s="240" t="s">
        <v>314</v>
      </c>
      <c r="C7" s="257"/>
      <c r="D7" s="275">
        <f>GenFundREV!I5</f>
        <v>0</v>
      </c>
      <c r="E7" s="259"/>
      <c r="F7" s="275">
        <f>CharterFundRev!I5</f>
        <v>0</v>
      </c>
      <c r="G7" s="259"/>
      <c r="H7" s="258">
        <f>InsResv!I6</f>
        <v>0</v>
      </c>
      <c r="I7" s="259"/>
      <c r="J7" s="258">
        <f>'CPP Fund'!I7</f>
        <v>0</v>
      </c>
      <c r="K7" s="259"/>
      <c r="L7" s="275">
        <f>ARRAGrants!J6</f>
        <v>0</v>
      </c>
      <c r="M7" s="259"/>
      <c r="N7" s="258">
        <f>FoodServiceSRF!I6</f>
        <v>0</v>
      </c>
      <c r="O7" s="259"/>
      <c r="P7" s="258">
        <f>GovGrants!J6</f>
        <v>0</v>
      </c>
      <c r="Q7" s="259"/>
      <c r="R7" s="258">
        <f>PupActiv!I6</f>
        <v>0</v>
      </c>
      <c r="S7" s="259"/>
      <c r="T7" s="258">
        <f>FullDayKOverride!I6</f>
        <v>0</v>
      </c>
      <c r="U7" s="259"/>
      <c r="V7" s="258">
        <f>Transp!I6</f>
        <v>0</v>
      </c>
      <c r="W7" s="259"/>
      <c r="X7" s="258">
        <f>OthSpecRev!I7</f>
        <v>0</v>
      </c>
      <c r="Y7" s="259"/>
      <c r="Z7" s="259"/>
      <c r="AA7" s="258">
        <f>BondRedm!I6</f>
        <v>0</v>
      </c>
      <c r="AB7" s="259"/>
      <c r="AC7" s="258">
        <f>COPDebt!I6</f>
        <v>0</v>
      </c>
      <c r="AD7" s="259"/>
      <c r="AE7" s="259"/>
      <c r="AF7" s="258">
        <f>BuildFund!I6</f>
        <v>0</v>
      </c>
      <c r="AG7" s="259"/>
      <c r="AH7" s="258">
        <f>SpecBuild!I6</f>
        <v>0</v>
      </c>
      <c r="AI7" s="259"/>
      <c r="AJ7" s="258">
        <f>CapResCapPrj!I6</f>
        <v>0</v>
      </c>
      <c r="AK7" s="259"/>
      <c r="AL7" s="258">
        <f>OtherEnterprise!I6</f>
        <v>0</v>
      </c>
      <c r="AM7" s="259"/>
      <c r="AN7" s="258">
        <f>'DO NOT USE'!I6</f>
        <v>0</v>
      </c>
      <c r="AO7" s="259"/>
      <c r="AP7" s="258">
        <f>OtherInternal!I6</f>
        <v>0</v>
      </c>
      <c r="AQ7" s="259"/>
      <c r="AR7" s="258">
        <v>0</v>
      </c>
      <c r="AS7" s="259"/>
      <c r="AT7" s="259"/>
      <c r="AU7" s="258">
        <f>RiskRelated!I7</f>
        <v>0</v>
      </c>
      <c r="AV7" s="259"/>
      <c r="AW7" s="258">
        <f>'Trust&amp;Agency'!I6</f>
        <v>0</v>
      </c>
      <c r="AX7" s="259"/>
      <c r="AY7" s="258">
        <v>0</v>
      </c>
      <c r="AZ7" s="259"/>
      <c r="BA7" s="258">
        <v>0</v>
      </c>
      <c r="BB7" s="259"/>
      <c r="BC7" s="258">
        <f>PupilActAgency!I6</f>
        <v>0</v>
      </c>
      <c r="BD7" s="259"/>
      <c r="BE7" s="258">
        <f>'Foundation Fund'!I6</f>
        <v>0</v>
      </c>
      <c r="BF7" s="259"/>
      <c r="BG7" s="559">
        <f>Arbitrage!I12</f>
        <v>0</v>
      </c>
      <c r="BH7" s="259"/>
      <c r="BI7" s="258">
        <f>D7+F7+H7+J7+X7+N7+P7+R7+L7+T7+V7+AC7+AF7+AH7+AJ7+AL7+AN7+AP7+AR7+AU7+AW7+AY7+BA7+BC7+BG7+BE7+AA7</f>
        <v>0</v>
      </c>
      <c r="BJ7" s="260"/>
      <c r="BK7" s="239"/>
      <c r="BL7" s="239"/>
      <c r="BM7" s="240"/>
    </row>
    <row r="8" spans="1:65" s="252" customFormat="1" ht="42.75" customHeight="1" x14ac:dyDescent="0.25">
      <c r="B8" s="256" t="s">
        <v>315</v>
      </c>
      <c r="C8" s="242"/>
      <c r="D8" s="254"/>
      <c r="E8" s="242"/>
      <c r="F8" s="254"/>
      <c r="G8" s="242"/>
      <c r="H8" s="254"/>
      <c r="I8" s="242"/>
      <c r="J8" s="254"/>
      <c r="K8" s="242"/>
      <c r="L8" s="254"/>
      <c r="M8" s="242"/>
      <c r="N8" s="254"/>
      <c r="O8" s="242"/>
      <c r="P8" s="254"/>
      <c r="Q8" s="242"/>
      <c r="R8" s="254"/>
      <c r="S8" s="242"/>
      <c r="T8" s="254"/>
      <c r="U8" s="242"/>
      <c r="V8" s="254"/>
      <c r="W8" s="242"/>
      <c r="X8" s="254"/>
      <c r="Y8" s="242"/>
      <c r="Z8" s="242"/>
      <c r="AA8" s="254"/>
      <c r="AB8" s="242"/>
      <c r="AC8" s="254"/>
      <c r="AD8" s="242"/>
      <c r="AE8" s="242"/>
      <c r="AF8" s="254"/>
      <c r="AG8" s="242"/>
      <c r="AH8" s="254"/>
      <c r="AI8" s="242"/>
      <c r="AJ8" s="254"/>
      <c r="AK8" s="242"/>
      <c r="AL8" s="254"/>
      <c r="AM8" s="242"/>
      <c r="AN8" s="254"/>
      <c r="AO8" s="242"/>
      <c r="AP8" s="254"/>
      <c r="AQ8" s="242"/>
      <c r="AR8" s="254"/>
      <c r="AS8" s="242"/>
      <c r="AT8" s="242"/>
      <c r="AU8" s="254"/>
      <c r="AV8" s="242"/>
      <c r="AW8" s="254"/>
      <c r="AX8" s="242"/>
      <c r="AY8" s="254"/>
      <c r="AZ8" s="242"/>
      <c r="BA8" s="254"/>
      <c r="BB8" s="242"/>
      <c r="BC8" s="254"/>
      <c r="BD8" s="242"/>
      <c r="BE8" s="254"/>
      <c r="BF8" s="242"/>
      <c r="BG8" s="254"/>
      <c r="BH8" s="242"/>
      <c r="BI8" s="254"/>
      <c r="BJ8" s="242"/>
      <c r="BK8" s="255"/>
      <c r="BL8" s="255"/>
    </row>
    <row r="9" spans="1:65" s="276" customFormat="1" ht="20.25" customHeight="1" x14ac:dyDescent="0.3">
      <c r="A9" s="261" t="s">
        <v>316</v>
      </c>
      <c r="B9" s="256"/>
      <c r="C9" s="262"/>
      <c r="D9" s="275"/>
      <c r="E9" s="259"/>
      <c r="F9" s="258"/>
      <c r="G9" s="259"/>
      <c r="H9" s="258"/>
      <c r="I9" s="259"/>
      <c r="J9" s="258"/>
      <c r="K9" s="259"/>
      <c r="L9" s="275"/>
      <c r="M9" s="259"/>
      <c r="N9" s="258"/>
      <c r="O9" s="259"/>
      <c r="P9" s="258"/>
      <c r="Q9" s="259"/>
      <c r="R9" s="258"/>
      <c r="S9" s="259"/>
      <c r="T9" s="258"/>
      <c r="U9" s="259"/>
      <c r="V9" s="258"/>
      <c r="W9" s="259"/>
      <c r="X9" s="258"/>
      <c r="Y9" s="259"/>
      <c r="Z9" s="259"/>
      <c r="AA9" s="258"/>
      <c r="AB9" s="259"/>
      <c r="AC9" s="258"/>
      <c r="AD9" s="259"/>
      <c r="AE9" s="259"/>
      <c r="AF9" s="258"/>
      <c r="AG9" s="259"/>
      <c r="AH9" s="258"/>
      <c r="AI9" s="259"/>
      <c r="AJ9" s="258"/>
      <c r="AK9" s="259"/>
      <c r="AL9" s="258"/>
      <c r="AM9" s="259"/>
      <c r="AN9" s="258"/>
      <c r="AO9" s="259"/>
      <c r="AP9" s="258"/>
      <c r="AQ9" s="259"/>
      <c r="AR9" s="258"/>
      <c r="AS9" s="259"/>
      <c r="AT9" s="259"/>
      <c r="AU9" s="258"/>
      <c r="AV9" s="259"/>
      <c r="AW9" s="258"/>
      <c r="AX9" s="259"/>
      <c r="AY9" s="258"/>
      <c r="AZ9" s="259"/>
      <c r="BA9" s="258"/>
      <c r="BB9" s="259"/>
      <c r="BC9" s="258"/>
      <c r="BD9" s="259"/>
      <c r="BE9" s="258"/>
      <c r="BF9" s="259"/>
      <c r="BG9" s="258"/>
      <c r="BH9" s="259"/>
      <c r="BI9" s="258"/>
      <c r="BJ9" s="262"/>
      <c r="BK9" s="263"/>
      <c r="BL9" s="263"/>
      <c r="BM9" s="264"/>
    </row>
    <row r="10" spans="1:65" s="276" customFormat="1" ht="20.25" customHeight="1" x14ac:dyDescent="0.25">
      <c r="A10" s="240" t="s">
        <v>547</v>
      </c>
      <c r="B10" s="256" t="s">
        <v>317</v>
      </c>
      <c r="C10" s="262"/>
      <c r="D10" s="275">
        <f>GenFundREV!I46</f>
        <v>0</v>
      </c>
      <c r="E10" s="259"/>
      <c r="F10" s="275">
        <f>CharterFundRev!I46</f>
        <v>0</v>
      </c>
      <c r="G10" s="259"/>
      <c r="H10" s="258">
        <f>SUM(InsResv!I8+InsResv!I9+InsResv!I10)</f>
        <v>0</v>
      </c>
      <c r="I10" s="259"/>
      <c r="J10" s="258">
        <f>'CPP Fund'!I9</f>
        <v>0</v>
      </c>
      <c r="K10" s="259"/>
      <c r="L10" s="275">
        <f>SUM(ARRAGrants!J54:J63)</f>
        <v>0</v>
      </c>
      <c r="M10" s="259"/>
      <c r="N10" s="258">
        <f>SUM(FoodServiceSRF!I8:I11)</f>
        <v>0</v>
      </c>
      <c r="O10" s="259"/>
      <c r="P10" s="258">
        <f>SUM(GovGrants!J54:J63)</f>
        <v>0</v>
      </c>
      <c r="Q10" s="259"/>
      <c r="R10" s="258">
        <f>SUM(PupActiv!I8:I10)</f>
        <v>0</v>
      </c>
      <c r="S10" s="259"/>
      <c r="T10" s="258">
        <f>SUM(FullDayKOverride!I8:I15)</f>
        <v>0</v>
      </c>
      <c r="U10" s="259"/>
      <c r="V10" s="258">
        <f>SUM(Transp!I8:I15)</f>
        <v>0</v>
      </c>
      <c r="W10" s="259"/>
      <c r="X10" s="258">
        <f>SUM(OthSpecRev!I9+OthSpecRev!I10)</f>
        <v>0</v>
      </c>
      <c r="Y10" s="259"/>
      <c r="Z10" s="259"/>
      <c r="AA10" s="258">
        <f>SUM(BondRedm!I8:I14)</f>
        <v>0</v>
      </c>
      <c r="AB10" s="259"/>
      <c r="AC10" s="258">
        <f>SUM(COPDebt!I8:I14)</f>
        <v>0</v>
      </c>
      <c r="AD10" s="259"/>
      <c r="AE10" s="259"/>
      <c r="AF10" s="258">
        <f>SUM(BuildFund!I8+BuildFund!I9)</f>
        <v>0</v>
      </c>
      <c r="AG10" s="259"/>
      <c r="AH10" s="258">
        <f>SUM(SpecBuild!I8:I11)</f>
        <v>0</v>
      </c>
      <c r="AI10" s="259"/>
      <c r="AJ10" s="258">
        <f>SUM(CapResCapPrj!I8:I12)</f>
        <v>0</v>
      </c>
      <c r="AK10" s="259"/>
      <c r="AL10" s="258">
        <f>SUM(OtherEnterprise!I9:I13)</f>
        <v>0</v>
      </c>
      <c r="AM10" s="259"/>
      <c r="AN10" s="258">
        <f>SUM('DO NOT USE'!I9:I12)</f>
        <v>0</v>
      </c>
      <c r="AO10" s="259"/>
      <c r="AP10" s="258">
        <f>SUM(OtherInternal!I8:I15)</f>
        <v>0</v>
      </c>
      <c r="AQ10" s="259"/>
      <c r="AR10" s="258">
        <v>0</v>
      </c>
      <c r="AS10" s="259"/>
      <c r="AT10" s="259"/>
      <c r="AU10" s="258">
        <f>SUM(RiskRelated!I9:I11)</f>
        <v>0</v>
      </c>
      <c r="AV10" s="259"/>
      <c r="AW10" s="258">
        <f>'Trust&amp;Agency'!I9</f>
        <v>0</v>
      </c>
      <c r="AX10" s="259"/>
      <c r="AY10" s="258">
        <v>0</v>
      </c>
      <c r="AZ10" s="259"/>
      <c r="BA10" s="258">
        <v>0</v>
      </c>
      <c r="BB10" s="259"/>
      <c r="BC10" s="258">
        <f>SUM(PupilActAgency!I8:I10)</f>
        <v>0</v>
      </c>
      <c r="BD10" s="259"/>
      <c r="BE10" s="258">
        <f>'Foundation Fund'!I9</f>
        <v>0</v>
      </c>
      <c r="BF10" s="259"/>
      <c r="BG10" s="559">
        <f>SUM(Arbitrage!G15:G17)</f>
        <v>0</v>
      </c>
      <c r="BH10" s="259"/>
      <c r="BI10" s="258">
        <f>D10+F10+H10+J10+X10+N10+P10+R10+L10+T10+V10+AC10+AF10+AH10+AJ10+AL10+AN10+AP10+AR10+AU10+AW10+AY10+BA10+BC10+BG10+BE10+AA10</f>
        <v>0</v>
      </c>
      <c r="BJ10" s="262"/>
      <c r="BK10" s="263"/>
      <c r="BL10" s="263"/>
      <c r="BM10" s="264"/>
    </row>
    <row r="11" spans="1:65" s="276" customFormat="1" ht="21.75" customHeight="1" x14ac:dyDescent="0.25">
      <c r="A11" s="240"/>
      <c r="B11" s="256"/>
      <c r="C11" s="262"/>
      <c r="D11" s="275"/>
      <c r="E11" s="259"/>
      <c r="F11" s="258"/>
      <c r="G11" s="259"/>
      <c r="H11" s="258"/>
      <c r="I11" s="259"/>
      <c r="J11" s="258"/>
      <c r="K11" s="259"/>
      <c r="L11" s="275"/>
      <c r="M11" s="259"/>
      <c r="N11" s="258"/>
      <c r="O11" s="259"/>
      <c r="P11" s="258"/>
      <c r="Q11" s="259"/>
      <c r="R11" s="258"/>
      <c r="S11" s="259"/>
      <c r="T11" s="258"/>
      <c r="U11" s="259"/>
      <c r="V11" s="258"/>
      <c r="W11" s="259"/>
      <c r="X11" s="258"/>
      <c r="Y11" s="259"/>
      <c r="Z11" s="259"/>
      <c r="AA11" s="258"/>
      <c r="AB11" s="259"/>
      <c r="AC11" s="258"/>
      <c r="AD11" s="259"/>
      <c r="AE11" s="259"/>
      <c r="AF11" s="258"/>
      <c r="AG11" s="259"/>
      <c r="AH11" s="258"/>
      <c r="AI11" s="259"/>
      <c r="AJ11" s="258"/>
      <c r="AK11" s="259"/>
      <c r="AL11" s="258"/>
      <c r="AM11" s="259"/>
      <c r="AN11" s="258"/>
      <c r="AO11" s="259"/>
      <c r="AP11" s="258"/>
      <c r="AQ11" s="259"/>
      <c r="AR11" s="258"/>
      <c r="AS11" s="259"/>
      <c r="AT11" s="259"/>
      <c r="AU11" s="258"/>
      <c r="AV11" s="259"/>
      <c r="AW11" s="258"/>
      <c r="AX11" s="259"/>
      <c r="AY11" s="258"/>
      <c r="AZ11" s="259"/>
      <c r="BA11" s="258"/>
      <c r="BB11" s="259"/>
      <c r="BC11" s="258"/>
      <c r="BD11" s="259"/>
      <c r="BE11" s="258"/>
      <c r="BF11" s="259"/>
      <c r="BG11" s="258"/>
      <c r="BH11" s="259"/>
      <c r="BI11" s="258"/>
      <c r="BJ11" s="262"/>
      <c r="BK11" s="263"/>
      <c r="BL11" s="263"/>
      <c r="BM11" s="264"/>
    </row>
    <row r="12" spans="1:65" s="276" customFormat="1" ht="21.75" customHeight="1" x14ac:dyDescent="0.25">
      <c r="A12" s="240" t="s">
        <v>550</v>
      </c>
      <c r="B12" s="256" t="s">
        <v>318</v>
      </c>
      <c r="C12" s="257"/>
      <c r="D12" s="275">
        <f>GenFundREV!I49</f>
        <v>0</v>
      </c>
      <c r="E12" s="259"/>
      <c r="F12" s="258">
        <f>CharterFundRev!I49</f>
        <v>0</v>
      </c>
      <c r="G12" s="259"/>
      <c r="H12" s="258">
        <v>0</v>
      </c>
      <c r="I12" s="259"/>
      <c r="J12" s="258">
        <f>'CPP Fund'!I10</f>
        <v>0</v>
      </c>
      <c r="K12" s="259"/>
      <c r="L12" s="275"/>
      <c r="M12" s="259"/>
      <c r="N12" s="258">
        <v>0</v>
      </c>
      <c r="O12" s="259"/>
      <c r="P12" s="258"/>
      <c r="Q12" s="259"/>
      <c r="R12" s="258">
        <f>PupActiv!I11</f>
        <v>0</v>
      </c>
      <c r="S12" s="259"/>
      <c r="T12" s="258"/>
      <c r="U12" s="259"/>
      <c r="V12" s="258"/>
      <c r="W12" s="259"/>
      <c r="X12" s="258"/>
      <c r="Y12" s="259"/>
      <c r="Z12" s="259"/>
      <c r="AA12" s="258">
        <f>BondRedm!I15</f>
        <v>0</v>
      </c>
      <c r="AB12" s="259"/>
      <c r="AC12" s="258">
        <f>COPDebt!I15</f>
        <v>0</v>
      </c>
      <c r="AD12" s="259"/>
      <c r="AE12" s="259"/>
      <c r="AF12" s="258"/>
      <c r="AG12" s="259"/>
      <c r="AH12" s="258"/>
      <c r="AI12" s="259"/>
      <c r="AJ12" s="258">
        <f>CapResCapPrj!I13</f>
        <v>0</v>
      </c>
      <c r="AK12" s="259"/>
      <c r="AL12" s="258"/>
      <c r="AM12" s="259"/>
      <c r="AN12" s="258"/>
      <c r="AO12" s="259"/>
      <c r="AP12" s="258"/>
      <c r="AQ12" s="259"/>
      <c r="AR12" s="258">
        <v>0</v>
      </c>
      <c r="AS12" s="259"/>
      <c r="AT12" s="259"/>
      <c r="AU12" s="258"/>
      <c r="AV12" s="259"/>
      <c r="AW12" s="258"/>
      <c r="AX12" s="259"/>
      <c r="AY12" s="258">
        <v>0</v>
      </c>
      <c r="AZ12" s="259"/>
      <c r="BA12" s="258">
        <v>0</v>
      </c>
      <c r="BB12" s="259"/>
      <c r="BC12" s="258"/>
      <c r="BD12" s="259"/>
      <c r="BE12" s="258"/>
      <c r="BF12" s="259"/>
      <c r="BG12" s="258"/>
      <c r="BH12" s="259"/>
      <c r="BI12" s="258">
        <f>D12+F12+H12+J12+X12+N12+P12+R12+L12+T12+V12+AC12+AF12+AH12+AJ12+AL12+AN12+AP12+AR12+AU12+AW12+AY12+BA12+BC12+BG12+BE12+AA12</f>
        <v>0</v>
      </c>
      <c r="BJ12" s="260"/>
      <c r="BK12" s="263"/>
      <c r="BL12" s="263"/>
      <c r="BM12" s="264"/>
    </row>
    <row r="13" spans="1:65" s="276" customFormat="1" ht="21.75" customHeight="1" x14ac:dyDescent="0.25">
      <c r="A13" s="240"/>
      <c r="B13" s="256"/>
      <c r="C13" s="262"/>
      <c r="D13" s="275"/>
      <c r="E13" s="259"/>
      <c r="F13" s="258"/>
      <c r="G13" s="259"/>
      <c r="H13" s="258"/>
      <c r="I13" s="259"/>
      <c r="J13" s="258"/>
      <c r="K13" s="259"/>
      <c r="L13" s="275"/>
      <c r="M13" s="259"/>
      <c r="N13" s="258"/>
      <c r="O13" s="259"/>
      <c r="P13" s="258"/>
      <c r="Q13" s="259"/>
      <c r="R13" s="258"/>
      <c r="S13" s="259"/>
      <c r="T13" s="258"/>
      <c r="U13" s="259"/>
      <c r="V13" s="258"/>
      <c r="W13" s="259"/>
      <c r="X13" s="258"/>
      <c r="Y13" s="259"/>
      <c r="Z13" s="259"/>
      <c r="AA13" s="258"/>
      <c r="AB13" s="259"/>
      <c r="AC13" s="258"/>
      <c r="AD13" s="259"/>
      <c r="AE13" s="259"/>
      <c r="AF13" s="258"/>
      <c r="AG13" s="259"/>
      <c r="AH13" s="258"/>
      <c r="AI13" s="259"/>
      <c r="AJ13" s="258"/>
      <c r="AK13" s="259"/>
      <c r="AL13" s="258"/>
      <c r="AM13" s="259"/>
      <c r="AN13" s="258"/>
      <c r="AO13" s="259"/>
      <c r="AP13" s="258"/>
      <c r="AQ13" s="259"/>
      <c r="AR13" s="258"/>
      <c r="AS13" s="259"/>
      <c r="AT13" s="259"/>
      <c r="AU13" s="258"/>
      <c r="AV13" s="259"/>
      <c r="AW13" s="258"/>
      <c r="AX13" s="259"/>
      <c r="AY13" s="258"/>
      <c r="AZ13" s="259"/>
      <c r="BA13" s="258"/>
      <c r="BB13" s="259"/>
      <c r="BC13" s="258"/>
      <c r="BD13" s="259"/>
      <c r="BE13" s="258"/>
      <c r="BF13" s="259"/>
      <c r="BG13" s="258"/>
      <c r="BH13" s="259"/>
      <c r="BI13" s="264"/>
      <c r="BJ13" s="262"/>
      <c r="BK13" s="263"/>
      <c r="BL13" s="263"/>
      <c r="BM13" s="264"/>
    </row>
    <row r="14" spans="1:65" s="276" customFormat="1" ht="21.75" customHeight="1" x14ac:dyDescent="0.25">
      <c r="A14" s="240" t="s">
        <v>551</v>
      </c>
      <c r="B14" s="256" t="s">
        <v>319</v>
      </c>
      <c r="C14" s="262"/>
      <c r="D14" s="275">
        <f>GenFundREV!I77</f>
        <v>0</v>
      </c>
      <c r="E14" s="259"/>
      <c r="F14" s="258">
        <f>CharterFundRev!I75</f>
        <v>0</v>
      </c>
      <c r="G14" s="259"/>
      <c r="H14" s="258">
        <f>InsResv!I11</f>
        <v>0</v>
      </c>
      <c r="I14" s="259"/>
      <c r="J14" s="258">
        <f>'CPP Fund'!I11</f>
        <v>0</v>
      </c>
      <c r="K14" s="259"/>
      <c r="L14" s="275">
        <f>SUM(ARRAGrants!J10:J21)</f>
        <v>0</v>
      </c>
      <c r="M14" s="259"/>
      <c r="N14" s="258">
        <f>SUM(FoodServiceSRF!I12:I15)</f>
        <v>0</v>
      </c>
      <c r="O14" s="259"/>
      <c r="P14" s="258">
        <f>SUM(GovGrants!J10:J21)</f>
        <v>0</v>
      </c>
      <c r="Q14" s="259"/>
      <c r="R14" s="258">
        <f>PupActiv!I12</f>
        <v>0</v>
      </c>
      <c r="S14" s="259"/>
      <c r="T14" s="258">
        <f>FullDayKOverride!I16</f>
        <v>0</v>
      </c>
      <c r="U14" s="259"/>
      <c r="V14" s="258">
        <f>Transp!I16</f>
        <v>0</v>
      </c>
      <c r="W14" s="259"/>
      <c r="X14" s="258">
        <f>OthSpecRev!I11</f>
        <v>0</v>
      </c>
      <c r="Y14" s="259"/>
      <c r="Z14" s="259"/>
      <c r="AA14" s="258"/>
      <c r="AB14" s="259"/>
      <c r="AC14" s="258"/>
      <c r="AD14" s="259"/>
      <c r="AE14" s="259"/>
      <c r="AF14" s="258">
        <f>BuildFund!I10</f>
        <v>0</v>
      </c>
      <c r="AG14" s="259"/>
      <c r="AH14" s="258"/>
      <c r="AI14" s="259"/>
      <c r="AJ14" s="258">
        <f>SUM(CapResCapPrj!I14:I17)</f>
        <v>0</v>
      </c>
      <c r="AK14" s="259"/>
      <c r="AL14" s="258"/>
      <c r="AM14" s="259"/>
      <c r="AN14" s="258">
        <f>SUM('DO NOT USE'!I13:I15)</f>
        <v>0</v>
      </c>
      <c r="AO14" s="259"/>
      <c r="AP14" s="258"/>
      <c r="AQ14" s="259"/>
      <c r="AR14" s="258">
        <v>0</v>
      </c>
      <c r="AS14" s="259"/>
      <c r="AT14" s="259"/>
      <c r="AU14" s="258"/>
      <c r="AV14" s="259"/>
      <c r="AW14" s="258"/>
      <c r="AX14" s="259"/>
      <c r="AY14" s="258">
        <v>0</v>
      </c>
      <c r="AZ14" s="259"/>
      <c r="BA14" s="258">
        <v>0</v>
      </c>
      <c r="BB14" s="259"/>
      <c r="BC14" s="258"/>
      <c r="BD14" s="259"/>
      <c r="BE14" s="258"/>
      <c r="BF14" s="259"/>
      <c r="BG14" s="258"/>
      <c r="BH14" s="259"/>
      <c r="BI14" s="258">
        <f>D14+F14+H14+J14+X14+N14+P14+R14+L14+T14+V14+AC14+AF14+AH14+AJ14+AL14+AN14+AP14+AR14+AU14+AW14+AY14+BA14+BC14+BG14+BE14+AA14</f>
        <v>0</v>
      </c>
      <c r="BJ14" s="262"/>
      <c r="BK14" s="263"/>
      <c r="BL14" s="263"/>
      <c r="BM14" s="264"/>
    </row>
    <row r="15" spans="1:65" s="276" customFormat="1" ht="24.75" customHeight="1" x14ac:dyDescent="0.25">
      <c r="A15" s="240"/>
      <c r="B15" s="256"/>
      <c r="C15" s="259"/>
      <c r="D15" s="275"/>
      <c r="E15" s="259"/>
      <c r="F15" s="258"/>
      <c r="G15" s="259"/>
      <c r="H15" s="258"/>
      <c r="I15" s="259"/>
      <c r="J15" s="258"/>
      <c r="K15" s="259"/>
      <c r="L15" s="275"/>
      <c r="M15" s="259"/>
      <c r="N15" s="258"/>
      <c r="O15" s="259"/>
      <c r="P15" s="258"/>
      <c r="Q15" s="259"/>
      <c r="R15" s="258"/>
      <c r="S15" s="259"/>
      <c r="T15" s="258"/>
      <c r="U15" s="259"/>
      <c r="V15" s="258"/>
      <c r="W15" s="259"/>
      <c r="X15" s="258"/>
      <c r="Y15" s="259"/>
      <c r="Z15" s="259"/>
      <c r="AA15" s="258"/>
      <c r="AB15" s="259"/>
      <c r="AC15" s="258"/>
      <c r="AD15" s="259"/>
      <c r="AE15" s="259"/>
      <c r="AF15" s="258"/>
      <c r="AG15" s="259"/>
      <c r="AH15" s="258"/>
      <c r="AI15" s="259"/>
      <c r="AJ15" s="258"/>
      <c r="AK15" s="259"/>
      <c r="AL15" s="258"/>
      <c r="AM15" s="259"/>
      <c r="AN15" s="258"/>
      <c r="AO15" s="259"/>
      <c r="AP15" s="258"/>
      <c r="AQ15" s="259"/>
      <c r="AR15" s="258"/>
      <c r="AS15" s="259"/>
      <c r="AT15" s="259"/>
      <c r="AU15" s="258"/>
      <c r="AV15" s="259"/>
      <c r="AW15" s="258"/>
      <c r="AX15" s="259"/>
      <c r="AY15" s="258"/>
      <c r="AZ15" s="259"/>
      <c r="BA15" s="258"/>
      <c r="BB15" s="259"/>
      <c r="BC15" s="258"/>
      <c r="BD15" s="259"/>
      <c r="BE15" s="258"/>
      <c r="BF15" s="259"/>
      <c r="BG15" s="258"/>
      <c r="BH15" s="259"/>
      <c r="BI15" s="258"/>
      <c r="BJ15" s="259"/>
      <c r="BK15" s="263"/>
      <c r="BL15" s="263"/>
      <c r="BM15" s="264"/>
    </row>
    <row r="16" spans="1:65" s="276" customFormat="1" ht="21.75" customHeight="1" x14ac:dyDescent="0.25">
      <c r="A16" s="240" t="s">
        <v>552</v>
      </c>
      <c r="B16" s="256" t="s">
        <v>320</v>
      </c>
      <c r="C16" s="259"/>
      <c r="D16" s="275">
        <f>GenFundREV!I93</f>
        <v>0</v>
      </c>
      <c r="E16" s="259"/>
      <c r="F16" s="258">
        <f>CharterFundRev!I90</f>
        <v>0</v>
      </c>
      <c r="G16" s="259"/>
      <c r="H16" s="258">
        <v>0</v>
      </c>
      <c r="I16" s="259"/>
      <c r="J16" s="258">
        <f>'CPP Fund'!I12</f>
        <v>0</v>
      </c>
      <c r="K16" s="259"/>
      <c r="L16" s="275">
        <f>SUM(ARRAGrants!J29:J48)</f>
        <v>0</v>
      </c>
      <c r="M16" s="259"/>
      <c r="N16" s="258">
        <f>SUM(FoodServiceSRF!I16:I19)</f>
        <v>0</v>
      </c>
      <c r="O16" s="259"/>
      <c r="P16" s="258">
        <f>SUM(GovGrants!J29:J48)</f>
        <v>0</v>
      </c>
      <c r="Q16" s="259"/>
      <c r="R16" s="258">
        <f>PupActiv!I13</f>
        <v>0</v>
      </c>
      <c r="S16" s="259"/>
      <c r="T16" s="258"/>
      <c r="U16" s="259"/>
      <c r="V16" s="258"/>
      <c r="W16" s="259"/>
      <c r="X16" s="258">
        <f>OthSpecRev!I12</f>
        <v>0</v>
      </c>
      <c r="Y16" s="259"/>
      <c r="Z16" s="259"/>
      <c r="AA16" s="258"/>
      <c r="AB16" s="259"/>
      <c r="AC16" s="258"/>
      <c r="AD16" s="259"/>
      <c r="AE16" s="259"/>
      <c r="AF16" s="258">
        <f>BuildFund!I11</f>
        <v>0</v>
      </c>
      <c r="AG16" s="259"/>
      <c r="AH16" s="258"/>
      <c r="AI16" s="259"/>
      <c r="AJ16" s="258">
        <f>CapResCapPrj!I18</f>
        <v>0</v>
      </c>
      <c r="AK16" s="259"/>
      <c r="AL16" s="258"/>
      <c r="AM16" s="259"/>
      <c r="AN16" s="258">
        <f>SUM('DO NOT USE'!I16:I18)</f>
        <v>0</v>
      </c>
      <c r="AO16" s="259"/>
      <c r="AP16" s="258"/>
      <c r="AQ16" s="259"/>
      <c r="AR16" s="258">
        <v>0</v>
      </c>
      <c r="AS16" s="259"/>
      <c r="AT16" s="259"/>
      <c r="AU16" s="258"/>
      <c r="AV16" s="259"/>
      <c r="AW16" s="258"/>
      <c r="AX16" s="259"/>
      <c r="AY16" s="258">
        <v>0</v>
      </c>
      <c r="AZ16" s="259"/>
      <c r="BA16" s="258">
        <v>0</v>
      </c>
      <c r="BB16" s="259"/>
      <c r="BC16" s="258"/>
      <c r="BD16" s="259"/>
      <c r="BE16" s="258"/>
      <c r="BF16" s="259"/>
      <c r="BG16" s="258"/>
      <c r="BH16" s="259"/>
      <c r="BI16" s="258">
        <f>D16+F16+H16+J16+X16+N16+P16+R16+L16+T16+V16+AC16+AF16+AH16+AJ16+AL16+AN16+AP16+AR16+AU16+AW16+AY16+BA16+BC16+BG16+BE16+AA16</f>
        <v>0</v>
      </c>
      <c r="BJ16" s="259"/>
      <c r="BK16" s="263"/>
      <c r="BL16" s="263"/>
      <c r="BM16" s="264"/>
    </row>
    <row r="17" spans="1:65" s="276" customFormat="1" ht="21.75" customHeight="1" thickBot="1" x14ac:dyDescent="0.3">
      <c r="A17" s="240"/>
      <c r="B17" s="256"/>
      <c r="C17" s="259"/>
      <c r="D17" s="258"/>
      <c r="E17" s="259"/>
      <c r="F17" s="258"/>
      <c r="G17" s="259"/>
      <c r="H17" s="258"/>
      <c r="I17" s="259"/>
      <c r="J17" s="258"/>
      <c r="K17" s="259"/>
      <c r="L17" s="275"/>
      <c r="M17" s="259"/>
      <c r="N17" s="258"/>
      <c r="O17" s="259"/>
      <c r="P17" s="258"/>
      <c r="Q17" s="259"/>
      <c r="R17" s="258"/>
      <c r="S17" s="259"/>
      <c r="T17" s="258"/>
      <c r="U17" s="259"/>
      <c r="V17" s="258"/>
      <c r="W17" s="259"/>
      <c r="X17" s="258"/>
      <c r="Y17" s="259"/>
      <c r="Z17" s="259"/>
      <c r="AA17" s="258"/>
      <c r="AB17" s="259"/>
      <c r="AC17" s="258"/>
      <c r="AD17" s="259"/>
      <c r="AE17" s="259"/>
      <c r="AF17" s="258"/>
      <c r="AG17" s="259"/>
      <c r="AH17" s="258"/>
      <c r="AI17" s="259"/>
      <c r="AJ17" s="258"/>
      <c r="AK17" s="259"/>
      <c r="AL17" s="258"/>
      <c r="AM17" s="259"/>
      <c r="AN17" s="258"/>
      <c r="AO17" s="259"/>
      <c r="AP17" s="258"/>
      <c r="AQ17" s="259"/>
      <c r="AR17" s="258"/>
      <c r="AS17" s="259"/>
      <c r="AT17" s="259"/>
      <c r="AU17" s="258"/>
      <c r="AV17" s="259"/>
      <c r="AW17" s="258"/>
      <c r="AX17" s="259"/>
      <c r="AY17" s="258"/>
      <c r="AZ17" s="259"/>
      <c r="BA17" s="258"/>
      <c r="BB17" s="259"/>
      <c r="BC17" s="258"/>
      <c r="BD17" s="259"/>
      <c r="BE17" s="258"/>
      <c r="BF17" s="259"/>
      <c r="BG17" s="258"/>
      <c r="BH17" s="259"/>
      <c r="BI17" s="258">
        <f>D17+F17+H17+J17+X17+N17+P17+R17+L17+T17+V17+AC17+AF17+AH17+AJ17+AL17+AN17+AP17+AR17+AU17+AW17+AY17+BA17+BC17+BG17+BE17+AA17</f>
        <v>0</v>
      </c>
      <c r="BJ17" s="259"/>
      <c r="BK17" s="263"/>
      <c r="BL17" s="263"/>
      <c r="BM17" s="264"/>
    </row>
    <row r="18" spans="1:65" s="276" customFormat="1" ht="20.25" customHeight="1" thickBot="1" x14ac:dyDescent="0.3">
      <c r="A18" s="265" t="s">
        <v>321</v>
      </c>
      <c r="B18" s="266"/>
      <c r="C18" s="267"/>
      <c r="D18" s="268">
        <f>SUM(D10:D17)</f>
        <v>0</v>
      </c>
      <c r="E18" s="269"/>
      <c r="F18" s="268">
        <f>SUM(F10:F17)</f>
        <v>0</v>
      </c>
      <c r="G18" s="269"/>
      <c r="H18" s="268">
        <f>SUM(H10:H17)</f>
        <v>0</v>
      </c>
      <c r="I18" s="269"/>
      <c r="J18" s="268">
        <f>SUM(J10:J17)</f>
        <v>0</v>
      </c>
      <c r="K18" s="269"/>
      <c r="L18" s="268">
        <f>SUM(L10:L17)</f>
        <v>0</v>
      </c>
      <c r="M18" s="269"/>
      <c r="N18" s="268">
        <f>SUM(N10:N17)</f>
        <v>0</v>
      </c>
      <c r="O18" s="269"/>
      <c r="P18" s="268">
        <f>SUM(P10:P17)</f>
        <v>0</v>
      </c>
      <c r="Q18" s="269"/>
      <c r="R18" s="268">
        <f>SUM(R10:R17)</f>
        <v>0</v>
      </c>
      <c r="S18" s="269"/>
      <c r="T18" s="268">
        <f>SUM(T10:T17)</f>
        <v>0</v>
      </c>
      <c r="U18" s="269"/>
      <c r="V18" s="268">
        <f>SUM(V10:V17)</f>
        <v>0</v>
      </c>
      <c r="W18" s="269"/>
      <c r="X18" s="268">
        <f>SUM(X10:X17)</f>
        <v>0</v>
      </c>
      <c r="Y18" s="269"/>
      <c r="Z18" s="269"/>
      <c r="AA18" s="268">
        <f>SUM(AA10:AA17)</f>
        <v>0</v>
      </c>
      <c r="AB18" s="269"/>
      <c r="AC18" s="268">
        <f>SUM(AC10:AC17)</f>
        <v>0</v>
      </c>
      <c r="AD18" s="269"/>
      <c r="AE18" s="269"/>
      <c r="AF18" s="268">
        <f>SUM(AF10:AF17)</f>
        <v>0</v>
      </c>
      <c r="AG18" s="269"/>
      <c r="AH18" s="268">
        <f>SUM(AH10:AH17)</f>
        <v>0</v>
      </c>
      <c r="AI18" s="269"/>
      <c r="AJ18" s="268">
        <f>SUM(AJ10:AJ17)</f>
        <v>0</v>
      </c>
      <c r="AK18" s="269"/>
      <c r="AL18" s="268">
        <f>SUM(AL10:AL17)</f>
        <v>0</v>
      </c>
      <c r="AM18" s="269"/>
      <c r="AN18" s="268">
        <f>SUM(AN10:AN17)</f>
        <v>0</v>
      </c>
      <c r="AO18" s="269"/>
      <c r="AP18" s="268">
        <f>SUM(AP10:AP17)</f>
        <v>0</v>
      </c>
      <c r="AQ18" s="269"/>
      <c r="AR18" s="268">
        <f>SUM(AR10:AR17)</f>
        <v>0</v>
      </c>
      <c r="AS18" s="269"/>
      <c r="AT18" s="269"/>
      <c r="AU18" s="268">
        <f>SUM(AU10:AU17)</f>
        <v>0</v>
      </c>
      <c r="AV18" s="269"/>
      <c r="AW18" s="268">
        <f>SUM(AW10:AW17)</f>
        <v>0</v>
      </c>
      <c r="AX18" s="269"/>
      <c r="AY18" s="268">
        <f>SUM(AY10:AY17)</f>
        <v>0</v>
      </c>
      <c r="AZ18" s="269"/>
      <c r="BA18" s="268">
        <f>SUM(BA10:BA17)</f>
        <v>0</v>
      </c>
      <c r="BB18" s="269"/>
      <c r="BC18" s="268">
        <f>SUM(BC10:BC17)</f>
        <v>0</v>
      </c>
      <c r="BD18" s="269"/>
      <c r="BE18" s="268">
        <f>SUM(BE10:BE17)</f>
        <v>0</v>
      </c>
      <c r="BF18" s="269"/>
      <c r="BG18" s="268">
        <f>SUM(BG10:BG17)</f>
        <v>0</v>
      </c>
      <c r="BH18" s="269"/>
      <c r="BI18" s="268">
        <f>D18+F18+H18+J18+X18+N18+P18+R18+L18+T18+V18+AC18+AF18+AH18+AJ18+AL18+AN18+AP18+AR18+AU18+AW18+AY18+BA18+BC18+BG18+BE18+AA18</f>
        <v>0</v>
      </c>
      <c r="BJ18" s="269"/>
      <c r="BK18" s="270"/>
      <c r="BL18" s="270"/>
      <c r="BM18" s="264"/>
    </row>
    <row r="19" spans="1:65" s="276" customFormat="1" ht="18" x14ac:dyDescent="0.25">
      <c r="A19" s="240"/>
      <c r="B19" s="256"/>
      <c r="C19" s="259"/>
      <c r="D19" s="258"/>
      <c r="E19" s="259"/>
      <c r="F19" s="258"/>
      <c r="G19" s="259"/>
      <c r="H19" s="258"/>
      <c r="I19" s="259"/>
      <c r="J19" s="258"/>
      <c r="K19" s="259"/>
      <c r="L19" s="275"/>
      <c r="M19" s="259"/>
      <c r="N19" s="258"/>
      <c r="O19" s="259"/>
      <c r="P19" s="258"/>
      <c r="Q19" s="259"/>
      <c r="R19" s="258"/>
      <c r="S19" s="259"/>
      <c r="T19" s="258"/>
      <c r="U19" s="259"/>
      <c r="V19" s="258"/>
      <c r="W19" s="259"/>
      <c r="X19" s="258"/>
      <c r="Y19" s="259"/>
      <c r="Z19" s="259"/>
      <c r="AA19" s="258"/>
      <c r="AB19" s="259"/>
      <c r="AC19" s="258"/>
      <c r="AD19" s="259"/>
      <c r="AE19" s="259"/>
      <c r="AF19" s="258"/>
      <c r="AG19" s="259"/>
      <c r="AH19" s="258"/>
      <c r="AI19" s="259"/>
      <c r="AJ19" s="258"/>
      <c r="AK19" s="259"/>
      <c r="AL19" s="258"/>
      <c r="AM19" s="259"/>
      <c r="AN19" s="258"/>
      <c r="AO19" s="259"/>
      <c r="AP19" s="258"/>
      <c r="AQ19" s="259"/>
      <c r="AR19" s="258"/>
      <c r="AS19" s="259"/>
      <c r="AT19" s="259"/>
      <c r="AU19" s="258"/>
      <c r="AV19" s="259"/>
      <c r="AW19" s="258"/>
      <c r="AX19" s="259"/>
      <c r="AY19" s="258"/>
      <c r="AZ19" s="259"/>
      <c r="BA19" s="258"/>
      <c r="BB19" s="259"/>
      <c r="BC19" s="258"/>
      <c r="BD19" s="259"/>
      <c r="BE19" s="258"/>
      <c r="BF19" s="259"/>
      <c r="BG19" s="258"/>
      <c r="BH19" s="259"/>
      <c r="BI19" s="258"/>
      <c r="BJ19" s="271"/>
      <c r="BK19" s="263"/>
      <c r="BL19" s="263"/>
      <c r="BM19" s="264"/>
    </row>
    <row r="20" spans="1:65" s="276" customFormat="1" ht="18.75" thickBot="1" x14ac:dyDescent="0.3">
      <c r="A20" s="240"/>
      <c r="B20" s="256"/>
      <c r="C20" s="272"/>
      <c r="D20" s="258"/>
      <c r="E20" s="259"/>
      <c r="F20" s="258"/>
      <c r="G20" s="259"/>
      <c r="H20" s="258"/>
      <c r="I20" s="259"/>
      <c r="J20" s="258"/>
      <c r="K20" s="259"/>
      <c r="L20" s="275"/>
      <c r="M20" s="259"/>
      <c r="N20" s="258"/>
      <c r="O20" s="259"/>
      <c r="P20" s="258"/>
      <c r="Q20" s="259"/>
      <c r="R20" s="258"/>
      <c r="S20" s="259"/>
      <c r="T20" s="258"/>
      <c r="U20" s="259"/>
      <c r="V20" s="258"/>
      <c r="W20" s="259"/>
      <c r="X20" s="258"/>
      <c r="Y20" s="259"/>
      <c r="Z20" s="259"/>
      <c r="AA20" s="258"/>
      <c r="AB20" s="259"/>
      <c r="AC20" s="258"/>
      <c r="AD20" s="259"/>
      <c r="AE20" s="259"/>
      <c r="AF20" s="258"/>
      <c r="AG20" s="259"/>
      <c r="AH20" s="258"/>
      <c r="AI20" s="259"/>
      <c r="AJ20" s="258"/>
      <c r="AK20" s="259"/>
      <c r="AL20" s="258"/>
      <c r="AM20" s="259"/>
      <c r="AN20" s="258"/>
      <c r="AO20" s="259"/>
      <c r="AP20" s="258"/>
      <c r="AQ20" s="259"/>
      <c r="AR20" s="258"/>
      <c r="AS20" s="259"/>
      <c r="AT20" s="259"/>
      <c r="AU20" s="258"/>
      <c r="AV20" s="259"/>
      <c r="AW20" s="258"/>
      <c r="AX20" s="259"/>
      <c r="AY20" s="258"/>
      <c r="AZ20" s="259"/>
      <c r="BA20" s="258"/>
      <c r="BB20" s="259"/>
      <c r="BC20" s="258"/>
      <c r="BD20" s="259"/>
      <c r="BE20" s="258"/>
      <c r="BF20" s="259"/>
      <c r="BG20" s="258"/>
      <c r="BH20" s="259"/>
      <c r="BI20" s="258"/>
      <c r="BJ20" s="259"/>
      <c r="BK20" s="263"/>
      <c r="BL20" s="263"/>
      <c r="BM20" s="264"/>
    </row>
    <row r="21" spans="1:65" s="276" customFormat="1" ht="36.75" thickBot="1" x14ac:dyDescent="0.3">
      <c r="A21" s="265" t="s">
        <v>322</v>
      </c>
      <c r="B21" s="273"/>
      <c r="C21" s="269"/>
      <c r="D21" s="268">
        <f>D7+D18</f>
        <v>0</v>
      </c>
      <c r="E21" s="269"/>
      <c r="F21" s="268">
        <f>F7+F18</f>
        <v>0</v>
      </c>
      <c r="G21" s="269"/>
      <c r="H21" s="268">
        <f>H7+H18</f>
        <v>0</v>
      </c>
      <c r="I21" s="269"/>
      <c r="J21" s="268">
        <f>J7+J18</f>
        <v>0</v>
      </c>
      <c r="K21" s="269"/>
      <c r="L21" s="268">
        <f>L7+L18</f>
        <v>0</v>
      </c>
      <c r="M21" s="269"/>
      <c r="N21" s="268">
        <f>N7+N18</f>
        <v>0</v>
      </c>
      <c r="O21" s="269"/>
      <c r="P21" s="268">
        <f>P7+P18</f>
        <v>0</v>
      </c>
      <c r="Q21" s="269"/>
      <c r="R21" s="268">
        <f>R7+R18</f>
        <v>0</v>
      </c>
      <c r="S21" s="269"/>
      <c r="T21" s="268">
        <f>T7+T18</f>
        <v>0</v>
      </c>
      <c r="U21" s="269"/>
      <c r="V21" s="268">
        <f>V7+V18</f>
        <v>0</v>
      </c>
      <c r="W21" s="269"/>
      <c r="X21" s="268">
        <f>X7+X18</f>
        <v>0</v>
      </c>
      <c r="Y21" s="269"/>
      <c r="Z21" s="269"/>
      <c r="AA21" s="268">
        <f>AA7+AA18</f>
        <v>0</v>
      </c>
      <c r="AB21" s="269"/>
      <c r="AC21" s="268">
        <f>AC7+AC18</f>
        <v>0</v>
      </c>
      <c r="AD21" s="269"/>
      <c r="AE21" s="269"/>
      <c r="AF21" s="268">
        <f>AF7+AF18</f>
        <v>0</v>
      </c>
      <c r="AG21" s="269"/>
      <c r="AH21" s="268">
        <f>AH7+AH18</f>
        <v>0</v>
      </c>
      <c r="AI21" s="269"/>
      <c r="AJ21" s="268">
        <f>AJ7+AJ18</f>
        <v>0</v>
      </c>
      <c r="AK21" s="269"/>
      <c r="AL21" s="268">
        <f>AL7+AL18</f>
        <v>0</v>
      </c>
      <c r="AM21" s="269"/>
      <c r="AN21" s="268">
        <f>AN7+AN18</f>
        <v>0</v>
      </c>
      <c r="AO21" s="269"/>
      <c r="AP21" s="268">
        <f>AP7+AP18</f>
        <v>0</v>
      </c>
      <c r="AQ21" s="269"/>
      <c r="AR21" s="268">
        <f>AR7+AR18</f>
        <v>0</v>
      </c>
      <c r="AS21" s="269"/>
      <c r="AT21" s="269"/>
      <c r="AU21" s="268">
        <f>AU7+AU18</f>
        <v>0</v>
      </c>
      <c r="AV21" s="269"/>
      <c r="AW21" s="268">
        <f>AW7+AW18</f>
        <v>0</v>
      </c>
      <c r="AX21" s="269"/>
      <c r="AY21" s="268">
        <f>AY7+AY18</f>
        <v>0</v>
      </c>
      <c r="AZ21" s="269"/>
      <c r="BA21" s="268">
        <f>BA7+BA18</f>
        <v>0</v>
      </c>
      <c r="BB21" s="269"/>
      <c r="BC21" s="268">
        <f>BC7+BC18</f>
        <v>0</v>
      </c>
      <c r="BD21" s="269"/>
      <c r="BE21" s="268">
        <f>BE7+BE18</f>
        <v>0</v>
      </c>
      <c r="BF21" s="269"/>
      <c r="BG21" s="268">
        <f>BG7+BG18</f>
        <v>0</v>
      </c>
      <c r="BH21" s="269"/>
      <c r="BI21" s="268">
        <f>D21+F21+H21+J21+X21+N21+P21+R21+L21+T21+V21+AC21+AF21+AH21+AJ21+AL21+AN21+AP21+AR21+AU21+AW21+AY21+BA21+BC21+BG21+BE21+AA21</f>
        <v>0</v>
      </c>
      <c r="BJ21" s="269"/>
      <c r="BK21" s="270"/>
      <c r="BL21" s="270"/>
      <c r="BM21" s="264"/>
    </row>
    <row r="22" spans="1:65" s="276" customFormat="1" ht="18" x14ac:dyDescent="0.25">
      <c r="A22" s="240" t="s">
        <v>323</v>
      </c>
      <c r="B22" s="256"/>
      <c r="C22" s="262"/>
      <c r="D22" s="258"/>
      <c r="E22" s="259"/>
      <c r="F22" s="258"/>
      <c r="G22" s="259"/>
      <c r="H22" s="258"/>
      <c r="I22" s="259"/>
      <c r="J22" s="258"/>
      <c r="K22" s="259"/>
      <c r="L22" s="275"/>
      <c r="M22" s="259"/>
      <c r="N22" s="258"/>
      <c r="O22" s="259"/>
      <c r="P22" s="258"/>
      <c r="Q22" s="259"/>
      <c r="R22" s="258"/>
      <c r="S22" s="259"/>
      <c r="T22" s="258"/>
      <c r="U22" s="259"/>
      <c r="V22" s="258"/>
      <c r="W22" s="259"/>
      <c r="X22" s="258"/>
      <c r="Y22" s="259"/>
      <c r="Z22" s="259"/>
      <c r="AA22" s="258"/>
      <c r="AB22" s="259"/>
      <c r="AC22" s="258"/>
      <c r="AD22" s="259"/>
      <c r="AE22" s="259"/>
      <c r="AF22" s="258"/>
      <c r="AG22" s="259"/>
      <c r="AH22" s="258"/>
      <c r="AI22" s="259"/>
      <c r="AJ22" s="258"/>
      <c r="AK22" s="259"/>
      <c r="AL22" s="258"/>
      <c r="AM22" s="259"/>
      <c r="AN22" s="258"/>
      <c r="AO22" s="259"/>
      <c r="AP22" s="258"/>
      <c r="AQ22" s="259"/>
      <c r="AR22" s="258"/>
      <c r="AS22" s="259"/>
      <c r="AT22" s="259"/>
      <c r="AU22" s="258"/>
      <c r="AV22" s="259"/>
      <c r="AW22" s="258"/>
      <c r="AX22" s="259"/>
      <c r="AY22" s="258"/>
      <c r="AZ22" s="259"/>
      <c r="BA22" s="258"/>
      <c r="BB22" s="259"/>
      <c r="BC22" s="258"/>
      <c r="BD22" s="259"/>
      <c r="BE22" s="258"/>
      <c r="BF22" s="259"/>
      <c r="BG22" s="258"/>
      <c r="BH22" s="259"/>
      <c r="BI22" s="264"/>
      <c r="BJ22" s="262"/>
      <c r="BK22" s="263"/>
      <c r="BL22" s="263"/>
      <c r="BM22" s="264"/>
    </row>
    <row r="23" spans="1:65" s="276" customFormat="1" ht="36" x14ac:dyDescent="0.25">
      <c r="A23" s="240" t="s">
        <v>324</v>
      </c>
      <c r="B23" s="256" t="s">
        <v>325</v>
      </c>
      <c r="C23" s="257"/>
      <c r="D23" s="590">
        <f>-GenFundREV!I112</f>
        <v>0</v>
      </c>
      <c r="E23" s="259"/>
      <c r="F23" s="258">
        <f>-CharterFundRev!I107</f>
        <v>0</v>
      </c>
      <c r="G23" s="259"/>
      <c r="H23" s="258">
        <f>InsResv!I13</f>
        <v>0</v>
      </c>
      <c r="I23" s="259"/>
      <c r="J23" s="258">
        <f>'CPP Fund'!I14</f>
        <v>0</v>
      </c>
      <c r="K23" s="259"/>
      <c r="L23" s="275"/>
      <c r="M23" s="259"/>
      <c r="N23" s="258"/>
      <c r="O23" s="259"/>
      <c r="P23" s="258"/>
      <c r="Q23" s="259"/>
      <c r="R23" s="258"/>
      <c r="S23" s="259"/>
      <c r="T23" s="258"/>
      <c r="U23" s="259"/>
      <c r="V23" s="258"/>
      <c r="W23" s="259"/>
      <c r="X23" s="258"/>
      <c r="Y23" s="259"/>
      <c r="Z23" s="259"/>
      <c r="AA23" s="258"/>
      <c r="AB23" s="259"/>
      <c r="AC23" s="258"/>
      <c r="AD23" s="259"/>
      <c r="AE23" s="259"/>
      <c r="AF23" s="258"/>
      <c r="AG23" s="259"/>
      <c r="AH23" s="258"/>
      <c r="AI23" s="259"/>
      <c r="AJ23" s="258">
        <f>CapResCapPrj!I22</f>
        <v>0</v>
      </c>
      <c r="AK23" s="259"/>
      <c r="AL23" s="258"/>
      <c r="AM23" s="259"/>
      <c r="AN23" s="258"/>
      <c r="AO23" s="259"/>
      <c r="AP23" s="258"/>
      <c r="AQ23" s="259"/>
      <c r="AR23" s="258">
        <v>0</v>
      </c>
      <c r="AS23" s="259"/>
      <c r="AT23" s="259"/>
      <c r="AU23" s="258"/>
      <c r="AV23" s="259"/>
      <c r="AW23" s="258"/>
      <c r="AX23" s="259"/>
      <c r="AY23" s="258">
        <v>0</v>
      </c>
      <c r="AZ23" s="259"/>
      <c r="BA23" s="258">
        <v>0</v>
      </c>
      <c r="BB23" s="259"/>
      <c r="BC23" s="258"/>
      <c r="BD23" s="259"/>
      <c r="BE23" s="258"/>
      <c r="BF23" s="259"/>
      <c r="BG23" s="559">
        <f>Arbitrage!G19</f>
        <v>0</v>
      </c>
      <c r="BH23" s="259"/>
      <c r="BI23" s="258">
        <f>D23+F23+H23+J23+X23+N23+P23+R23+L23+T23+V23+AC23+AF23+AH23+AJ23+AL23+AN23+AP23+AR23+AU23+AW23+AY23+BA23+BC23+BG23+BE23+AA23</f>
        <v>0</v>
      </c>
      <c r="BJ23" s="260"/>
      <c r="BK23" s="263"/>
      <c r="BL23" s="263"/>
      <c r="BM23" s="264"/>
    </row>
    <row r="24" spans="1:65" s="276" customFormat="1" ht="18" x14ac:dyDescent="0.25">
      <c r="A24" s="240"/>
      <c r="B24" s="256"/>
      <c r="C24" s="257"/>
      <c r="D24" s="275"/>
      <c r="E24" s="259"/>
      <c r="F24" s="258"/>
      <c r="G24" s="259"/>
      <c r="H24" s="258"/>
      <c r="I24" s="259"/>
      <c r="J24" s="258"/>
      <c r="K24" s="259"/>
      <c r="L24" s="275"/>
      <c r="M24" s="259"/>
      <c r="N24" s="258"/>
      <c r="O24" s="259"/>
      <c r="P24" s="258"/>
      <c r="Q24" s="259"/>
      <c r="R24" s="258"/>
      <c r="S24" s="259"/>
      <c r="T24" s="258"/>
      <c r="U24" s="259"/>
      <c r="V24" s="258"/>
      <c r="W24" s="259"/>
      <c r="X24" s="258"/>
      <c r="Y24" s="259"/>
      <c r="Z24" s="259"/>
      <c r="AA24" s="258"/>
      <c r="AB24" s="259"/>
      <c r="AC24" s="258"/>
      <c r="AD24" s="259"/>
      <c r="AE24" s="259"/>
      <c r="AF24" s="258"/>
      <c r="AG24" s="259"/>
      <c r="AH24" s="258"/>
      <c r="AI24" s="259"/>
      <c r="AJ24" s="258"/>
      <c r="AK24" s="259"/>
      <c r="AL24" s="258"/>
      <c r="AM24" s="259"/>
      <c r="AN24" s="258"/>
      <c r="AO24" s="259"/>
      <c r="AP24" s="258"/>
      <c r="AQ24" s="259"/>
      <c r="AR24" s="258"/>
      <c r="AS24" s="259"/>
      <c r="AT24" s="259"/>
      <c r="AU24" s="258"/>
      <c r="AV24" s="259"/>
      <c r="AW24" s="258"/>
      <c r="AX24" s="259"/>
      <c r="AY24" s="258"/>
      <c r="AZ24" s="259"/>
      <c r="BA24" s="258"/>
      <c r="BB24" s="259"/>
      <c r="BC24" s="258"/>
      <c r="BD24" s="259"/>
      <c r="BE24" s="258"/>
      <c r="BF24" s="259"/>
      <c r="BG24" s="258"/>
      <c r="BH24" s="259"/>
      <c r="BI24" s="258"/>
      <c r="BJ24" s="262"/>
      <c r="BK24" s="263"/>
      <c r="BL24" s="263"/>
      <c r="BM24" s="264"/>
    </row>
    <row r="25" spans="1:65" s="276" customFormat="1" ht="36" x14ac:dyDescent="0.25">
      <c r="A25" s="240" t="s">
        <v>326</v>
      </c>
      <c r="B25" s="274" t="s">
        <v>327</v>
      </c>
      <c r="C25" s="257"/>
      <c r="D25" s="275">
        <f>GenFundREV!I96</f>
        <v>0</v>
      </c>
      <c r="E25" s="259"/>
      <c r="F25" s="258">
        <f>CharterFundRev!I93</f>
        <v>0</v>
      </c>
      <c r="G25" s="259"/>
      <c r="H25" s="258">
        <f>InsResv!I12</f>
        <v>0</v>
      </c>
      <c r="I25" s="259"/>
      <c r="J25" s="258">
        <f>'CPP Fund'!I13</f>
        <v>0</v>
      </c>
      <c r="K25" s="259"/>
      <c r="L25" s="275">
        <f>+ARRAGrants!J71</f>
        <v>0</v>
      </c>
      <c r="M25" s="259"/>
      <c r="N25" s="258">
        <f>SUM(FoodServiceSRF!I20)</f>
        <v>0</v>
      </c>
      <c r="O25" s="259"/>
      <c r="P25" s="258">
        <f>SUM(GovGrants!J71)</f>
        <v>0</v>
      </c>
      <c r="Q25" s="259"/>
      <c r="R25" s="258">
        <f>PupActiv!I14</f>
        <v>0</v>
      </c>
      <c r="S25" s="259"/>
      <c r="T25" s="258">
        <f>FullDayKOverride!I17</f>
        <v>0</v>
      </c>
      <c r="U25" s="259"/>
      <c r="V25" s="258">
        <f>Transp!I17</f>
        <v>0</v>
      </c>
      <c r="W25" s="259"/>
      <c r="X25" s="258">
        <f>OthSpecRev!I13</f>
        <v>0</v>
      </c>
      <c r="Y25" s="259"/>
      <c r="Z25" s="259"/>
      <c r="AA25" s="258">
        <f>BondRedm!I19</f>
        <v>0</v>
      </c>
      <c r="AB25" s="259"/>
      <c r="AC25" s="258">
        <f>COPDebt!I19</f>
        <v>0</v>
      </c>
      <c r="AD25" s="259"/>
      <c r="AE25" s="259"/>
      <c r="AF25" s="258">
        <f>BuildFund!I15</f>
        <v>0</v>
      </c>
      <c r="AG25" s="259"/>
      <c r="AH25" s="258">
        <f>SpecBuild!I12</f>
        <v>0</v>
      </c>
      <c r="AI25" s="259"/>
      <c r="AJ25" s="258">
        <f>CapResCapPrj!I19</f>
        <v>0</v>
      </c>
      <c r="AK25" s="259"/>
      <c r="AL25" s="258">
        <f>OtherEnterprise!I14</f>
        <v>0</v>
      </c>
      <c r="AM25" s="259"/>
      <c r="AN25" s="258">
        <f>'DO NOT USE'!I19</f>
        <v>0</v>
      </c>
      <c r="AO25" s="259"/>
      <c r="AP25" s="258">
        <f>OtherInternal!I16</f>
        <v>0</v>
      </c>
      <c r="AQ25" s="259"/>
      <c r="AR25" s="258">
        <v>0</v>
      </c>
      <c r="AS25" s="259"/>
      <c r="AT25" s="259"/>
      <c r="AU25" s="258">
        <f>RiskRelated!I12</f>
        <v>0</v>
      </c>
      <c r="AV25" s="259"/>
      <c r="AW25" s="258">
        <f>'Trust&amp;Agency'!I10</f>
        <v>0</v>
      </c>
      <c r="AX25" s="259"/>
      <c r="AY25" s="258">
        <v>0</v>
      </c>
      <c r="AZ25" s="259"/>
      <c r="BA25" s="258">
        <v>0</v>
      </c>
      <c r="BB25" s="259"/>
      <c r="BC25" s="258">
        <f>PupilActAgency!I11</f>
        <v>0</v>
      </c>
      <c r="BD25" s="259"/>
      <c r="BE25" s="258">
        <f>'Foundation Fund'!I10</f>
        <v>0</v>
      </c>
      <c r="BF25" s="259"/>
      <c r="BG25" s="559">
        <f>Arbitrage!G20</f>
        <v>0</v>
      </c>
      <c r="BH25" s="259"/>
      <c r="BI25" s="258">
        <f>D25+F25+H25+J25+X25+N25+P25+R25+L25+T25+V25+AC25+AF25+AH25+AJ25+AL25+AN25+AP25+AR25+AU25+AW25+AY25+BA25+BC25+BG25+BE25+AA25</f>
        <v>0</v>
      </c>
      <c r="BJ25" s="260"/>
      <c r="BK25" s="263"/>
      <c r="BL25" s="263"/>
      <c r="BM25" s="264"/>
    </row>
    <row r="26" spans="1:65" s="276" customFormat="1" ht="18" x14ac:dyDescent="0.25">
      <c r="A26" s="240"/>
      <c r="B26" s="256"/>
      <c r="C26" s="257"/>
      <c r="D26" s="275"/>
      <c r="E26" s="259"/>
      <c r="F26" s="258"/>
      <c r="G26" s="259"/>
      <c r="H26" s="258"/>
      <c r="I26" s="259"/>
      <c r="J26" s="258"/>
      <c r="K26" s="259"/>
      <c r="L26" s="275"/>
      <c r="M26" s="259"/>
      <c r="N26" s="258"/>
      <c r="O26" s="259"/>
      <c r="P26" s="258"/>
      <c r="Q26" s="259"/>
      <c r="R26" s="258"/>
      <c r="S26" s="259"/>
      <c r="T26" s="258"/>
      <c r="U26" s="259"/>
      <c r="V26" s="258"/>
      <c r="W26" s="259"/>
      <c r="X26" s="258"/>
      <c r="Y26" s="259"/>
      <c r="Z26" s="259"/>
      <c r="AA26" s="258"/>
      <c r="AB26" s="259"/>
      <c r="AC26" s="258"/>
      <c r="AD26" s="259"/>
      <c r="AE26" s="259"/>
      <c r="AF26" s="258"/>
      <c r="AG26" s="259"/>
      <c r="AH26" s="258"/>
      <c r="AI26" s="259"/>
      <c r="AJ26" s="258"/>
      <c r="AK26" s="259"/>
      <c r="AL26" s="258"/>
      <c r="AM26" s="259"/>
      <c r="AN26" s="258"/>
      <c r="AO26" s="259"/>
      <c r="AP26" s="258"/>
      <c r="AQ26" s="259"/>
      <c r="AR26" s="258"/>
      <c r="AS26" s="259"/>
      <c r="AT26" s="259"/>
      <c r="AU26" s="258"/>
      <c r="AV26" s="259"/>
      <c r="AW26" s="258"/>
      <c r="AX26" s="259"/>
      <c r="AY26" s="258"/>
      <c r="AZ26" s="259"/>
      <c r="BA26" s="258"/>
      <c r="BB26" s="259"/>
      <c r="BC26" s="258"/>
      <c r="BD26" s="259"/>
      <c r="BE26" s="258"/>
      <c r="BF26" s="259"/>
      <c r="BG26" s="258"/>
      <c r="BH26" s="259"/>
      <c r="BI26" s="258"/>
      <c r="BJ26" s="259"/>
      <c r="BK26" s="263"/>
      <c r="BL26" s="263"/>
      <c r="BM26" s="264"/>
    </row>
    <row r="27" spans="1:65" s="276" customFormat="1" ht="54" x14ac:dyDescent="0.25">
      <c r="A27" s="240" t="s">
        <v>328</v>
      </c>
      <c r="B27" s="256" t="s">
        <v>329</v>
      </c>
      <c r="C27" s="257"/>
      <c r="D27" s="275">
        <f>SUM(GenFundREV!I98+GenFundREV!I99+GenFundREV!I101+GenFundREV!I97+GenFundREV!I100)</f>
        <v>0</v>
      </c>
      <c r="E27" s="259"/>
      <c r="F27" s="275">
        <f>SUM(CharterFundRev!I94+CharterFundRev!I95+CharterFundRev!I96)</f>
        <v>0</v>
      </c>
      <c r="G27" s="259"/>
      <c r="H27" s="258">
        <f>InsResv!I14</f>
        <v>0</v>
      </c>
      <c r="I27" s="259"/>
      <c r="J27" s="258">
        <f>'CPP Fund'!I15</f>
        <v>0</v>
      </c>
      <c r="K27" s="259"/>
      <c r="L27" s="275">
        <f>SUM(ARRAGrants!J75:J84)</f>
        <v>0</v>
      </c>
      <c r="M27" s="259"/>
      <c r="N27" s="258">
        <f>SUM(FoodServiceSRF!I21)</f>
        <v>0</v>
      </c>
      <c r="O27" s="259"/>
      <c r="P27" s="258">
        <f>SUM(GovGrants!J75:J84)</f>
        <v>0</v>
      </c>
      <c r="Q27" s="259"/>
      <c r="R27" s="258">
        <f>PupActiv!I15</f>
        <v>0</v>
      </c>
      <c r="S27" s="259"/>
      <c r="T27" s="258">
        <f>FullDayKOverride!I18</f>
        <v>0</v>
      </c>
      <c r="U27" s="259"/>
      <c r="V27" s="258">
        <f>Transp!I18</f>
        <v>0</v>
      </c>
      <c r="W27" s="259"/>
      <c r="X27" s="258">
        <f>OthSpecRev!I14</f>
        <v>0</v>
      </c>
      <c r="Y27" s="259"/>
      <c r="Z27" s="259"/>
      <c r="AA27" s="258">
        <f>SUM(BondRedm!I16+BondRedm!I17+BondRedm!I18+BondRedm!I20)</f>
        <v>0</v>
      </c>
      <c r="AB27" s="259"/>
      <c r="AC27" s="258">
        <f>SUM(COPDebt!I16+COPDebt!I17+COPDebt!I18+COPDebt!I20)</f>
        <v>0</v>
      </c>
      <c r="AD27" s="259"/>
      <c r="AE27" s="259"/>
      <c r="AF27" s="258">
        <f>SUM(BuildFund!I12+BuildFund!I13+BuildFund!I14+BuildFund!I16)</f>
        <v>0</v>
      </c>
      <c r="AG27" s="259"/>
      <c r="AH27" s="258">
        <f>SpecBuild!I13</f>
        <v>0</v>
      </c>
      <c r="AI27" s="259"/>
      <c r="AJ27" s="258">
        <f>SUM(CapResCapPrj!I20+CapResCapPrj!I21+CapResCapPrj!I23)</f>
        <v>0</v>
      </c>
      <c r="AK27" s="259"/>
      <c r="AL27" s="258">
        <f>OtherEnterprise!I15</f>
        <v>0</v>
      </c>
      <c r="AM27" s="259"/>
      <c r="AN27" s="258">
        <f>'DO NOT USE'!I20</f>
        <v>0</v>
      </c>
      <c r="AO27" s="259"/>
      <c r="AP27" s="258">
        <f>OtherInternal!I17</f>
        <v>0</v>
      </c>
      <c r="AQ27" s="259"/>
      <c r="AR27" s="258">
        <v>0</v>
      </c>
      <c r="AS27" s="259"/>
      <c r="AT27" s="259"/>
      <c r="AU27" s="258">
        <f>SUM(RiskRelated!I13)</f>
        <v>0</v>
      </c>
      <c r="AV27" s="259"/>
      <c r="AW27" s="258">
        <f>'Trust&amp;Agency'!I11</f>
        <v>0</v>
      </c>
      <c r="AX27" s="259"/>
      <c r="AY27" s="258">
        <v>0</v>
      </c>
      <c r="AZ27" s="259"/>
      <c r="BA27" s="258">
        <v>0</v>
      </c>
      <c r="BB27" s="259"/>
      <c r="BC27" s="258">
        <f>PupilActAgency!I12</f>
        <v>0</v>
      </c>
      <c r="BD27" s="259"/>
      <c r="BE27" s="258">
        <f>'Foundation Fund'!I11</f>
        <v>0</v>
      </c>
      <c r="BF27" s="259"/>
      <c r="BG27" s="559">
        <f>Arbitrage!G18</f>
        <v>0</v>
      </c>
      <c r="BH27" s="259"/>
      <c r="BI27" s="258">
        <f>D27+F27+H27+J27+X27+N27+P27+R27+L27+T27+V27+AC27+AF27+AH27+AJ27+AL27+AN27+AP27+AR27+AU27+AW27+AY27+BA27+BC27+BG27+BE27+AA27</f>
        <v>0</v>
      </c>
      <c r="BJ27" s="259"/>
      <c r="BK27" s="263"/>
      <c r="BL27" s="263"/>
      <c r="BM27" s="264"/>
    </row>
    <row r="28" spans="1:65" s="276" customFormat="1" ht="18.75" thickBot="1" x14ac:dyDescent="0.3">
      <c r="A28" s="240"/>
      <c r="B28" s="256"/>
      <c r="C28" s="257"/>
      <c r="D28" s="258"/>
      <c r="E28" s="259"/>
      <c r="F28" s="258"/>
      <c r="G28" s="259"/>
      <c r="H28" s="258"/>
      <c r="I28" s="259"/>
      <c r="J28" s="258"/>
      <c r="K28" s="259"/>
      <c r="L28" s="275"/>
      <c r="M28" s="259"/>
      <c r="N28" s="258"/>
      <c r="O28" s="259"/>
      <c r="P28" s="258"/>
      <c r="Q28" s="259"/>
      <c r="R28" s="258"/>
      <c r="S28" s="259"/>
      <c r="T28" s="258"/>
      <c r="U28" s="259"/>
      <c r="V28" s="258"/>
      <c r="W28" s="259"/>
      <c r="X28" s="258"/>
      <c r="Y28" s="259"/>
      <c r="Z28" s="259"/>
      <c r="AA28" s="258"/>
      <c r="AB28" s="259"/>
      <c r="AC28" s="258"/>
      <c r="AD28" s="259"/>
      <c r="AE28" s="259"/>
      <c r="AF28" s="258"/>
      <c r="AG28" s="259"/>
      <c r="AH28" s="258"/>
      <c r="AI28" s="259"/>
      <c r="AJ28" s="258"/>
      <c r="AK28" s="259"/>
      <c r="AL28" s="258"/>
      <c r="AM28" s="259"/>
      <c r="AN28" s="258"/>
      <c r="AO28" s="259"/>
      <c r="AP28" s="258"/>
      <c r="AQ28" s="259"/>
      <c r="AR28" s="258"/>
      <c r="AS28" s="259"/>
      <c r="AT28" s="259"/>
      <c r="AU28" s="258"/>
      <c r="AV28" s="259"/>
      <c r="AW28" s="258"/>
      <c r="AX28" s="259"/>
      <c r="AY28" s="258"/>
      <c r="AZ28" s="259"/>
      <c r="BA28" s="258"/>
      <c r="BB28" s="259"/>
      <c r="BC28" s="258"/>
      <c r="BD28" s="259"/>
      <c r="BE28" s="258"/>
      <c r="BF28" s="259"/>
      <c r="BG28" s="258"/>
      <c r="BH28" s="259"/>
      <c r="BI28" s="258"/>
      <c r="BJ28" s="262"/>
      <c r="BK28" s="263"/>
      <c r="BL28" s="263"/>
      <c r="BM28" s="264"/>
    </row>
    <row r="29" spans="1:65" s="276" customFormat="1" ht="72.75" thickBot="1" x14ac:dyDescent="0.3">
      <c r="A29" s="265" t="s">
        <v>995</v>
      </c>
      <c r="B29" s="273"/>
      <c r="C29" s="269"/>
      <c r="D29" s="268">
        <f>D21+D23+D25+D27</f>
        <v>0</v>
      </c>
      <c r="E29" s="269"/>
      <c r="F29" s="268">
        <f>F21+F23+F25+F27</f>
        <v>0</v>
      </c>
      <c r="G29" s="269"/>
      <c r="H29" s="268">
        <f>H21+H23+H25+H27</f>
        <v>0</v>
      </c>
      <c r="I29" s="269"/>
      <c r="J29" s="268">
        <f>J21+J23+J25+J27</f>
        <v>0</v>
      </c>
      <c r="K29" s="269"/>
      <c r="L29" s="268">
        <f>L21+L23+L25+L27</f>
        <v>0</v>
      </c>
      <c r="M29" s="269"/>
      <c r="N29" s="268">
        <f>N21+N23+N25+N27</f>
        <v>0</v>
      </c>
      <c r="O29" s="269"/>
      <c r="P29" s="268">
        <f>P21+P23+P25+P27</f>
        <v>0</v>
      </c>
      <c r="Q29" s="269"/>
      <c r="R29" s="268">
        <f>R21+R23+R25+R27</f>
        <v>0</v>
      </c>
      <c r="S29" s="269"/>
      <c r="T29" s="268">
        <f>T21+T23+T25+T27</f>
        <v>0</v>
      </c>
      <c r="U29" s="269"/>
      <c r="V29" s="268">
        <f>V21+V23+V25+V27</f>
        <v>0</v>
      </c>
      <c r="W29" s="269"/>
      <c r="X29" s="268">
        <f>X21+X23+X25+X27</f>
        <v>0</v>
      </c>
      <c r="Y29" s="269"/>
      <c r="Z29" s="269"/>
      <c r="AA29" s="268">
        <f>AA21+AA23+AA25+AA27</f>
        <v>0</v>
      </c>
      <c r="AB29" s="269"/>
      <c r="AC29" s="268">
        <f>AC21+AC23+AC25+AC27</f>
        <v>0</v>
      </c>
      <c r="AD29" s="269"/>
      <c r="AE29" s="269"/>
      <c r="AF29" s="268">
        <f>AF21+AF23+AF25+AF27</f>
        <v>0</v>
      </c>
      <c r="AG29" s="269"/>
      <c r="AH29" s="268">
        <f>AH21+AH23+AH25+AH27</f>
        <v>0</v>
      </c>
      <c r="AI29" s="269"/>
      <c r="AJ29" s="268">
        <f>AJ21+AJ23+AJ25+AJ27</f>
        <v>0</v>
      </c>
      <c r="AK29" s="269"/>
      <c r="AL29" s="268">
        <f>AL21+AL23+AL25+AL27</f>
        <v>0</v>
      </c>
      <c r="AM29" s="269"/>
      <c r="AN29" s="268">
        <f>AN21+AN23+AN25+AN27</f>
        <v>0</v>
      </c>
      <c r="AO29" s="269"/>
      <c r="AP29" s="268">
        <f>AP21+AP23+AP25+AP27</f>
        <v>0</v>
      </c>
      <c r="AQ29" s="269"/>
      <c r="AR29" s="268">
        <f>AR21+AR23+AR25+AR27</f>
        <v>0</v>
      </c>
      <c r="AS29" s="269"/>
      <c r="AT29" s="269"/>
      <c r="AU29" s="268">
        <f>AU21+AU23+AU25+AU27</f>
        <v>0</v>
      </c>
      <c r="AV29" s="269"/>
      <c r="AW29" s="268">
        <f>AW21+AW23+AW25+AW27</f>
        <v>0</v>
      </c>
      <c r="AX29" s="269"/>
      <c r="AY29" s="268">
        <f>AY21+AY23+AY25+AY27</f>
        <v>0</v>
      </c>
      <c r="AZ29" s="269"/>
      <c r="BA29" s="268">
        <f>BA21+BA23+BA25+BA27</f>
        <v>0</v>
      </c>
      <c r="BB29" s="269"/>
      <c r="BC29" s="268">
        <f>BC21+BC23+BC25+BC27</f>
        <v>0</v>
      </c>
      <c r="BD29" s="269"/>
      <c r="BE29" s="268">
        <f>BE21+BE23+BE25+BE27</f>
        <v>0</v>
      </c>
      <c r="BF29" s="269"/>
      <c r="BG29" s="268">
        <f>BG21+BG23+BG25+BG27</f>
        <v>0</v>
      </c>
      <c r="BH29" s="269"/>
      <c r="BI29" s="268">
        <f>D29+F29+H29+J29+X29+N29+P29+R29+L29+T29+V29+AC29+AF29+AH29+AJ29+AL29+AN29+AP29+AR29+AU29+AW29+AY29+BA29+BC29+BG29+BE29+AA29</f>
        <v>0</v>
      </c>
      <c r="BJ29" s="269"/>
      <c r="BK29" s="270"/>
      <c r="BL29" s="270"/>
      <c r="BM29" s="264"/>
    </row>
    <row r="30" spans="1:65" s="276" customFormat="1" ht="18" x14ac:dyDescent="0.25">
      <c r="A30" s="252"/>
      <c r="B30" s="253"/>
      <c r="C30" s="262"/>
      <c r="D30" s="275"/>
      <c r="E30" s="259"/>
      <c r="F30" s="275"/>
      <c r="G30" s="259"/>
      <c r="H30" s="275"/>
      <c r="I30" s="259"/>
      <c r="J30" s="275"/>
      <c r="K30" s="259"/>
      <c r="L30" s="275"/>
      <c r="M30" s="259"/>
      <c r="N30" s="275"/>
      <c r="O30" s="259"/>
      <c r="P30" s="275"/>
      <c r="Q30" s="259"/>
      <c r="R30" s="275"/>
      <c r="S30" s="259"/>
      <c r="T30" s="275"/>
      <c r="U30" s="259"/>
      <c r="V30" s="275"/>
      <c r="W30" s="259"/>
      <c r="X30" s="275"/>
      <c r="Y30" s="259"/>
      <c r="Z30" s="259"/>
      <c r="AA30" s="275"/>
      <c r="AB30" s="259"/>
      <c r="AC30" s="275"/>
      <c r="AD30" s="259"/>
      <c r="AE30" s="259"/>
      <c r="AF30" s="275"/>
      <c r="AG30" s="259"/>
      <c r="AH30" s="275"/>
      <c r="AI30" s="259"/>
      <c r="AJ30" s="275"/>
      <c r="AK30" s="259"/>
      <c r="AL30" s="275"/>
      <c r="AM30" s="259"/>
      <c r="AN30" s="275"/>
      <c r="AO30" s="259"/>
      <c r="AP30" s="275"/>
      <c r="AQ30" s="259"/>
      <c r="AR30" s="275"/>
      <c r="AS30" s="259"/>
      <c r="AT30" s="259"/>
      <c r="AU30" s="275"/>
      <c r="AV30" s="259"/>
      <c r="AW30" s="275"/>
      <c r="AX30" s="259"/>
      <c r="AY30" s="275"/>
      <c r="AZ30" s="259"/>
      <c r="BA30" s="275"/>
      <c r="BB30" s="259"/>
      <c r="BC30" s="275"/>
      <c r="BD30" s="259"/>
      <c r="BE30" s="275"/>
      <c r="BF30" s="259"/>
      <c r="BG30" s="275"/>
      <c r="BH30" s="259"/>
      <c r="BJ30" s="262"/>
      <c r="BK30" s="263"/>
      <c r="BL30" s="263"/>
      <c r="BM30" s="264"/>
    </row>
    <row r="31" spans="1:65" s="276" customFormat="1" ht="28.5" customHeight="1" x14ac:dyDescent="0.3">
      <c r="A31" s="261" t="s">
        <v>330</v>
      </c>
      <c r="B31" s="256"/>
      <c r="C31" s="262"/>
      <c r="D31" s="258"/>
      <c r="E31" s="259"/>
      <c r="F31" s="258"/>
      <c r="G31" s="259"/>
      <c r="H31" s="258"/>
      <c r="I31" s="259"/>
      <c r="J31" s="258"/>
      <c r="K31" s="259"/>
      <c r="L31" s="591" t="s">
        <v>737</v>
      </c>
      <c r="M31" s="259"/>
      <c r="N31" s="258"/>
      <c r="O31" s="259"/>
      <c r="P31" s="592" t="s">
        <v>737</v>
      </c>
      <c r="Q31" s="259"/>
      <c r="R31" s="258"/>
      <c r="S31" s="259"/>
      <c r="T31" s="258"/>
      <c r="U31" s="259"/>
      <c r="V31" s="258"/>
      <c r="W31" s="259"/>
      <c r="X31" s="258"/>
      <c r="Y31" s="259"/>
      <c r="Z31" s="259"/>
      <c r="AA31" s="258"/>
      <c r="AB31" s="259"/>
      <c r="AC31" s="258"/>
      <c r="AD31" s="259"/>
      <c r="AE31" s="259"/>
      <c r="AF31" s="560"/>
      <c r="AG31" s="259"/>
      <c r="AH31" s="288" t="s">
        <v>270</v>
      </c>
      <c r="AI31" s="259"/>
      <c r="AJ31" s="288" t="s">
        <v>269</v>
      </c>
      <c r="AK31" s="259"/>
      <c r="AL31" s="288" t="s">
        <v>270</v>
      </c>
      <c r="AM31" s="259"/>
      <c r="AN31" s="593"/>
      <c r="AO31" s="259"/>
      <c r="AP31" s="288" t="s">
        <v>270</v>
      </c>
      <c r="AQ31" s="259"/>
      <c r="AR31" s="258"/>
      <c r="AS31" s="259"/>
      <c r="AT31" s="259"/>
      <c r="AU31" s="288" t="s">
        <v>270</v>
      </c>
      <c r="AV31" s="259"/>
      <c r="AW31" s="288" t="s">
        <v>269</v>
      </c>
      <c r="AX31" s="259"/>
      <c r="AY31" s="258"/>
      <c r="AZ31" s="259"/>
      <c r="BA31" s="258"/>
      <c r="BB31" s="259"/>
      <c r="BC31" s="288" t="s">
        <v>269</v>
      </c>
      <c r="BD31" s="259"/>
      <c r="BE31" s="288" t="s">
        <v>269</v>
      </c>
      <c r="BF31" s="259"/>
      <c r="BG31" s="288" t="s">
        <v>780</v>
      </c>
      <c r="BH31" s="259"/>
      <c r="BI31" s="264"/>
      <c r="BJ31" s="262"/>
      <c r="BK31" s="263"/>
      <c r="BL31" s="263"/>
      <c r="BM31" s="264"/>
    </row>
    <row r="32" spans="1:65" s="276" customFormat="1" ht="21.75" customHeight="1" x14ac:dyDescent="0.25">
      <c r="A32" s="240" t="s">
        <v>331</v>
      </c>
      <c r="B32" s="256"/>
      <c r="C32" s="262"/>
      <c r="D32" s="258"/>
      <c r="E32" s="259"/>
      <c r="F32" s="258"/>
      <c r="G32" s="259"/>
      <c r="H32" s="258"/>
      <c r="I32" s="259"/>
      <c r="J32" s="258"/>
      <c r="K32" s="259"/>
      <c r="L32" s="275"/>
      <c r="M32" s="259"/>
      <c r="N32" s="258"/>
      <c r="O32" s="259"/>
      <c r="P32" s="258"/>
      <c r="Q32" s="259"/>
      <c r="R32" s="258"/>
      <c r="S32" s="259"/>
      <c r="T32" s="292" t="s">
        <v>988</v>
      </c>
      <c r="U32" s="259"/>
      <c r="V32" s="258"/>
      <c r="W32" s="259"/>
      <c r="X32" s="258"/>
      <c r="Y32" s="259"/>
      <c r="Z32" s="259"/>
      <c r="AA32" s="258"/>
      <c r="AB32" s="259"/>
      <c r="AC32" s="258"/>
      <c r="AD32" s="259"/>
      <c r="AE32" s="259"/>
      <c r="AF32" s="258"/>
      <c r="AG32" s="259"/>
      <c r="AH32" s="258"/>
      <c r="AI32" s="259"/>
      <c r="AJ32" s="264"/>
      <c r="AK32" s="259"/>
      <c r="AL32" s="258"/>
      <c r="AM32" s="259"/>
      <c r="AN32" s="264"/>
      <c r="AO32" s="259"/>
      <c r="AP32" s="264"/>
      <c r="AQ32" s="259"/>
      <c r="AR32" s="258"/>
      <c r="AS32" s="259"/>
      <c r="AT32" s="259"/>
      <c r="AU32" s="264"/>
      <c r="AV32" s="259"/>
      <c r="AW32" s="264"/>
      <c r="AX32" s="259"/>
      <c r="AY32" s="258"/>
      <c r="AZ32" s="259"/>
      <c r="BA32" s="258"/>
      <c r="BB32" s="259"/>
      <c r="BC32" s="264"/>
      <c r="BD32" s="259"/>
      <c r="BE32" s="258"/>
      <c r="BF32" s="259"/>
      <c r="BG32" s="258"/>
      <c r="BH32" s="259"/>
      <c r="BI32" s="264"/>
      <c r="BJ32" s="262"/>
      <c r="BK32" s="263"/>
      <c r="BL32" s="263"/>
      <c r="BM32" s="264"/>
    </row>
    <row r="33" spans="1:65" s="276" customFormat="1" ht="21.75" customHeight="1" x14ac:dyDescent="0.25">
      <c r="A33" s="240" t="s">
        <v>332</v>
      </c>
      <c r="B33" s="277" t="s">
        <v>880</v>
      </c>
      <c r="C33" s="262"/>
      <c r="D33" s="594">
        <f>GenFundExp!B1079</f>
        <v>0</v>
      </c>
      <c r="E33" s="259"/>
      <c r="F33" s="595">
        <f>CharterFundExp!B1079</f>
        <v>0</v>
      </c>
      <c r="G33" s="259"/>
      <c r="H33" s="258"/>
      <c r="I33" s="259"/>
      <c r="J33" s="258">
        <f>'CPP Fund'!I28+'CPP Fund'!I29</f>
        <v>0</v>
      </c>
      <c r="K33" s="259"/>
      <c r="L33" s="275">
        <f>ARRAGrants!J170</f>
        <v>0</v>
      </c>
      <c r="M33" s="259"/>
      <c r="N33" s="258"/>
      <c r="O33" s="259"/>
      <c r="P33" s="258">
        <f>GovGrants!J170-GovGrants!J166</f>
        <v>0</v>
      </c>
      <c r="Q33" s="259"/>
      <c r="R33" s="258">
        <f>SUM(PupActiv!I29:I30)</f>
        <v>0</v>
      </c>
      <c r="S33" s="259"/>
      <c r="T33" s="258">
        <f>FullDayKOverride!I25+FullDayKOverride!I26</f>
        <v>0</v>
      </c>
      <c r="U33" s="259"/>
      <c r="V33" s="258"/>
      <c r="W33" s="259"/>
      <c r="X33" s="258">
        <f>OthSpecRev!I26</f>
        <v>0</v>
      </c>
      <c r="Y33" s="259"/>
      <c r="Z33" s="259"/>
      <c r="AA33" s="258"/>
      <c r="AB33" s="259"/>
      <c r="AC33" s="258"/>
      <c r="AD33" s="259"/>
      <c r="AE33" s="259"/>
      <c r="AF33" s="258"/>
      <c r="AG33" s="259"/>
      <c r="AH33" s="258">
        <f>SpecBuild!I21</f>
        <v>0</v>
      </c>
      <c r="AI33" s="259"/>
      <c r="AJ33" s="258">
        <f>CapResCapPrj!I35</f>
        <v>0</v>
      </c>
      <c r="AK33" s="259"/>
      <c r="AL33" s="258">
        <f>OtherEnterprise!I26</f>
        <v>0</v>
      </c>
      <c r="AM33" s="259"/>
      <c r="AO33" s="259"/>
      <c r="AP33" s="258">
        <f>OtherInternal!I28</f>
        <v>0</v>
      </c>
      <c r="AQ33" s="259"/>
      <c r="AR33" s="258"/>
      <c r="AS33" s="259"/>
      <c r="AT33" s="259"/>
      <c r="AU33" s="258">
        <f>RiskRelated!I24</f>
        <v>0</v>
      </c>
      <c r="AV33" s="259"/>
      <c r="AW33" s="258">
        <f>'Trust&amp;Agency'!I23</f>
        <v>0</v>
      </c>
      <c r="AX33" s="259"/>
      <c r="AY33" s="258"/>
      <c r="AZ33" s="259"/>
      <c r="BA33" s="258"/>
      <c r="BB33" s="259"/>
      <c r="BC33" s="258">
        <f>'Trust&amp;Agency'!I24</f>
        <v>0</v>
      </c>
      <c r="BD33" s="259"/>
      <c r="BE33" s="258">
        <f>'Foundation Fund'!I23</f>
        <v>0</v>
      </c>
      <c r="BF33" s="259"/>
      <c r="BG33" s="559">
        <f>SUM(Arbitrage!G25:G28)</f>
        <v>0</v>
      </c>
      <c r="BH33" s="259"/>
      <c r="BI33" s="258">
        <f t="shared" ref="BI33:BI38" si="0">D33+F33+H33+J33+X33+N33+P33+R33+L33+T33+V33+AC33+AF33+AH33+AJ33+AL33+AN33+AP33+AR33+AU33+AW33+AY33+BA33+BC33+BG33+BE33+AA33</f>
        <v>0</v>
      </c>
      <c r="BJ33" s="262"/>
      <c r="BK33" s="263"/>
      <c r="BL33" s="263"/>
      <c r="BM33" s="264"/>
    </row>
    <row r="34" spans="1:65" s="276" customFormat="1" ht="21.75" customHeight="1" x14ac:dyDescent="0.25">
      <c r="A34" s="240" t="s">
        <v>333</v>
      </c>
      <c r="B34" s="277" t="s">
        <v>881</v>
      </c>
      <c r="C34" s="262"/>
      <c r="D34" s="275">
        <f>GenFundExp!B1080</f>
        <v>0</v>
      </c>
      <c r="E34" s="259"/>
      <c r="F34" s="258">
        <f>CharterFundExp!B1080</f>
        <v>0</v>
      </c>
      <c r="G34" s="259"/>
      <c r="H34" s="258"/>
      <c r="I34" s="259"/>
      <c r="J34" s="258">
        <f>'CPP Fund'!I30+'CPP Fund'!I31</f>
        <v>0</v>
      </c>
      <c r="K34" s="259"/>
      <c r="L34" s="275"/>
      <c r="M34" s="259"/>
      <c r="N34" s="258"/>
      <c r="O34" s="259"/>
      <c r="P34" s="258"/>
      <c r="Q34" s="259"/>
      <c r="R34" s="258">
        <f>SUM(PupActiv!I31:I32)</f>
        <v>0</v>
      </c>
      <c r="S34" s="259"/>
      <c r="T34" s="258">
        <f>FullDayKOverride!I27+FullDayKOverride!I28</f>
        <v>0</v>
      </c>
      <c r="U34" s="259"/>
      <c r="V34" s="258"/>
      <c r="W34" s="259"/>
      <c r="X34" s="258">
        <f>OthSpecRev!I27</f>
        <v>0</v>
      </c>
      <c r="Y34" s="259"/>
      <c r="Z34" s="259"/>
      <c r="AA34" s="258"/>
      <c r="AB34" s="259"/>
      <c r="AC34" s="258"/>
      <c r="AD34" s="259"/>
      <c r="AE34" s="259"/>
      <c r="AF34" s="258"/>
      <c r="AG34" s="259"/>
      <c r="AH34" s="258"/>
      <c r="AI34" s="259"/>
      <c r="AJ34" s="258">
        <f>CapResCapPrj!I36</f>
        <v>0</v>
      </c>
      <c r="AK34" s="259"/>
      <c r="AL34" s="258">
        <f>OtherEnterprise!I27</f>
        <v>0</v>
      </c>
      <c r="AM34" s="259"/>
      <c r="AO34" s="259"/>
      <c r="AP34" s="258">
        <f>OtherInternal!I29</f>
        <v>0</v>
      </c>
      <c r="AQ34" s="259"/>
      <c r="AR34" s="258"/>
      <c r="AS34" s="259"/>
      <c r="AT34" s="259"/>
      <c r="AU34" s="258">
        <f>RiskRelated!I25</f>
        <v>0</v>
      </c>
      <c r="AV34" s="259"/>
      <c r="AW34" s="258">
        <f>'Trust&amp;Agency'!I24</f>
        <v>0</v>
      </c>
      <c r="AX34" s="259"/>
      <c r="AY34" s="258"/>
      <c r="AZ34" s="259"/>
      <c r="BA34" s="258"/>
      <c r="BB34" s="259"/>
      <c r="BC34" s="258">
        <f>PupilActAgency!I25</f>
        <v>0</v>
      </c>
      <c r="BD34" s="259"/>
      <c r="BE34" s="258">
        <f>'Foundation Fund'!I24</f>
        <v>0</v>
      </c>
      <c r="BF34" s="259"/>
      <c r="BG34" s="258"/>
      <c r="BH34" s="259"/>
      <c r="BI34" s="258">
        <f t="shared" si="0"/>
        <v>0</v>
      </c>
      <c r="BJ34" s="262"/>
      <c r="BK34" s="263"/>
      <c r="BL34" s="263"/>
      <c r="BM34" s="264"/>
    </row>
    <row r="35" spans="1:65" s="276" customFormat="1" ht="36" x14ac:dyDescent="0.25">
      <c r="A35" s="240" t="s">
        <v>334</v>
      </c>
      <c r="B35" s="277" t="s">
        <v>346</v>
      </c>
      <c r="C35" s="262"/>
      <c r="D35" s="594">
        <f>SUM(GenFundExp!B1081:B1101)</f>
        <v>0</v>
      </c>
      <c r="E35" s="259"/>
      <c r="F35" s="595">
        <f>SUM(CharterFundExp!B1081:B1101)</f>
        <v>0</v>
      </c>
      <c r="G35" s="259"/>
      <c r="H35" s="258"/>
      <c r="I35" s="259"/>
      <c r="J35" s="258">
        <f>SUM('CPP Fund'!I32:I49)</f>
        <v>0</v>
      </c>
      <c r="K35" s="259"/>
      <c r="L35" s="275"/>
      <c r="M35" s="259"/>
      <c r="N35" s="258"/>
      <c r="O35" s="259"/>
      <c r="P35" s="258"/>
      <c r="Q35" s="259"/>
      <c r="R35" s="258">
        <f>SUM(PupActiv!I33:I35)</f>
        <v>0</v>
      </c>
      <c r="S35" s="259"/>
      <c r="T35" s="258">
        <f>SUM(FullDayKOverride!I29:I31)</f>
        <v>0</v>
      </c>
      <c r="U35" s="259"/>
      <c r="V35" s="258"/>
      <c r="W35" s="259"/>
      <c r="X35" s="258">
        <f>SUM(OthSpecRev!I28:I30)</f>
        <v>0</v>
      </c>
      <c r="Y35" s="259"/>
      <c r="Z35" s="259"/>
      <c r="AA35" s="258"/>
      <c r="AB35" s="259"/>
      <c r="AC35" s="258"/>
      <c r="AD35" s="259"/>
      <c r="AE35" s="259"/>
      <c r="AF35" s="258"/>
      <c r="AG35" s="259"/>
      <c r="AH35" s="258">
        <f>SpecBuild!I22</f>
        <v>0</v>
      </c>
      <c r="AI35" s="259"/>
      <c r="AJ35" s="258">
        <f>SUM(CapResCapPrj!I37:I39)</f>
        <v>0</v>
      </c>
      <c r="AK35" s="259"/>
      <c r="AL35" s="258">
        <f>SUM(OtherEnterprise!I28:I30)</f>
        <v>0</v>
      </c>
      <c r="AM35" s="259"/>
      <c r="AO35" s="259"/>
      <c r="AP35" s="258">
        <f>SUM(OtherInternal!I30:I32)</f>
        <v>0</v>
      </c>
      <c r="AQ35" s="259"/>
      <c r="AR35" s="258"/>
      <c r="AS35" s="259"/>
      <c r="AT35" s="259"/>
      <c r="AU35" s="258">
        <f>SUM(RiskRelated!I26:I28)</f>
        <v>0</v>
      </c>
      <c r="AV35" s="259"/>
      <c r="AW35" s="258">
        <f>SUM('Trust&amp;Agency'!I25+'Trust&amp;Agency'!I26+'Trust&amp;Agency'!I27)</f>
        <v>0</v>
      </c>
      <c r="AX35" s="259"/>
      <c r="AY35" s="258"/>
      <c r="AZ35" s="259"/>
      <c r="BA35" s="258"/>
      <c r="BB35" s="259"/>
      <c r="BC35" s="258">
        <f>SUM(PupilActAgency!I26+PupilActAgency!I27+PupilActAgency!I28)</f>
        <v>0</v>
      </c>
      <c r="BD35" s="259"/>
      <c r="BE35" s="258">
        <f>SUM('Foundation Fund'!I25+'Foundation Fund'!I26+'Foundation Fund'!I27)</f>
        <v>0</v>
      </c>
      <c r="BF35" s="259"/>
      <c r="BG35" s="258"/>
      <c r="BH35" s="259"/>
      <c r="BI35" s="258">
        <f t="shared" si="0"/>
        <v>0</v>
      </c>
      <c r="BJ35" s="262"/>
      <c r="BK35" s="263"/>
      <c r="BL35" s="263"/>
      <c r="BM35" s="264"/>
    </row>
    <row r="36" spans="1:65" s="276" customFormat="1" ht="21.75" customHeight="1" x14ac:dyDescent="0.25">
      <c r="A36" s="240" t="s">
        <v>347</v>
      </c>
      <c r="B36" s="277" t="s">
        <v>885</v>
      </c>
      <c r="C36" s="262"/>
      <c r="D36" s="275">
        <f>GenFundExp!B1102+GenFundExp!B1103</f>
        <v>0</v>
      </c>
      <c r="E36" s="259"/>
      <c r="F36" s="258">
        <f>CharterFundExp!B1102+CharterFundExp!B1103</f>
        <v>0</v>
      </c>
      <c r="G36" s="259"/>
      <c r="H36" s="258"/>
      <c r="I36" s="259"/>
      <c r="J36" s="258">
        <f>SUM('CPP Fund'!I50:I51)</f>
        <v>0</v>
      </c>
      <c r="K36" s="259"/>
      <c r="L36" s="275"/>
      <c r="M36" s="259"/>
      <c r="N36" s="258"/>
      <c r="O36" s="259"/>
      <c r="P36" s="258"/>
      <c r="Q36" s="259"/>
      <c r="R36" s="258">
        <f>PupActiv!I36</f>
        <v>0</v>
      </c>
      <c r="S36" s="259"/>
      <c r="T36" s="258">
        <f>FullDayKOverride!I32</f>
        <v>0</v>
      </c>
      <c r="U36" s="259"/>
      <c r="V36" s="258"/>
      <c r="W36" s="259"/>
      <c r="X36" s="258">
        <f>OthSpecRev!I31</f>
        <v>0</v>
      </c>
      <c r="Y36" s="259"/>
      <c r="Z36" s="259"/>
      <c r="AA36" s="258"/>
      <c r="AB36" s="259"/>
      <c r="AC36" s="258"/>
      <c r="AD36" s="259"/>
      <c r="AE36" s="259"/>
      <c r="AF36" s="258"/>
      <c r="AG36" s="259"/>
      <c r="AH36" s="258">
        <f>SpecBuild!I23</f>
        <v>0</v>
      </c>
      <c r="AI36" s="259"/>
      <c r="AJ36" s="258">
        <f>CapResCapPrj!I40</f>
        <v>0</v>
      </c>
      <c r="AK36" s="259"/>
      <c r="AL36" s="258">
        <f>OtherEnterprise!I31</f>
        <v>0</v>
      </c>
      <c r="AM36" s="259"/>
      <c r="AO36" s="259"/>
      <c r="AP36" s="258">
        <f>OtherInternal!I33</f>
        <v>0</v>
      </c>
      <c r="AQ36" s="259"/>
      <c r="AR36" s="258"/>
      <c r="AS36" s="259"/>
      <c r="AT36" s="259"/>
      <c r="AU36" s="258">
        <f>RiskRelated!I29</f>
        <v>0</v>
      </c>
      <c r="AV36" s="259"/>
      <c r="AW36" s="258">
        <f>'Trust&amp;Agency'!I28</f>
        <v>0</v>
      </c>
      <c r="AX36" s="259"/>
      <c r="AY36" s="258"/>
      <c r="AZ36" s="259"/>
      <c r="BA36" s="258"/>
      <c r="BB36" s="259"/>
      <c r="BC36" s="258">
        <f>PupilActAgency!I29</f>
        <v>0</v>
      </c>
      <c r="BD36" s="259"/>
      <c r="BE36" s="258">
        <f>'Foundation Fund'!I28</f>
        <v>0</v>
      </c>
      <c r="BF36" s="259"/>
      <c r="BG36" s="258"/>
      <c r="BH36" s="259"/>
      <c r="BI36" s="258">
        <f t="shared" si="0"/>
        <v>0</v>
      </c>
      <c r="BJ36" s="262"/>
      <c r="BK36" s="263"/>
      <c r="BL36" s="263"/>
      <c r="BM36" s="264"/>
    </row>
    <row r="37" spans="1:65" s="276" customFormat="1" ht="21.75" customHeight="1" x14ac:dyDescent="0.25">
      <c r="A37" s="240" t="s">
        <v>348</v>
      </c>
      <c r="B37" s="277" t="s">
        <v>886</v>
      </c>
      <c r="C37" s="262"/>
      <c r="D37" s="275">
        <f>GenFundExp!B1104+GenFundExp!B1105+GenFundExp!B1106+GenFundExp!B1107</f>
        <v>0</v>
      </c>
      <c r="E37" s="259"/>
      <c r="F37" s="258">
        <f>CharterFundExp!B1104+CharterFundExp!B1105+CharterFundExp!B1106</f>
        <v>0</v>
      </c>
      <c r="G37" s="259"/>
      <c r="H37" s="258"/>
      <c r="I37" s="259"/>
      <c r="J37" s="258">
        <f>SUM('CPP Fund'!I52:I54)</f>
        <v>0</v>
      </c>
      <c r="K37" s="259"/>
      <c r="L37" s="275"/>
      <c r="M37" s="259"/>
      <c r="N37" s="258"/>
      <c r="O37" s="259"/>
      <c r="P37" s="258"/>
      <c r="Q37" s="259"/>
      <c r="R37" s="258">
        <f>SUM(PupActiv!I37:I37)</f>
        <v>0</v>
      </c>
      <c r="S37" s="259"/>
      <c r="T37" s="258">
        <f>SUM(FullDayKOverride!I33:I34)</f>
        <v>0</v>
      </c>
      <c r="U37" s="259"/>
      <c r="V37" s="258"/>
      <c r="W37" s="259"/>
      <c r="X37" s="258">
        <f>+OthSpecRev!I32</f>
        <v>0</v>
      </c>
      <c r="Y37" s="259"/>
      <c r="Z37" s="259"/>
      <c r="AA37" s="258"/>
      <c r="AB37" s="259"/>
      <c r="AC37" s="258"/>
      <c r="AD37" s="259"/>
      <c r="AE37" s="259"/>
      <c r="AF37" s="258"/>
      <c r="AG37" s="259"/>
      <c r="AH37" s="258">
        <f>SUM(SpecBuild!I24:I27)</f>
        <v>0</v>
      </c>
      <c r="AI37" s="259"/>
      <c r="AJ37" s="258">
        <f>SUM(CapResCapPrj!I41:I47)</f>
        <v>0</v>
      </c>
      <c r="AK37" s="259"/>
      <c r="AL37" s="258">
        <f>SUM(OtherEnterprise!I32:I33)</f>
        <v>0</v>
      </c>
      <c r="AM37" s="259"/>
      <c r="AO37" s="259"/>
      <c r="AP37" s="258">
        <f>SUM(OtherInternal!I34:I35)</f>
        <v>0</v>
      </c>
      <c r="AQ37" s="259"/>
      <c r="AR37" s="258"/>
      <c r="AS37" s="259"/>
      <c r="AT37" s="259"/>
      <c r="AU37" s="258">
        <f>SUM(RiskRelated!I30:I31)</f>
        <v>0</v>
      </c>
      <c r="AV37" s="259"/>
      <c r="AW37" s="258">
        <f>SUM('Trust&amp;Agency'!I29+'Trust&amp;Agency'!I30)</f>
        <v>0</v>
      </c>
      <c r="AX37" s="259"/>
      <c r="AY37" s="258"/>
      <c r="AZ37" s="259"/>
      <c r="BA37" s="258"/>
      <c r="BB37" s="259"/>
      <c r="BC37" s="258">
        <f>SUM(PupilActAgency!I30+PupilActAgency!I31)</f>
        <v>0</v>
      </c>
      <c r="BD37" s="259"/>
      <c r="BE37" s="258">
        <f>SUM('Foundation Fund'!I29+'Foundation Fund'!I30)</f>
        <v>0</v>
      </c>
      <c r="BF37" s="259"/>
      <c r="BG37" s="258"/>
      <c r="BH37" s="259"/>
      <c r="BI37" s="258">
        <f t="shared" si="0"/>
        <v>0</v>
      </c>
      <c r="BJ37" s="262"/>
      <c r="BK37" s="263"/>
      <c r="BL37" s="263"/>
      <c r="BM37" s="264"/>
    </row>
    <row r="38" spans="1:65" s="276" customFormat="1" ht="21.75" customHeight="1" thickBot="1" x14ac:dyDescent="0.3">
      <c r="A38" s="240" t="s">
        <v>349</v>
      </c>
      <c r="B38" s="277" t="s">
        <v>350</v>
      </c>
      <c r="C38" s="259"/>
      <c r="D38" s="275">
        <f>GenFundExp!B1108+GenFundExp!B1109+GenFundExp!B1110+GenFundExp!B1111</f>
        <v>0</v>
      </c>
      <c r="E38" s="259"/>
      <c r="F38" s="258">
        <f>CharterFundExp!B1107+CharterFundExp!B1108+CharterFundExp!B1109+CharterFundExp!B1110</f>
        <v>0</v>
      </c>
      <c r="G38" s="259"/>
      <c r="H38" s="258"/>
      <c r="I38" s="259"/>
      <c r="J38" s="258">
        <f>SUM('CPP Fund'!I55:I58)</f>
        <v>0</v>
      </c>
      <c r="K38" s="259"/>
      <c r="L38" s="275"/>
      <c r="M38" s="259"/>
      <c r="N38" s="258"/>
      <c r="O38" s="259"/>
      <c r="P38" s="258"/>
      <c r="Q38" s="259"/>
      <c r="R38" s="258">
        <f>PupActiv!I38</f>
        <v>0</v>
      </c>
      <c r="S38" s="259"/>
      <c r="T38" s="258">
        <f>FullDayKOverride!I35</f>
        <v>0</v>
      </c>
      <c r="U38" s="259"/>
      <c r="V38" s="258"/>
      <c r="W38" s="259"/>
      <c r="X38" s="258">
        <f>SUM(OthSpecRev!I33)</f>
        <v>0</v>
      </c>
      <c r="Y38" s="259"/>
      <c r="Z38" s="259"/>
      <c r="AA38" s="258"/>
      <c r="AB38" s="259"/>
      <c r="AC38" s="258"/>
      <c r="AD38" s="259"/>
      <c r="AE38" s="259"/>
      <c r="AF38" s="258"/>
      <c r="AG38" s="259"/>
      <c r="AH38" s="258">
        <f>SpecBuild!I28</f>
        <v>0</v>
      </c>
      <c r="AI38" s="259"/>
      <c r="AJ38" s="258">
        <f>CapResCapPrj!I48</f>
        <v>0</v>
      </c>
      <c r="AK38" s="259"/>
      <c r="AL38" s="258">
        <f>+OtherEnterprise!I34+OtherEnterprise!I35</f>
        <v>0</v>
      </c>
      <c r="AM38" s="259"/>
      <c r="AO38" s="259"/>
      <c r="AP38" s="258">
        <f>SUM(OtherInternal!I36:I37)</f>
        <v>0</v>
      </c>
      <c r="AQ38" s="259"/>
      <c r="AR38" s="258"/>
      <c r="AS38" s="259"/>
      <c r="AT38" s="259"/>
      <c r="AU38" s="258">
        <f>+RiskRelated!I32+RiskRelated!I33</f>
        <v>0</v>
      </c>
      <c r="AV38" s="259"/>
      <c r="AW38" s="258">
        <f>'Trust&amp;Agency'!I31</f>
        <v>0</v>
      </c>
      <c r="AX38" s="259"/>
      <c r="AY38" s="258"/>
      <c r="AZ38" s="259"/>
      <c r="BA38" s="258"/>
      <c r="BB38" s="259"/>
      <c r="BC38" s="258">
        <f>PupilActAgency!I32</f>
        <v>0</v>
      </c>
      <c r="BD38" s="259"/>
      <c r="BE38" s="258">
        <f>'Foundation Fund'!I31</f>
        <v>0</v>
      </c>
      <c r="BF38" s="259"/>
      <c r="BG38" s="258"/>
      <c r="BH38" s="259"/>
      <c r="BI38" s="258">
        <f t="shared" si="0"/>
        <v>0</v>
      </c>
      <c r="BJ38" s="259"/>
      <c r="BK38" s="263"/>
      <c r="BL38" s="263"/>
      <c r="BM38" s="264"/>
    </row>
    <row r="39" spans="1:65" s="276" customFormat="1" ht="21.75" customHeight="1" thickBot="1" x14ac:dyDescent="0.3">
      <c r="A39" s="265" t="s">
        <v>351</v>
      </c>
      <c r="B39" s="273"/>
      <c r="C39" s="269"/>
      <c r="D39" s="268">
        <f>SUM(D33:D38)</f>
        <v>0</v>
      </c>
      <c r="E39" s="269"/>
      <c r="F39" s="268">
        <f>SUM(F33:F38)</f>
        <v>0</v>
      </c>
      <c r="G39" s="269"/>
      <c r="H39" s="268">
        <f>SUM(H33:H38)</f>
        <v>0</v>
      </c>
      <c r="I39" s="269"/>
      <c r="J39" s="268">
        <f>SUM(J33:J38)</f>
        <v>0</v>
      </c>
      <c r="K39" s="269"/>
      <c r="L39" s="268">
        <f>SUM(L33:L38)</f>
        <v>0</v>
      </c>
      <c r="M39" s="269"/>
      <c r="N39" s="268">
        <f>SUM(N33:N38)</f>
        <v>0</v>
      </c>
      <c r="O39" s="269"/>
      <c r="P39" s="268">
        <f>SUM(P33:P38)</f>
        <v>0</v>
      </c>
      <c r="Q39" s="269"/>
      <c r="R39" s="268">
        <f>SUM(R33:R38)</f>
        <v>0</v>
      </c>
      <c r="S39" s="269"/>
      <c r="T39" s="268">
        <f>SUM(T33:T38)</f>
        <v>0</v>
      </c>
      <c r="U39" s="269"/>
      <c r="V39" s="268">
        <f>SUM(V33:V38)</f>
        <v>0</v>
      </c>
      <c r="W39" s="269"/>
      <c r="X39" s="268">
        <f>SUM(X33:X38)</f>
        <v>0</v>
      </c>
      <c r="Y39" s="269"/>
      <c r="Z39" s="269"/>
      <c r="AA39" s="268">
        <f>SUM(AA33:AA38)</f>
        <v>0</v>
      </c>
      <c r="AB39" s="269"/>
      <c r="AC39" s="268">
        <f>SUM(AC33:AC38)</f>
        <v>0</v>
      </c>
      <c r="AD39" s="269"/>
      <c r="AE39" s="269"/>
      <c r="AF39" s="268">
        <f>SUM(AF33:AF38)</f>
        <v>0</v>
      </c>
      <c r="AG39" s="269"/>
      <c r="AH39" s="268">
        <f>SUM(AH33:AH38)</f>
        <v>0</v>
      </c>
      <c r="AI39" s="269"/>
      <c r="AJ39" s="268">
        <f>SUM(AJ33:AJ38)</f>
        <v>0</v>
      </c>
      <c r="AK39" s="269"/>
      <c r="AL39" s="268">
        <f>SUM(AL33:AL38)</f>
        <v>0</v>
      </c>
      <c r="AM39" s="269"/>
      <c r="AN39" s="268">
        <f>SUM(AN33:AN38)</f>
        <v>0</v>
      </c>
      <c r="AO39" s="269"/>
      <c r="AP39" s="268">
        <f>SUM(AP33:AP38)</f>
        <v>0</v>
      </c>
      <c r="AQ39" s="269"/>
      <c r="AR39" s="268">
        <f>SUM(AR33:AR38)</f>
        <v>0</v>
      </c>
      <c r="AS39" s="269"/>
      <c r="AT39" s="269"/>
      <c r="AU39" s="268">
        <f>SUM(AU33:AU38)</f>
        <v>0</v>
      </c>
      <c r="AV39" s="269"/>
      <c r="AW39" s="268">
        <f>SUM(AW33:AW38)</f>
        <v>0</v>
      </c>
      <c r="AX39" s="269"/>
      <c r="AY39" s="268">
        <f>SUM(AY33:AY38)</f>
        <v>0</v>
      </c>
      <c r="AZ39" s="269"/>
      <c r="BA39" s="268">
        <f>SUM(BA33:BA38)</f>
        <v>0</v>
      </c>
      <c r="BB39" s="269"/>
      <c r="BC39" s="268">
        <f>SUM(BC33:BC38)</f>
        <v>0</v>
      </c>
      <c r="BD39" s="269"/>
      <c r="BE39" s="268">
        <f>SUM(BE33:BE38)</f>
        <v>0</v>
      </c>
      <c r="BF39" s="269"/>
      <c r="BG39" s="268">
        <f>SUM(BG33:BG38)</f>
        <v>0</v>
      </c>
      <c r="BH39" s="269"/>
      <c r="BI39" s="268">
        <f>D39+F39+H39+J39+X39+N39+P39+R39+L39+T39+V39+AC39+AF39+AH39+AJ39+AL39+AN39+AP39+AR39+AU39+AW39+AY39+BA39+BC39+BG39+BE39+AA39</f>
        <v>0</v>
      </c>
      <c r="BJ39" s="269"/>
      <c r="BK39" s="270"/>
      <c r="BL39" s="270"/>
      <c r="BM39" s="264"/>
    </row>
    <row r="40" spans="1:65" s="276" customFormat="1" ht="21.75" customHeight="1" x14ac:dyDescent="0.25">
      <c r="A40" s="240" t="s">
        <v>352</v>
      </c>
      <c r="B40" s="256"/>
      <c r="C40" s="262"/>
      <c r="D40" s="258"/>
      <c r="E40" s="259"/>
      <c r="F40" s="258"/>
      <c r="G40" s="259"/>
      <c r="H40" s="258"/>
      <c r="I40" s="259"/>
      <c r="J40" s="264"/>
      <c r="K40" s="259"/>
      <c r="L40" s="275"/>
      <c r="M40" s="259"/>
      <c r="N40" s="258"/>
      <c r="O40" s="259"/>
      <c r="P40" s="258"/>
      <c r="Q40" s="259"/>
      <c r="R40" s="258"/>
      <c r="S40" s="259"/>
      <c r="T40" s="258"/>
      <c r="U40" s="259"/>
      <c r="V40" s="258"/>
      <c r="W40" s="259"/>
      <c r="X40" s="264"/>
      <c r="Y40" s="259"/>
      <c r="Z40" s="259"/>
      <c r="AA40" s="258"/>
      <c r="AB40" s="259"/>
      <c r="AC40" s="258"/>
      <c r="AD40" s="259"/>
      <c r="AE40" s="259"/>
      <c r="AF40" s="258"/>
      <c r="AG40" s="259"/>
      <c r="AH40" s="258"/>
      <c r="AI40" s="259"/>
      <c r="AJ40" s="258"/>
      <c r="AK40" s="259"/>
      <c r="AL40" s="258"/>
      <c r="AM40" s="259"/>
      <c r="AN40" s="258"/>
      <c r="AO40" s="259"/>
      <c r="AP40" s="258"/>
      <c r="AQ40" s="259"/>
      <c r="AR40" s="258"/>
      <c r="AS40" s="259"/>
      <c r="AT40" s="259"/>
      <c r="AU40" s="258"/>
      <c r="AV40" s="259"/>
      <c r="AW40" s="264"/>
      <c r="AX40" s="259"/>
      <c r="AY40" s="258"/>
      <c r="AZ40" s="259"/>
      <c r="BA40" s="258"/>
      <c r="BB40" s="259"/>
      <c r="BC40" s="258"/>
      <c r="BD40" s="259"/>
      <c r="BE40" s="258"/>
      <c r="BF40" s="259"/>
      <c r="BG40" s="258"/>
      <c r="BH40" s="259"/>
      <c r="BI40" s="264"/>
      <c r="BJ40" s="262"/>
      <c r="BK40" s="263"/>
      <c r="BL40" s="263"/>
      <c r="BM40" s="264"/>
    </row>
    <row r="41" spans="1:65" s="276" customFormat="1" ht="21.75" customHeight="1" x14ac:dyDescent="0.25">
      <c r="A41" s="240" t="s">
        <v>353</v>
      </c>
      <c r="B41" s="256"/>
      <c r="C41" s="262"/>
      <c r="D41" s="258"/>
      <c r="E41" s="259"/>
      <c r="F41" s="258"/>
      <c r="G41" s="259"/>
      <c r="H41" s="258"/>
      <c r="I41" s="259"/>
      <c r="J41" s="292" t="s">
        <v>735</v>
      </c>
      <c r="K41" s="259"/>
      <c r="L41" s="275"/>
      <c r="M41" s="259"/>
      <c r="N41" s="724"/>
      <c r="O41" s="259"/>
      <c r="P41" s="258"/>
      <c r="Q41" s="259"/>
      <c r="R41" s="292" t="s">
        <v>738</v>
      </c>
      <c r="S41" s="259"/>
      <c r="T41" s="724"/>
      <c r="U41" s="259"/>
      <c r="V41" s="292" t="s">
        <v>739</v>
      </c>
      <c r="W41" s="259"/>
      <c r="X41" s="292" t="s">
        <v>735</v>
      </c>
      <c r="Y41" s="259"/>
      <c r="Z41" s="259"/>
      <c r="AA41" s="258"/>
      <c r="AB41" s="259"/>
      <c r="AC41" s="258"/>
      <c r="AD41" s="259"/>
      <c r="AE41" s="259"/>
      <c r="AF41" s="258"/>
      <c r="AG41" s="259"/>
      <c r="AH41" s="258"/>
      <c r="AI41" s="259"/>
      <c r="AJ41" s="287" t="s">
        <v>736</v>
      </c>
      <c r="AK41" s="259"/>
      <c r="AL41" s="258"/>
      <c r="AM41" s="259"/>
      <c r="AN41" s="258"/>
      <c r="AO41" s="259"/>
      <c r="AP41" s="287"/>
      <c r="AQ41" s="259"/>
      <c r="AR41" s="258"/>
      <c r="AS41" s="259"/>
      <c r="AT41" s="259"/>
      <c r="AU41" s="258"/>
      <c r="AV41" s="259"/>
      <c r="AW41" s="288" t="s">
        <v>1107</v>
      </c>
      <c r="AX41" s="259"/>
      <c r="AY41" s="258"/>
      <c r="AZ41" s="259"/>
      <c r="BA41" s="258"/>
      <c r="BB41" s="259"/>
      <c r="BC41" s="288" t="s">
        <v>1107</v>
      </c>
      <c r="BD41" s="259"/>
      <c r="BE41" s="288" t="s">
        <v>1107</v>
      </c>
      <c r="BF41" s="259"/>
      <c r="BG41" s="560"/>
      <c r="BH41" s="259"/>
      <c r="BI41" s="264"/>
      <c r="BJ41" s="262"/>
      <c r="BK41" s="263"/>
      <c r="BL41" s="263"/>
      <c r="BM41" s="264"/>
    </row>
    <row r="42" spans="1:65" s="276" customFormat="1" ht="21.75" customHeight="1" x14ac:dyDescent="0.25">
      <c r="A42" s="240" t="s">
        <v>332</v>
      </c>
      <c r="B42" s="277" t="s">
        <v>880</v>
      </c>
      <c r="C42" s="262"/>
      <c r="D42" s="258">
        <f>GenFundExp2!I10+GenFundExp2!I11</f>
        <v>0</v>
      </c>
      <c r="E42" s="259"/>
      <c r="F42" s="258">
        <f>CharterFundExp2!I10+CharterFundExp2!I11</f>
        <v>0</v>
      </c>
      <c r="G42" s="259"/>
      <c r="H42" s="258"/>
      <c r="I42" s="259"/>
      <c r="J42" s="258">
        <f>'CPP Fund'!I78+'CPP Fund'!I79</f>
        <v>0</v>
      </c>
      <c r="K42" s="259"/>
      <c r="L42" s="275"/>
      <c r="M42" s="259"/>
      <c r="N42" s="258"/>
      <c r="O42" s="259"/>
      <c r="P42" s="258"/>
      <c r="Q42" s="259"/>
      <c r="R42" s="258">
        <f>PupActiv!I43</f>
        <v>0</v>
      </c>
      <c r="S42" s="259"/>
      <c r="T42" s="258"/>
      <c r="U42" s="259"/>
      <c r="V42" s="258">
        <f>Transp!I26+Transp!I27</f>
        <v>0</v>
      </c>
      <c r="W42" s="259"/>
      <c r="X42" s="258">
        <f>OthSpecRev!I38</f>
        <v>0</v>
      </c>
      <c r="Y42" s="259"/>
      <c r="Z42" s="259"/>
      <c r="AA42" s="258"/>
      <c r="AB42" s="259"/>
      <c r="AC42" s="258"/>
      <c r="AD42" s="259"/>
      <c r="AE42" s="259"/>
      <c r="AF42" s="258"/>
      <c r="AG42" s="259"/>
      <c r="AH42" s="258"/>
      <c r="AI42" s="259"/>
      <c r="AJ42" s="258">
        <f>CapResCapPrj!I53</f>
        <v>0</v>
      </c>
      <c r="AK42" s="259"/>
      <c r="AL42" s="258"/>
      <c r="AM42" s="259"/>
      <c r="AN42" s="258"/>
      <c r="AO42" s="259"/>
      <c r="AP42" s="258"/>
      <c r="AQ42" s="259"/>
      <c r="AR42" s="258"/>
      <c r="AS42" s="259"/>
      <c r="AT42" s="259"/>
      <c r="AU42" s="258"/>
      <c r="AV42" s="259"/>
      <c r="AW42" s="258">
        <f>'Trust&amp;Agency'!I36</f>
        <v>0</v>
      </c>
      <c r="AX42" s="259"/>
      <c r="AY42" s="258"/>
      <c r="AZ42" s="259"/>
      <c r="BA42" s="258"/>
      <c r="BB42" s="259"/>
      <c r="BC42" s="258">
        <f>PupilActAgency!I37</f>
        <v>0</v>
      </c>
      <c r="BD42" s="259"/>
      <c r="BE42" s="258">
        <f>'Foundation Fund'!I36</f>
        <v>0</v>
      </c>
      <c r="BF42" s="259"/>
      <c r="BG42" s="258"/>
      <c r="BH42" s="259"/>
      <c r="BI42" s="258">
        <f t="shared" ref="BI42:BI47" si="1">D42+F42+H42+J42+X42+N42+P42+R42+L42+T42+V42+AC42+AF42+AH42+AJ42+AL42+AN42+AP42+AR42+AU42+AW42+AY42+BA42+BC42+BG42+BE42+AA42</f>
        <v>0</v>
      </c>
      <c r="BJ42" s="262"/>
      <c r="BK42" s="263"/>
      <c r="BL42" s="263"/>
      <c r="BM42" s="264"/>
    </row>
    <row r="43" spans="1:65" s="276" customFormat="1" ht="18" x14ac:dyDescent="0.25">
      <c r="A43" s="240" t="s">
        <v>333</v>
      </c>
      <c r="B43" s="277" t="s">
        <v>881</v>
      </c>
      <c r="C43" s="262"/>
      <c r="D43" s="258">
        <f>GenFundExp2!I12+GenFundExp2!I13</f>
        <v>0</v>
      </c>
      <c r="E43" s="259"/>
      <c r="F43" s="258">
        <f>CharterFundExp2!I12+CharterFundExp2!I13</f>
        <v>0</v>
      </c>
      <c r="G43" s="259"/>
      <c r="H43" s="258"/>
      <c r="I43" s="259"/>
      <c r="J43" s="258">
        <f>'CPP Fund'!I80+'CPP Fund'!I81</f>
        <v>0</v>
      </c>
      <c r="K43" s="259"/>
      <c r="L43" s="275"/>
      <c r="M43" s="259"/>
      <c r="N43" s="258"/>
      <c r="O43" s="259"/>
      <c r="P43" s="258"/>
      <c r="Q43" s="259"/>
      <c r="R43" s="258">
        <f>PupActiv!I44</f>
        <v>0</v>
      </c>
      <c r="S43" s="259"/>
      <c r="T43" s="258"/>
      <c r="U43" s="259"/>
      <c r="V43" s="258">
        <f>Transp!I28+Transp!I29</f>
        <v>0</v>
      </c>
      <c r="W43" s="259"/>
      <c r="X43" s="258">
        <f>OthSpecRev!I39</f>
        <v>0</v>
      </c>
      <c r="Y43" s="259"/>
      <c r="Z43" s="259"/>
      <c r="AA43" s="258"/>
      <c r="AB43" s="259"/>
      <c r="AC43" s="258"/>
      <c r="AD43" s="259"/>
      <c r="AE43" s="259"/>
      <c r="AF43" s="258"/>
      <c r="AG43" s="259"/>
      <c r="AH43" s="258"/>
      <c r="AI43" s="259"/>
      <c r="AJ43" s="258">
        <f>CapResCapPrj!I54</f>
        <v>0</v>
      </c>
      <c r="AK43" s="259"/>
      <c r="AL43" s="258"/>
      <c r="AM43" s="259"/>
      <c r="AN43" s="258"/>
      <c r="AO43" s="259"/>
      <c r="AP43" s="258"/>
      <c r="AQ43" s="259"/>
      <c r="AR43" s="258"/>
      <c r="AS43" s="259"/>
      <c r="AT43" s="259"/>
      <c r="AU43" s="258"/>
      <c r="AV43" s="259"/>
      <c r="AW43" s="258">
        <f>'Trust&amp;Agency'!I37</f>
        <v>0</v>
      </c>
      <c r="AX43" s="259"/>
      <c r="AY43" s="258"/>
      <c r="AZ43" s="259"/>
      <c r="BA43" s="258"/>
      <c r="BB43" s="259"/>
      <c r="BC43" s="258">
        <f>PupilActAgency!I38</f>
        <v>0</v>
      </c>
      <c r="BD43" s="259"/>
      <c r="BE43" s="258">
        <f>'Foundation Fund'!I37</f>
        <v>0</v>
      </c>
      <c r="BF43" s="259"/>
      <c r="BG43" s="258"/>
      <c r="BH43" s="259"/>
      <c r="BI43" s="258">
        <f t="shared" si="1"/>
        <v>0</v>
      </c>
      <c r="BJ43" s="262"/>
      <c r="BK43" s="263"/>
      <c r="BL43" s="263"/>
      <c r="BM43" s="264"/>
    </row>
    <row r="44" spans="1:65" s="276" customFormat="1" ht="36" x14ac:dyDescent="0.25">
      <c r="A44" s="240" t="s">
        <v>334</v>
      </c>
      <c r="B44" s="277" t="s">
        <v>346</v>
      </c>
      <c r="C44" s="262"/>
      <c r="D44" s="258">
        <f>SUM(GenFundExp2!I14+GenFundExp2!I15+GenFundExp2!I16+GenFundExp2!I17+GenFundExp2!I18+GenFundExp2!I19+GenFundExp2!I20+GenFundExp2!I21+GenFundExp2!I22+GenFundExp2!I23+GenFundExp2!I24+GenFundExp2!I25+GenFundExp2!I27+GenFundExp2!I28+GenFundExp2!I29+GenFundExp2!I30+GenFundExp2!I31+GenFundExp2!I32+GenFundExp2!I26)</f>
        <v>0</v>
      </c>
      <c r="E44" s="259"/>
      <c r="F44" s="258">
        <f>SUM(CharterFundExp2!I14+CharterFundExp2!I15+CharterFundExp2!I16+CharterFundExp2!I17+CharterFundExp2!I18+CharterFundExp2!I19+CharterFundExp2!I20+CharterFundExp2!I21+CharterFundExp2!I22+CharterFundExp2!I23+CharterFundExp2!I24+CharterFundExp2!I25+CharterFundExp2!I26+CharterFundExp2!I27+CharterFundExp2!I28+CharterFundExp2!I29+CharterFundExp2!I30+CharterFundExp2!I31+CharterFundExp2!I32)</f>
        <v>0</v>
      </c>
      <c r="G44" s="259"/>
      <c r="H44" s="258"/>
      <c r="I44" s="259"/>
      <c r="J44" s="258">
        <f>SUM('CPP Fund'!I82:I99)</f>
        <v>0</v>
      </c>
      <c r="K44" s="259"/>
      <c r="L44" s="275"/>
      <c r="M44" s="259"/>
      <c r="N44" s="258"/>
      <c r="O44" s="259"/>
      <c r="P44" s="258"/>
      <c r="Q44" s="259"/>
      <c r="R44" s="258">
        <f>SUM(PupActiv!I45:I47)</f>
        <v>0</v>
      </c>
      <c r="S44" s="259"/>
      <c r="T44" s="258"/>
      <c r="U44" s="259"/>
      <c r="V44" s="258">
        <f>SUM(Transp!I30:I32)</f>
        <v>0</v>
      </c>
      <c r="W44" s="259"/>
      <c r="X44" s="258">
        <f>SUM(OthSpecRev!I40:I42)</f>
        <v>0</v>
      </c>
      <c r="Y44" s="259"/>
      <c r="Z44" s="259"/>
      <c r="AA44" s="258"/>
      <c r="AB44" s="259"/>
      <c r="AC44" s="258"/>
      <c r="AD44" s="259"/>
      <c r="AE44" s="259"/>
      <c r="AF44" s="258"/>
      <c r="AG44" s="259"/>
      <c r="AH44" s="258"/>
      <c r="AI44" s="259"/>
      <c r="AJ44" s="258">
        <f>SUM(CapResCapPrj!I55:I57)</f>
        <v>0</v>
      </c>
      <c r="AK44" s="259"/>
      <c r="AL44" s="258"/>
      <c r="AM44" s="259"/>
      <c r="AN44" s="258"/>
      <c r="AO44" s="259"/>
      <c r="AP44" s="258"/>
      <c r="AQ44" s="259"/>
      <c r="AR44" s="258"/>
      <c r="AS44" s="259"/>
      <c r="AT44" s="259"/>
      <c r="AU44" s="258"/>
      <c r="AV44" s="259"/>
      <c r="AW44" s="258">
        <f>SUM('Trust&amp;Agency'!I38+'Trust&amp;Agency'!I39+'Trust&amp;Agency'!I40)</f>
        <v>0</v>
      </c>
      <c r="AX44" s="259"/>
      <c r="AY44" s="258"/>
      <c r="AZ44" s="259"/>
      <c r="BA44" s="258"/>
      <c r="BB44" s="259"/>
      <c r="BC44" s="258">
        <f>SUM(PupilActAgency!I39+PupilActAgency!I40+PupilActAgency!I41)</f>
        <v>0</v>
      </c>
      <c r="BD44" s="259"/>
      <c r="BE44" s="258">
        <f>SUM('Foundation Fund'!I38+'Foundation Fund'!I39+'Foundation Fund'!I40)</f>
        <v>0</v>
      </c>
      <c r="BF44" s="259"/>
      <c r="BG44" s="258"/>
      <c r="BH44" s="259"/>
      <c r="BI44" s="258">
        <f t="shared" si="1"/>
        <v>0</v>
      </c>
      <c r="BJ44" s="262"/>
      <c r="BK44" s="263"/>
      <c r="BL44" s="263"/>
      <c r="BM44" s="264"/>
    </row>
    <row r="45" spans="1:65" s="276" customFormat="1" ht="18" x14ac:dyDescent="0.25">
      <c r="A45" s="240" t="s">
        <v>347</v>
      </c>
      <c r="B45" s="277" t="s">
        <v>885</v>
      </c>
      <c r="C45" s="262"/>
      <c r="D45" s="258">
        <f>SUM(GenFundExp2!I33+GenFundExp2!I34)</f>
        <v>0</v>
      </c>
      <c r="E45" s="259"/>
      <c r="F45" s="258">
        <f>SUM(CharterFundExp2!I33+CharterFundExp2!I34)</f>
        <v>0</v>
      </c>
      <c r="G45" s="259"/>
      <c r="H45" s="258"/>
      <c r="I45" s="259"/>
      <c r="J45" s="258">
        <f>SUM('CPP Fund'!I100:I101)</f>
        <v>0</v>
      </c>
      <c r="K45" s="259"/>
      <c r="L45" s="275"/>
      <c r="M45" s="259"/>
      <c r="N45" s="258"/>
      <c r="O45" s="259"/>
      <c r="P45" s="258"/>
      <c r="Q45" s="259"/>
      <c r="R45" s="258">
        <f>PupActiv!I48</f>
        <v>0</v>
      </c>
      <c r="S45" s="259"/>
      <c r="T45" s="258"/>
      <c r="U45" s="259"/>
      <c r="V45" s="258">
        <f>Transp!I33</f>
        <v>0</v>
      </c>
      <c r="W45" s="259"/>
      <c r="X45" s="258">
        <f>SUM(OthSpecRev!I43)</f>
        <v>0</v>
      </c>
      <c r="Y45" s="259"/>
      <c r="Z45" s="259"/>
      <c r="AA45" s="258"/>
      <c r="AB45" s="259"/>
      <c r="AC45" s="258"/>
      <c r="AD45" s="259"/>
      <c r="AE45" s="259"/>
      <c r="AF45" s="258"/>
      <c r="AG45" s="259"/>
      <c r="AH45" s="258"/>
      <c r="AI45" s="259"/>
      <c r="AJ45" s="258">
        <f>CapResCapPrj!I58</f>
        <v>0</v>
      </c>
      <c r="AK45" s="259"/>
      <c r="AL45" s="258"/>
      <c r="AM45" s="259"/>
      <c r="AN45" s="258"/>
      <c r="AO45" s="259"/>
      <c r="AP45" s="258"/>
      <c r="AQ45" s="259"/>
      <c r="AR45" s="258"/>
      <c r="AS45" s="259"/>
      <c r="AT45" s="259"/>
      <c r="AU45" s="258"/>
      <c r="AV45" s="259"/>
      <c r="AW45" s="258">
        <f>'Trust&amp;Agency'!I41</f>
        <v>0</v>
      </c>
      <c r="AX45" s="259"/>
      <c r="AY45" s="258"/>
      <c r="AZ45" s="259"/>
      <c r="BA45" s="258"/>
      <c r="BB45" s="259"/>
      <c r="BC45" s="258">
        <f>PupilActAgency!I42</f>
        <v>0</v>
      </c>
      <c r="BD45" s="259"/>
      <c r="BE45" s="258">
        <f>'Foundation Fund'!I41</f>
        <v>0</v>
      </c>
      <c r="BF45" s="259"/>
      <c r="BG45" s="258"/>
      <c r="BH45" s="259"/>
      <c r="BI45" s="258">
        <f t="shared" si="1"/>
        <v>0</v>
      </c>
      <c r="BJ45" s="262"/>
      <c r="BK45" s="263"/>
      <c r="BL45" s="263"/>
      <c r="BM45" s="264"/>
    </row>
    <row r="46" spans="1:65" s="276" customFormat="1" ht="18" x14ac:dyDescent="0.25">
      <c r="A46" s="240" t="s">
        <v>348</v>
      </c>
      <c r="B46" s="277" t="s">
        <v>886</v>
      </c>
      <c r="C46" s="262"/>
      <c r="D46" s="258">
        <f>SUM(GenFundExp2!I35+GenFundExp2!I36+GenFundExp2!I37)</f>
        <v>0</v>
      </c>
      <c r="E46" s="259"/>
      <c r="F46" s="258">
        <f>SUM(CharterFundExp2!I35+CharterFundExp2!I36+CharterFundExp2!I37)</f>
        <v>0</v>
      </c>
      <c r="G46" s="259"/>
      <c r="H46" s="258"/>
      <c r="I46" s="259"/>
      <c r="J46" s="258">
        <f>SUM('CPP Fund'!I102:I105)</f>
        <v>0</v>
      </c>
      <c r="K46" s="259"/>
      <c r="L46" s="275"/>
      <c r="M46" s="259"/>
      <c r="N46" s="258"/>
      <c r="O46" s="259"/>
      <c r="P46" s="258"/>
      <c r="Q46" s="259"/>
      <c r="R46" s="258">
        <f>SUM(PupActiv!I49:I49)</f>
        <v>0</v>
      </c>
      <c r="S46" s="259"/>
      <c r="T46" s="258"/>
      <c r="U46" s="259"/>
      <c r="V46" s="258">
        <f>SUM(Transp!I34:I35)</f>
        <v>0</v>
      </c>
      <c r="W46" s="259"/>
      <c r="X46" s="258">
        <f>SUM(OthSpecRev!I44:I44)</f>
        <v>0</v>
      </c>
      <c r="Y46" s="259"/>
      <c r="Z46" s="259"/>
      <c r="AA46" s="258"/>
      <c r="AB46" s="259"/>
      <c r="AC46" s="258"/>
      <c r="AD46" s="259"/>
      <c r="AE46" s="259"/>
      <c r="AF46" s="258"/>
      <c r="AG46" s="259"/>
      <c r="AH46" s="258"/>
      <c r="AI46" s="259"/>
      <c r="AJ46" s="258">
        <f>SUM(CapResCapPrj!I59:I65)</f>
        <v>0</v>
      </c>
      <c r="AK46" s="259"/>
      <c r="AL46" s="258"/>
      <c r="AM46" s="259"/>
      <c r="AN46" s="258"/>
      <c r="AO46" s="259"/>
      <c r="AP46" s="258"/>
      <c r="AQ46" s="259"/>
      <c r="AR46" s="258"/>
      <c r="AS46" s="259"/>
      <c r="AT46" s="259"/>
      <c r="AU46" s="258"/>
      <c r="AV46" s="259"/>
      <c r="AW46" s="258">
        <f>SUM('Trust&amp;Agency'!I42+'Trust&amp;Agency'!I43)</f>
        <v>0</v>
      </c>
      <c r="AX46" s="259"/>
      <c r="AY46" s="258"/>
      <c r="AZ46" s="259"/>
      <c r="BA46" s="258"/>
      <c r="BB46" s="259"/>
      <c r="BC46" s="258">
        <f>SUM(PupilActAgency!I43+PupilActAgency!I44)</f>
        <v>0</v>
      </c>
      <c r="BD46" s="259"/>
      <c r="BE46" s="258">
        <f>SUM('Foundation Fund'!I42+'Foundation Fund'!I43)</f>
        <v>0</v>
      </c>
      <c r="BF46" s="259"/>
      <c r="BG46" s="258"/>
      <c r="BH46" s="259"/>
      <c r="BI46" s="258">
        <f t="shared" si="1"/>
        <v>0</v>
      </c>
      <c r="BJ46" s="262"/>
      <c r="BK46" s="263"/>
      <c r="BL46" s="263"/>
      <c r="BM46" s="264"/>
    </row>
    <row r="47" spans="1:65" s="276" customFormat="1" ht="18.75" thickBot="1" x14ac:dyDescent="0.3">
      <c r="A47" s="240" t="s">
        <v>349</v>
      </c>
      <c r="B47" s="277" t="s">
        <v>350</v>
      </c>
      <c r="C47" s="262"/>
      <c r="D47" s="258">
        <f>SUM(GenFundExp2!I38+GenFundExp2!I39+GenFundExp2!I40+GenFundExp2!I41+GenFundExp2!I42+GenFundExp2!I43)</f>
        <v>0</v>
      </c>
      <c r="E47" s="259"/>
      <c r="F47" s="258">
        <f>SUM(CharterFundExp2!I38+CharterFundExp2!I39+CharterFundExp2!I40+CharterFundExp2!I41+CharterFundExp2!I42+CharterFundExp2!I43)</f>
        <v>0</v>
      </c>
      <c r="G47" s="259"/>
      <c r="H47" s="258"/>
      <c r="I47" s="259"/>
      <c r="J47" s="258">
        <f>SUM('CPP Fund'!I106:I111)</f>
        <v>0</v>
      </c>
      <c r="K47" s="259"/>
      <c r="L47" s="275"/>
      <c r="M47" s="259"/>
      <c r="N47" s="258"/>
      <c r="O47" s="259"/>
      <c r="P47" s="258"/>
      <c r="Q47" s="259"/>
      <c r="R47" s="258">
        <f>SUM(PupActiv!I51:I51)</f>
        <v>0</v>
      </c>
      <c r="S47" s="259"/>
      <c r="T47" s="258"/>
      <c r="U47" s="259"/>
      <c r="V47" s="258">
        <f>Transp!I36</f>
        <v>0</v>
      </c>
      <c r="W47" s="259"/>
      <c r="X47" s="258">
        <f>OthSpecRev!I45</f>
        <v>0</v>
      </c>
      <c r="Y47" s="259"/>
      <c r="Z47" s="259"/>
      <c r="AA47" s="258"/>
      <c r="AB47" s="259"/>
      <c r="AC47" s="258"/>
      <c r="AD47" s="259"/>
      <c r="AE47" s="259"/>
      <c r="AF47" s="258"/>
      <c r="AG47" s="259"/>
      <c r="AH47" s="258"/>
      <c r="AI47" s="259"/>
      <c r="AJ47" s="258">
        <f>CapResCapPrj!I66</f>
        <v>0</v>
      </c>
      <c r="AK47" s="259"/>
      <c r="AL47" s="258"/>
      <c r="AM47" s="259"/>
      <c r="AN47" s="258"/>
      <c r="AO47" s="259"/>
      <c r="AP47" s="258"/>
      <c r="AQ47" s="259"/>
      <c r="AR47" s="258"/>
      <c r="AS47" s="259"/>
      <c r="AT47" s="259"/>
      <c r="AU47" s="258"/>
      <c r="AV47" s="259"/>
      <c r="AW47" s="258">
        <f>SUM('Trust&amp;Agency'!I44+'Trust&amp;Agency'!I45)</f>
        <v>0</v>
      </c>
      <c r="AX47" s="259"/>
      <c r="AY47" s="258"/>
      <c r="AZ47" s="259"/>
      <c r="BA47" s="258"/>
      <c r="BB47" s="259"/>
      <c r="BC47" s="258">
        <f>SUM(PupilActAgency!I45+PupilActAgency!I46)</f>
        <v>0</v>
      </c>
      <c r="BD47" s="259"/>
      <c r="BE47" s="258">
        <f>SUM('Foundation Fund'!I44+'Foundation Fund'!I45)</f>
        <v>0</v>
      </c>
      <c r="BF47" s="259"/>
      <c r="BG47" s="258"/>
      <c r="BH47" s="259"/>
      <c r="BI47" s="258">
        <f t="shared" si="1"/>
        <v>0</v>
      </c>
      <c r="BJ47" s="262"/>
      <c r="BK47" s="263"/>
      <c r="BL47" s="263"/>
      <c r="BM47" s="264"/>
    </row>
    <row r="48" spans="1:65" s="276" customFormat="1" ht="18.75" thickBot="1" x14ac:dyDescent="0.3">
      <c r="A48" s="265" t="s">
        <v>354</v>
      </c>
      <c r="B48" s="273"/>
      <c r="C48" s="269"/>
      <c r="D48" s="268">
        <f>SUM(D42:D47)</f>
        <v>0</v>
      </c>
      <c r="E48" s="269"/>
      <c r="F48" s="268">
        <f>SUM(F42:F47)</f>
        <v>0</v>
      </c>
      <c r="G48" s="269"/>
      <c r="H48" s="268">
        <f>SUM(H42:H47)</f>
        <v>0</v>
      </c>
      <c r="I48" s="269"/>
      <c r="J48" s="268">
        <f>SUM(J42:J47)</f>
        <v>0</v>
      </c>
      <c r="K48" s="269"/>
      <c r="L48" s="268">
        <f>SUM(L42:L47)</f>
        <v>0</v>
      </c>
      <c r="M48" s="269"/>
      <c r="N48" s="268">
        <f>SUM(N42:N47)</f>
        <v>0</v>
      </c>
      <c r="O48" s="269"/>
      <c r="P48" s="268">
        <f>SUM(P42:P47)</f>
        <v>0</v>
      </c>
      <c r="Q48" s="269"/>
      <c r="R48" s="268">
        <f>SUM(R42:R47)</f>
        <v>0</v>
      </c>
      <c r="S48" s="269"/>
      <c r="T48" s="268">
        <f>SUM(T42:T47)</f>
        <v>0</v>
      </c>
      <c r="U48" s="269"/>
      <c r="V48" s="268">
        <f>SUM(V42:V47)</f>
        <v>0</v>
      </c>
      <c r="W48" s="269"/>
      <c r="X48" s="268">
        <f>SUM(X42:X47)</f>
        <v>0</v>
      </c>
      <c r="Y48" s="269"/>
      <c r="Z48" s="269"/>
      <c r="AA48" s="268">
        <f>SUM(AA42:AA47)</f>
        <v>0</v>
      </c>
      <c r="AB48" s="269"/>
      <c r="AC48" s="268">
        <f>SUM(AC42:AC47)</f>
        <v>0</v>
      </c>
      <c r="AD48" s="269"/>
      <c r="AE48" s="269"/>
      <c r="AF48" s="268">
        <f>SUM(AF42:AF47)</f>
        <v>0</v>
      </c>
      <c r="AG48" s="269"/>
      <c r="AH48" s="268">
        <f>SUM(AH42:AH47)</f>
        <v>0</v>
      </c>
      <c r="AI48" s="269"/>
      <c r="AJ48" s="268">
        <f>SUM(AJ42:AJ47)</f>
        <v>0</v>
      </c>
      <c r="AK48" s="269"/>
      <c r="AL48" s="268">
        <f>SUM(AL42:AL47)</f>
        <v>0</v>
      </c>
      <c r="AM48" s="269"/>
      <c r="AN48" s="268">
        <f>SUM(AN42:AN47)</f>
        <v>0</v>
      </c>
      <c r="AO48" s="269"/>
      <c r="AP48" s="268">
        <f>SUM(AP42:AP47)</f>
        <v>0</v>
      </c>
      <c r="AQ48" s="269"/>
      <c r="AR48" s="268">
        <f>SUM(AR42:AR47)</f>
        <v>0</v>
      </c>
      <c r="AS48" s="269"/>
      <c r="AT48" s="269"/>
      <c r="AU48" s="268">
        <f>SUM(AU42:AU47)</f>
        <v>0</v>
      </c>
      <c r="AV48" s="269"/>
      <c r="AW48" s="268">
        <f>SUM(AW42:AW47)</f>
        <v>0</v>
      </c>
      <c r="AX48" s="269"/>
      <c r="AY48" s="268">
        <f>SUM(AY42:AY47)</f>
        <v>0</v>
      </c>
      <c r="AZ48" s="269"/>
      <c r="BA48" s="268">
        <f>SUM(BA42:BA47)</f>
        <v>0</v>
      </c>
      <c r="BB48" s="269"/>
      <c r="BC48" s="268">
        <f>SUM(BC42:BC47)</f>
        <v>0</v>
      </c>
      <c r="BD48" s="269"/>
      <c r="BE48" s="268">
        <f>SUM(BE42:BE47)</f>
        <v>0</v>
      </c>
      <c r="BF48" s="269"/>
      <c r="BG48" s="268">
        <f>SUM(BG42:BG47)</f>
        <v>0</v>
      </c>
      <c r="BH48" s="269"/>
      <c r="BI48" s="268">
        <f>D48+F48+H48+J48+X48+N48+P48+R48+L48+T48+V48+AC48+AF48+AH48+AJ48+AL48+AN48+AP48+AR48+AU48+AW48+AY48+BA48+BC48+BG48+BE48+AA48</f>
        <v>0</v>
      </c>
      <c r="BJ48" s="269"/>
      <c r="BK48" s="270"/>
      <c r="BL48" s="270"/>
      <c r="BM48" s="264"/>
    </row>
    <row r="49" spans="1:65" s="276" customFormat="1" ht="18" x14ac:dyDescent="0.25">
      <c r="A49" s="240"/>
      <c r="B49" s="256"/>
      <c r="C49" s="262"/>
      <c r="D49" s="258"/>
      <c r="E49" s="259"/>
      <c r="F49" s="258"/>
      <c r="G49" s="259"/>
      <c r="H49" s="258"/>
      <c r="I49" s="259"/>
      <c r="J49" s="258"/>
      <c r="K49" s="259"/>
      <c r="L49" s="275"/>
      <c r="M49" s="259"/>
      <c r="N49" s="258"/>
      <c r="O49" s="259"/>
      <c r="P49" s="258"/>
      <c r="Q49" s="259"/>
      <c r="R49" s="258"/>
      <c r="S49" s="259"/>
      <c r="T49" s="258"/>
      <c r="U49" s="259"/>
      <c r="V49" s="258"/>
      <c r="W49" s="259"/>
      <c r="X49" s="258"/>
      <c r="Y49" s="259"/>
      <c r="Z49" s="259"/>
      <c r="AA49" s="258"/>
      <c r="AB49" s="259"/>
      <c r="AC49" s="258"/>
      <c r="AD49" s="259"/>
      <c r="AE49" s="259"/>
      <c r="AF49" s="258"/>
      <c r="AG49" s="259"/>
      <c r="AH49" s="258"/>
      <c r="AI49" s="259"/>
      <c r="AJ49" s="258"/>
      <c r="AK49" s="259"/>
      <c r="AL49" s="258"/>
      <c r="AM49" s="259"/>
      <c r="AN49" s="258"/>
      <c r="AO49" s="259"/>
      <c r="AP49" s="258"/>
      <c r="AQ49" s="259"/>
      <c r="AR49" s="258"/>
      <c r="AS49" s="259"/>
      <c r="AT49" s="259"/>
      <c r="AU49" s="258"/>
      <c r="AV49" s="259"/>
      <c r="AW49" s="258"/>
      <c r="AX49" s="259"/>
      <c r="AY49" s="258"/>
      <c r="AZ49" s="259"/>
      <c r="BA49" s="258"/>
      <c r="BB49" s="259"/>
      <c r="BC49" s="258"/>
      <c r="BD49" s="259"/>
      <c r="BE49" s="258"/>
      <c r="BF49" s="259"/>
      <c r="BG49" s="258"/>
      <c r="BH49" s="259"/>
      <c r="BI49" s="264"/>
      <c r="BJ49" s="262"/>
      <c r="BK49" s="263"/>
      <c r="BL49" s="263"/>
      <c r="BM49" s="264"/>
    </row>
    <row r="50" spans="1:65" s="276" customFormat="1" ht="36" x14ac:dyDescent="0.25">
      <c r="A50" s="240" t="s">
        <v>355</v>
      </c>
      <c r="B50" s="256"/>
      <c r="C50" s="262"/>
      <c r="D50" s="258"/>
      <c r="E50" s="259"/>
      <c r="F50" s="258"/>
      <c r="G50" s="259"/>
      <c r="H50" s="258"/>
      <c r="I50" s="259"/>
      <c r="J50" s="258"/>
      <c r="K50" s="259"/>
      <c r="L50" s="275"/>
      <c r="M50" s="259"/>
      <c r="N50" s="258"/>
      <c r="O50" s="259"/>
      <c r="P50" s="258"/>
      <c r="Q50" s="259"/>
      <c r="R50" s="258"/>
      <c r="S50" s="259"/>
      <c r="T50" s="258"/>
      <c r="U50" s="259"/>
      <c r="V50" s="258"/>
      <c r="W50" s="259"/>
      <c r="X50" s="258"/>
      <c r="Y50" s="259"/>
      <c r="Z50" s="259"/>
      <c r="AA50" s="258"/>
      <c r="AB50" s="259"/>
      <c r="AC50" s="258"/>
      <c r="AD50" s="259"/>
      <c r="AE50" s="259"/>
      <c r="AF50" s="258"/>
      <c r="AG50" s="259"/>
      <c r="AH50" s="258"/>
      <c r="AI50" s="259"/>
      <c r="AJ50" s="258"/>
      <c r="AK50" s="259"/>
      <c r="AL50" s="258"/>
      <c r="AM50" s="259"/>
      <c r="AN50" s="258"/>
      <c r="AO50" s="259"/>
      <c r="AP50" s="258"/>
      <c r="AQ50" s="259"/>
      <c r="AR50" s="258"/>
      <c r="AS50" s="259"/>
      <c r="AT50" s="259"/>
      <c r="AU50" s="258"/>
      <c r="AV50" s="259"/>
      <c r="AW50" s="258"/>
      <c r="AX50" s="259"/>
      <c r="AY50" s="258"/>
      <c r="AZ50" s="259"/>
      <c r="BA50" s="258"/>
      <c r="BB50" s="259"/>
      <c r="BC50" s="258"/>
      <c r="BD50" s="259"/>
      <c r="BE50" s="258"/>
      <c r="BF50" s="259"/>
      <c r="BG50" s="258"/>
      <c r="BH50" s="259"/>
      <c r="BI50" s="264"/>
      <c r="BJ50" s="262"/>
      <c r="BK50" s="263"/>
      <c r="BL50" s="263"/>
      <c r="BM50" s="264"/>
    </row>
    <row r="51" spans="1:65" s="276" customFormat="1" ht="18" x14ac:dyDescent="0.25">
      <c r="A51" s="240" t="s">
        <v>332</v>
      </c>
      <c r="B51" s="277" t="s">
        <v>880</v>
      </c>
      <c r="C51" s="262"/>
      <c r="D51" s="258">
        <f>SUM(GenFundExp2!I47+GenFundExp2!I48+GenFundExp2!I84+GenFundExp2!I85)</f>
        <v>0</v>
      </c>
      <c r="E51" s="259"/>
      <c r="F51" s="258">
        <f>SUM(CharterFundExp2!I47+CharterFundExp2!I48+CharterFundExp2!I84+CharterFundExp2!I85)</f>
        <v>0</v>
      </c>
      <c r="G51" s="259"/>
      <c r="H51" s="258"/>
      <c r="I51" s="259"/>
      <c r="J51" s="258"/>
      <c r="K51" s="259"/>
      <c r="L51" s="275"/>
      <c r="M51" s="259"/>
      <c r="N51" s="258"/>
      <c r="O51" s="259"/>
      <c r="P51" s="258"/>
      <c r="Q51" s="259"/>
      <c r="R51" s="258"/>
      <c r="S51" s="259"/>
      <c r="T51" s="258"/>
      <c r="U51" s="259"/>
      <c r="V51" s="258"/>
      <c r="W51" s="259"/>
      <c r="X51" s="258"/>
      <c r="Y51" s="259"/>
      <c r="Z51" s="259"/>
      <c r="AA51" s="258"/>
      <c r="AB51" s="259"/>
      <c r="AC51" s="258"/>
      <c r="AD51" s="259"/>
      <c r="AE51" s="259"/>
      <c r="AF51" s="258"/>
      <c r="AG51" s="259"/>
      <c r="AH51" s="258"/>
      <c r="AI51" s="259"/>
      <c r="AJ51" s="258"/>
      <c r="AK51" s="259"/>
      <c r="AL51" s="258"/>
      <c r="AM51" s="259"/>
      <c r="AN51" s="258"/>
      <c r="AO51" s="259"/>
      <c r="AP51" s="258"/>
      <c r="AQ51" s="259"/>
      <c r="AR51" s="258"/>
      <c r="AS51" s="259"/>
      <c r="AT51" s="259"/>
      <c r="AU51" s="258"/>
      <c r="AV51" s="259"/>
      <c r="AW51" s="258"/>
      <c r="AX51" s="259"/>
      <c r="AY51" s="258"/>
      <c r="AZ51" s="259"/>
      <c r="BA51" s="258"/>
      <c r="BB51" s="259"/>
      <c r="BC51" s="258"/>
      <c r="BD51" s="259"/>
      <c r="BE51" s="258"/>
      <c r="BF51" s="259"/>
      <c r="BG51" s="258"/>
      <c r="BH51" s="259"/>
      <c r="BI51" s="258">
        <f t="shared" ref="BI51:BI56" si="2">D51+F51+H51+J51+X51+N51+P51+R51+L51+T51+V51+AC51+AF51+AH51+AJ51+AL51+AN51+AP51+AR51+AU51+AW51+AY51+BA51+BC51+BG51+BE51+AA51</f>
        <v>0</v>
      </c>
      <c r="BJ51" s="262"/>
      <c r="BK51" s="263"/>
      <c r="BL51" s="263"/>
      <c r="BM51" s="264"/>
    </row>
    <row r="52" spans="1:65" s="276" customFormat="1" ht="18" x14ac:dyDescent="0.25">
      <c r="A52" s="240" t="s">
        <v>333</v>
      </c>
      <c r="B52" s="277" t="s">
        <v>881</v>
      </c>
      <c r="C52" s="262"/>
      <c r="D52" s="258">
        <f>SUM(GenFundExp2!I49+GenFundExp2!I50+GenFundExp2!I86+GenFundExp2!I87)</f>
        <v>0</v>
      </c>
      <c r="E52" s="259"/>
      <c r="F52" s="258">
        <f>SUM(CharterFundExp2!I49+CharterFundExp2!I50+CharterFundExp2!I86+CharterFundExp2!I87)</f>
        <v>0</v>
      </c>
      <c r="G52" s="259"/>
      <c r="H52" s="258"/>
      <c r="I52" s="259"/>
      <c r="J52" s="258"/>
      <c r="K52" s="259"/>
      <c r="L52" s="275"/>
      <c r="M52" s="259"/>
      <c r="N52" s="258"/>
      <c r="O52" s="259"/>
      <c r="P52" s="258"/>
      <c r="Q52" s="259"/>
      <c r="R52" s="258"/>
      <c r="S52" s="259"/>
      <c r="T52" s="258"/>
      <c r="U52" s="259"/>
      <c r="V52" s="258"/>
      <c r="W52" s="259"/>
      <c r="X52" s="258"/>
      <c r="Y52" s="259"/>
      <c r="Z52" s="259"/>
      <c r="AA52" s="258"/>
      <c r="AB52" s="259"/>
      <c r="AC52" s="258"/>
      <c r="AD52" s="259"/>
      <c r="AE52" s="259"/>
      <c r="AF52" s="258"/>
      <c r="AG52" s="259"/>
      <c r="AH52" s="258"/>
      <c r="AI52" s="259"/>
      <c r="AJ52" s="258"/>
      <c r="AK52" s="259"/>
      <c r="AL52" s="258"/>
      <c r="AM52" s="259"/>
      <c r="AN52" s="258"/>
      <c r="AO52" s="259"/>
      <c r="AP52" s="258"/>
      <c r="AQ52" s="259"/>
      <c r="AR52" s="258"/>
      <c r="AS52" s="259"/>
      <c r="AT52" s="259"/>
      <c r="AU52" s="258"/>
      <c r="AV52" s="259"/>
      <c r="AW52" s="258"/>
      <c r="AX52" s="259"/>
      <c r="AY52" s="258"/>
      <c r="AZ52" s="259"/>
      <c r="BA52" s="258"/>
      <c r="BB52" s="259"/>
      <c r="BC52" s="258"/>
      <c r="BD52" s="259"/>
      <c r="BE52" s="258"/>
      <c r="BF52" s="259"/>
      <c r="BG52" s="258"/>
      <c r="BH52" s="259"/>
      <c r="BI52" s="258">
        <f t="shared" si="2"/>
        <v>0</v>
      </c>
      <c r="BJ52" s="262"/>
      <c r="BK52" s="263"/>
      <c r="BL52" s="263"/>
      <c r="BM52" s="264"/>
    </row>
    <row r="53" spans="1:65" s="276" customFormat="1" ht="36" x14ac:dyDescent="0.25">
      <c r="A53" s="240" t="s">
        <v>334</v>
      </c>
      <c r="B53" s="277" t="s">
        <v>346</v>
      </c>
      <c r="C53" s="262"/>
      <c r="D53" s="258">
        <f>SUM(GenFundExp2!I51+GenFundExp2!I52+GenFundExp2!I53+GenFundExp2!I54+GenFundExp2!I55+GenFundExp2!I56+GenFundExp2!I57+GenFundExp2!I58+GenFundExp2!I59+GenFundExp2!I60+GenFundExp2!I61+GenFundExp2!I62+GenFundExp2!I64+GenFundExp2!I65+GenFundExp2!I66+GenFundExp2!I67+GenFundExp2!I68+GenFundExp2!I69+GenFundExp2!I88+GenFundExp2!I89+GenFundExp2!I90+GenFundExp2!I91+GenFundExp2!I92+GenFundExp2!I93+GenFundExp2!I94+GenFundExp2!I95+GenFundExp2!I96+GenFundExp2!I97+GenFundExp2!I98+GenFundExp2!I99+GenFundExp2!I101+GenFundExp2!I102+GenFundExp2!I103+GenFundExp2!I104+GenFundExp2!I105+GenFundExp2!I106+GenFundExp2!I63+GenFundExp2!I100)</f>
        <v>0</v>
      </c>
      <c r="E53" s="259"/>
      <c r="F53" s="258">
        <f>SUM(CharterFundExp2!I51+CharterFundExp2!I52+CharterFundExp2!I53+CharterFundExp2!I54+CharterFundExp2!I55+CharterFundExp2!I56+CharterFundExp2!I57+CharterFundExp2!I58+CharterFundExp2!I59+CharterFundExp2!I60+CharterFundExp2!I61+CharterFundExp2!I62+CharterFundExp2!I63+CharterFundExp2!I64+CharterFundExp2!I65+CharterFundExp2!I66+CharterFundExp2!I67+CharterFundExp2!I68+CharterFundExp2!I69+CharterFundExp2!I88+CharterFundExp2!I89+CharterFundExp2!I90+CharterFundExp2!I91+CharterFundExp2!I92+CharterFundExp2!I93+CharterFundExp2!I94+CharterFundExp2!I95+CharterFundExp2!I96+CharterFundExp2!I97+CharterFundExp2!I98+CharterFundExp2!I99+CharterFundExp2!I100+CharterFundExp2!I101+CharterFundExp2!I102+CharterFundExp2!I103+CharterFundExp2!I104+CharterFundExp2!I105+CharterFundExp2!I106)</f>
        <v>0</v>
      </c>
      <c r="G53" s="259"/>
      <c r="H53" s="258"/>
      <c r="I53" s="259"/>
      <c r="J53" s="258"/>
      <c r="K53" s="259"/>
      <c r="L53" s="275"/>
      <c r="M53" s="259"/>
      <c r="N53" s="258"/>
      <c r="O53" s="259"/>
      <c r="P53" s="258"/>
      <c r="Q53" s="259"/>
      <c r="R53" s="258"/>
      <c r="S53" s="259"/>
      <c r="T53" s="258"/>
      <c r="U53" s="259"/>
      <c r="V53" s="258"/>
      <c r="W53" s="259"/>
      <c r="X53" s="258"/>
      <c r="Y53" s="259"/>
      <c r="Z53" s="259"/>
      <c r="AA53" s="258"/>
      <c r="AB53" s="259"/>
      <c r="AC53" s="258"/>
      <c r="AD53" s="259"/>
      <c r="AE53" s="259"/>
      <c r="AF53" s="258"/>
      <c r="AG53" s="259"/>
      <c r="AH53" s="258"/>
      <c r="AI53" s="259"/>
      <c r="AJ53" s="258"/>
      <c r="AK53" s="259"/>
      <c r="AL53" s="258"/>
      <c r="AM53" s="259"/>
      <c r="AN53" s="258"/>
      <c r="AO53" s="259"/>
      <c r="AP53" s="258"/>
      <c r="AQ53" s="259"/>
      <c r="AR53" s="258"/>
      <c r="AS53" s="259"/>
      <c r="AT53" s="259"/>
      <c r="AU53" s="258"/>
      <c r="AV53" s="259"/>
      <c r="AW53" s="258"/>
      <c r="AX53" s="259"/>
      <c r="AY53" s="258"/>
      <c r="AZ53" s="259"/>
      <c r="BA53" s="258"/>
      <c r="BB53" s="259"/>
      <c r="BC53" s="258"/>
      <c r="BD53" s="259"/>
      <c r="BE53" s="258"/>
      <c r="BF53" s="259"/>
      <c r="BG53" s="258"/>
      <c r="BH53" s="259"/>
      <c r="BI53" s="258">
        <f t="shared" si="2"/>
        <v>0</v>
      </c>
      <c r="BJ53" s="262"/>
      <c r="BK53" s="263"/>
      <c r="BL53" s="263"/>
      <c r="BM53" s="264"/>
    </row>
    <row r="54" spans="1:65" s="276" customFormat="1" ht="18" x14ac:dyDescent="0.25">
      <c r="A54" s="240" t="s">
        <v>347</v>
      </c>
      <c r="B54" s="277" t="s">
        <v>885</v>
      </c>
      <c r="C54" s="262"/>
      <c r="D54" s="258">
        <f>SUM(GenFundExp2!I70+GenFundExp2!I71+GenFundExp2!I107+GenFundExp2!I108)</f>
        <v>0</v>
      </c>
      <c r="E54" s="259"/>
      <c r="F54" s="258">
        <f>SUM(CharterFundExp2!I70+CharterFundExp2!I71+CharterFundExp2!I107+CharterFundExp2!I108)</f>
        <v>0</v>
      </c>
      <c r="G54" s="259"/>
      <c r="H54" s="258"/>
      <c r="I54" s="259"/>
      <c r="J54" s="258"/>
      <c r="K54" s="259"/>
      <c r="L54" s="275"/>
      <c r="M54" s="259"/>
      <c r="N54" s="258"/>
      <c r="O54" s="259"/>
      <c r="P54" s="258"/>
      <c r="Q54" s="259"/>
      <c r="R54" s="258"/>
      <c r="S54" s="259"/>
      <c r="T54" s="258"/>
      <c r="U54" s="259"/>
      <c r="V54" s="258"/>
      <c r="W54" s="259"/>
      <c r="X54" s="258"/>
      <c r="Y54" s="259"/>
      <c r="Z54" s="259"/>
      <c r="AA54" s="258"/>
      <c r="AB54" s="259"/>
      <c r="AC54" s="258"/>
      <c r="AD54" s="259"/>
      <c r="AE54" s="259"/>
      <c r="AF54" s="258"/>
      <c r="AG54" s="259"/>
      <c r="AH54" s="258"/>
      <c r="AI54" s="259"/>
      <c r="AJ54" s="258"/>
      <c r="AK54" s="259"/>
      <c r="AL54" s="258"/>
      <c r="AM54" s="259"/>
      <c r="AN54" s="258"/>
      <c r="AO54" s="259"/>
      <c r="AP54" s="258"/>
      <c r="AQ54" s="259"/>
      <c r="AR54" s="258"/>
      <c r="AS54" s="259"/>
      <c r="AT54" s="259"/>
      <c r="AU54" s="258"/>
      <c r="AV54" s="259"/>
      <c r="AW54" s="258"/>
      <c r="AX54" s="259"/>
      <c r="AY54" s="258"/>
      <c r="AZ54" s="259"/>
      <c r="BA54" s="258"/>
      <c r="BB54" s="259"/>
      <c r="BC54" s="258"/>
      <c r="BD54" s="259"/>
      <c r="BE54" s="258"/>
      <c r="BF54" s="259"/>
      <c r="BG54" s="258"/>
      <c r="BH54" s="259"/>
      <c r="BI54" s="258">
        <f t="shared" si="2"/>
        <v>0</v>
      </c>
      <c r="BJ54" s="262"/>
      <c r="BK54" s="263"/>
      <c r="BL54" s="263"/>
      <c r="BM54" s="264"/>
    </row>
    <row r="55" spans="1:65" s="276" customFormat="1" ht="18" x14ac:dyDescent="0.25">
      <c r="A55" s="240" t="s">
        <v>348</v>
      </c>
      <c r="B55" s="277" t="s">
        <v>886</v>
      </c>
      <c r="C55" s="262"/>
      <c r="D55" s="258">
        <f>SUM(GenFundExp2!I72+GenFundExp2!I73+GenFundExp2!I74+GenFundExp2!I109+GenFundExp2!I110+GenFundExp2!I111)</f>
        <v>0</v>
      </c>
      <c r="E55" s="259"/>
      <c r="F55" s="258">
        <f>SUM(CharterFundExp2!I72+CharterFundExp2!I73+CharterFundExp2!I74+CharterFundExp2!I109+CharterFundExp2!I110+CharterFundExp2!I111)</f>
        <v>0</v>
      </c>
      <c r="G55" s="259"/>
      <c r="H55" s="258"/>
      <c r="I55" s="259"/>
      <c r="J55" s="258"/>
      <c r="K55" s="259"/>
      <c r="L55" s="275"/>
      <c r="M55" s="259"/>
      <c r="N55" s="258"/>
      <c r="O55" s="259"/>
      <c r="P55" s="258"/>
      <c r="Q55" s="259"/>
      <c r="R55" s="258"/>
      <c r="S55" s="259"/>
      <c r="T55" s="258"/>
      <c r="U55" s="259"/>
      <c r="V55" s="258"/>
      <c r="W55" s="259"/>
      <c r="X55" s="258"/>
      <c r="Y55" s="259"/>
      <c r="Z55" s="259"/>
      <c r="AA55" s="258"/>
      <c r="AB55" s="259"/>
      <c r="AC55" s="258"/>
      <c r="AD55" s="259"/>
      <c r="AE55" s="259"/>
      <c r="AF55" s="258"/>
      <c r="AG55" s="259"/>
      <c r="AH55" s="258"/>
      <c r="AI55" s="259"/>
      <c r="AJ55" s="258"/>
      <c r="AK55" s="259"/>
      <c r="AL55" s="258"/>
      <c r="AM55" s="259"/>
      <c r="AN55" s="258"/>
      <c r="AO55" s="259"/>
      <c r="AP55" s="258"/>
      <c r="AQ55" s="259"/>
      <c r="AR55" s="258"/>
      <c r="AS55" s="259"/>
      <c r="AT55" s="259"/>
      <c r="AU55" s="258"/>
      <c r="AV55" s="259"/>
      <c r="AW55" s="258"/>
      <c r="AX55" s="259"/>
      <c r="AY55" s="258"/>
      <c r="AZ55" s="259"/>
      <c r="BA55" s="258"/>
      <c r="BB55" s="259"/>
      <c r="BC55" s="258"/>
      <c r="BD55" s="259"/>
      <c r="BE55" s="258"/>
      <c r="BF55" s="259"/>
      <c r="BG55" s="258"/>
      <c r="BH55" s="259"/>
      <c r="BI55" s="258">
        <f t="shared" si="2"/>
        <v>0</v>
      </c>
      <c r="BJ55" s="262"/>
      <c r="BK55" s="263"/>
      <c r="BL55" s="263"/>
      <c r="BM55" s="264"/>
    </row>
    <row r="56" spans="1:65" s="276" customFormat="1" ht="18.75" thickBot="1" x14ac:dyDescent="0.3">
      <c r="A56" s="240" t="s">
        <v>349</v>
      </c>
      <c r="B56" s="277" t="s">
        <v>350</v>
      </c>
      <c r="C56" s="262"/>
      <c r="D56" s="258">
        <f>SUM(GenFundExp2!I75+GenFundExp2!I76+GenFundExp2!I77+GenFundExp2!I78+GenFundExp2!I79+GenFundExp2!I80+GenFundExp2!I112+GenFundExp2!I113+GenFundExp2!I114+GenFundExp2!I115+GenFundExp2!I116+GenFundExp2!I117)</f>
        <v>0</v>
      </c>
      <c r="E56" s="259"/>
      <c r="F56" s="258">
        <f>SUM(CharterFundExp2!I75+CharterFundExp2!I76+CharterFundExp2!I77+CharterFundExp2!I78+CharterFundExp2!I79+CharterFundExp2!I80+CharterFundExp2!I112+CharterFundExp2!I113+CharterFundExp2!I114+CharterFundExp2!I115+CharterFundExp2!I116+CharterFundExp2!I117)</f>
        <v>0</v>
      </c>
      <c r="G56" s="259"/>
      <c r="H56" s="258"/>
      <c r="I56" s="259"/>
      <c r="J56" s="258"/>
      <c r="K56" s="259"/>
      <c r="L56" s="275"/>
      <c r="M56" s="259"/>
      <c r="N56" s="258"/>
      <c r="O56" s="259"/>
      <c r="P56" s="258"/>
      <c r="Q56" s="259"/>
      <c r="R56" s="258"/>
      <c r="S56" s="259"/>
      <c r="T56" s="258"/>
      <c r="U56" s="259"/>
      <c r="V56" s="258"/>
      <c r="W56" s="259"/>
      <c r="X56" s="258"/>
      <c r="Y56" s="259"/>
      <c r="Z56" s="259"/>
      <c r="AA56" s="258"/>
      <c r="AB56" s="259"/>
      <c r="AC56" s="258"/>
      <c r="AD56" s="259"/>
      <c r="AE56" s="259"/>
      <c r="AF56" s="258"/>
      <c r="AG56" s="259"/>
      <c r="AH56" s="258"/>
      <c r="AI56" s="259"/>
      <c r="AJ56" s="258"/>
      <c r="AK56" s="259"/>
      <c r="AL56" s="258"/>
      <c r="AM56" s="259"/>
      <c r="AN56" s="258"/>
      <c r="AO56" s="259"/>
      <c r="AP56" s="258"/>
      <c r="AQ56" s="259"/>
      <c r="AR56" s="258"/>
      <c r="AS56" s="259"/>
      <c r="AT56" s="259"/>
      <c r="AU56" s="258"/>
      <c r="AV56" s="259"/>
      <c r="AW56" s="258"/>
      <c r="AX56" s="259"/>
      <c r="AY56" s="258"/>
      <c r="AZ56" s="259"/>
      <c r="BA56" s="258"/>
      <c r="BB56" s="259"/>
      <c r="BC56" s="258"/>
      <c r="BD56" s="259"/>
      <c r="BE56" s="258"/>
      <c r="BF56" s="259"/>
      <c r="BG56" s="258"/>
      <c r="BH56" s="259"/>
      <c r="BI56" s="258">
        <f t="shared" si="2"/>
        <v>0</v>
      </c>
      <c r="BJ56" s="262"/>
      <c r="BK56" s="263"/>
      <c r="BL56" s="263"/>
      <c r="BM56" s="264"/>
    </row>
    <row r="57" spans="1:65" s="276" customFormat="1" ht="18.75" thickBot="1" x14ac:dyDescent="0.3">
      <c r="A57" s="265" t="s">
        <v>356</v>
      </c>
      <c r="B57" s="273"/>
      <c r="C57" s="269"/>
      <c r="D57" s="268">
        <f>SUM(D51:D56)</f>
        <v>0</v>
      </c>
      <c r="E57" s="269"/>
      <c r="F57" s="268">
        <f>SUM(F51:F56)</f>
        <v>0</v>
      </c>
      <c r="G57" s="269"/>
      <c r="H57" s="268">
        <f>SUM(H51:H56)</f>
        <v>0</v>
      </c>
      <c r="I57" s="269"/>
      <c r="J57" s="268">
        <f>SUM(J51:J56)</f>
        <v>0</v>
      </c>
      <c r="K57" s="269"/>
      <c r="L57" s="268">
        <f>SUM(L51:L56)</f>
        <v>0</v>
      </c>
      <c r="M57" s="269"/>
      <c r="N57" s="268">
        <f>SUM(N51:N56)</f>
        <v>0</v>
      </c>
      <c r="O57" s="269"/>
      <c r="P57" s="268">
        <f>SUM(P51:P56)</f>
        <v>0</v>
      </c>
      <c r="Q57" s="269"/>
      <c r="R57" s="268">
        <f>SUM(R51:R56)</f>
        <v>0</v>
      </c>
      <c r="S57" s="269"/>
      <c r="T57" s="268">
        <f>SUM(T51:T56)</f>
        <v>0</v>
      </c>
      <c r="U57" s="269"/>
      <c r="V57" s="268">
        <f>SUM(V51:V56)</f>
        <v>0</v>
      </c>
      <c r="W57" s="269"/>
      <c r="X57" s="268">
        <f>SUM(X51:X56)</f>
        <v>0</v>
      </c>
      <c r="Y57" s="269"/>
      <c r="Z57" s="269"/>
      <c r="AA57" s="268">
        <f>SUM(AA51:AA56)</f>
        <v>0</v>
      </c>
      <c r="AB57" s="269"/>
      <c r="AC57" s="268">
        <f>SUM(AC51:AC56)</f>
        <v>0</v>
      </c>
      <c r="AD57" s="269"/>
      <c r="AE57" s="269"/>
      <c r="AF57" s="268">
        <f>SUM(AF51:AF56)</f>
        <v>0</v>
      </c>
      <c r="AG57" s="269"/>
      <c r="AH57" s="268">
        <f>SUM(AH51:AH56)</f>
        <v>0</v>
      </c>
      <c r="AI57" s="269"/>
      <c r="AJ57" s="268">
        <f>SUM(AJ51:AJ56)</f>
        <v>0</v>
      </c>
      <c r="AK57" s="269"/>
      <c r="AL57" s="268">
        <f>SUM(AL51:AL56)</f>
        <v>0</v>
      </c>
      <c r="AM57" s="269"/>
      <c r="AN57" s="268">
        <f>SUM(AN51:AN56)</f>
        <v>0</v>
      </c>
      <c r="AO57" s="269"/>
      <c r="AP57" s="268">
        <f>SUM(AP51:AP56)</f>
        <v>0</v>
      </c>
      <c r="AQ57" s="269"/>
      <c r="AR57" s="268">
        <f>SUM(AR51:AR56)</f>
        <v>0</v>
      </c>
      <c r="AS57" s="269"/>
      <c r="AT57" s="269"/>
      <c r="AU57" s="268">
        <f>SUM(AU51:AU56)</f>
        <v>0</v>
      </c>
      <c r="AV57" s="269"/>
      <c r="AW57" s="268">
        <f>SUM(AW51:AW56)</f>
        <v>0</v>
      </c>
      <c r="AX57" s="269"/>
      <c r="AY57" s="268">
        <f>SUM(AY51:AY56)</f>
        <v>0</v>
      </c>
      <c r="AZ57" s="269"/>
      <c r="BA57" s="268">
        <f>SUM(BA51:BA56)</f>
        <v>0</v>
      </c>
      <c r="BB57" s="269"/>
      <c r="BC57" s="268">
        <f>SUM(BC51:BC56)</f>
        <v>0</v>
      </c>
      <c r="BD57" s="269"/>
      <c r="BE57" s="268">
        <f>SUM(BE51:BE56)</f>
        <v>0</v>
      </c>
      <c r="BF57" s="269"/>
      <c r="BG57" s="268">
        <f>SUM(BG51:BG56)</f>
        <v>0</v>
      </c>
      <c r="BH57" s="269"/>
      <c r="BI57" s="268">
        <f>D57+F57+H57+J57+X57+N57+P57+R57+L57+T57+V57+AC57+AF57+AH57+AJ57+AL57+AN57+AP57+AR57+AU57+AW57+AY57+BA57+BC57+BG57+BE57+AA57</f>
        <v>0</v>
      </c>
      <c r="BJ57" s="269"/>
      <c r="BK57" s="270"/>
      <c r="BL57" s="270"/>
      <c r="BM57" s="264"/>
    </row>
    <row r="58" spans="1:65" s="276" customFormat="1" ht="18" x14ac:dyDescent="0.25">
      <c r="A58" s="240"/>
      <c r="B58" s="256"/>
      <c r="C58" s="262"/>
      <c r="D58" s="258"/>
      <c r="E58" s="259"/>
      <c r="F58" s="258"/>
      <c r="G58" s="259"/>
      <c r="H58" s="258"/>
      <c r="I58" s="259"/>
      <c r="J58" s="258"/>
      <c r="K58" s="259"/>
      <c r="L58" s="275"/>
      <c r="M58" s="259"/>
      <c r="N58" s="258"/>
      <c r="O58" s="259"/>
      <c r="P58" s="258"/>
      <c r="Q58" s="259"/>
      <c r="R58" s="258"/>
      <c r="S58" s="259"/>
      <c r="T58" s="258"/>
      <c r="U58" s="259"/>
      <c r="V58" s="258"/>
      <c r="W58" s="259"/>
      <c r="X58" s="258"/>
      <c r="Y58" s="259"/>
      <c r="Z58" s="259"/>
      <c r="AA58" s="258"/>
      <c r="AB58" s="259"/>
      <c r="AC58" s="258"/>
      <c r="AD58" s="259"/>
      <c r="AE58" s="259"/>
      <c r="AF58" s="258"/>
      <c r="AG58" s="259"/>
      <c r="AH58" s="258"/>
      <c r="AI58" s="259"/>
      <c r="AJ58" s="258"/>
      <c r="AK58" s="259"/>
      <c r="AL58" s="258"/>
      <c r="AM58" s="259"/>
      <c r="AN58" s="258"/>
      <c r="AO58" s="259"/>
      <c r="AP58" s="258"/>
      <c r="AQ58" s="259"/>
      <c r="AR58" s="258"/>
      <c r="AS58" s="259"/>
      <c r="AT58" s="259"/>
      <c r="AU58" s="258"/>
      <c r="AV58" s="259"/>
      <c r="AW58" s="258"/>
      <c r="AX58" s="259"/>
      <c r="AY58" s="258"/>
      <c r="AZ58" s="259"/>
      <c r="BA58" s="258"/>
      <c r="BB58" s="259"/>
      <c r="BC58" s="258"/>
      <c r="BD58" s="259"/>
      <c r="BE58" s="258"/>
      <c r="BF58" s="259"/>
      <c r="BG58" s="258"/>
      <c r="BH58" s="259"/>
      <c r="BI58" s="264"/>
      <c r="BJ58" s="262"/>
      <c r="BK58" s="263"/>
      <c r="BL58" s="263"/>
      <c r="BM58" s="264"/>
    </row>
    <row r="59" spans="1:65" s="276" customFormat="1" ht="54" x14ac:dyDescent="0.25">
      <c r="A59" s="240" t="s">
        <v>1592</v>
      </c>
      <c r="B59" s="256"/>
      <c r="C59" s="262"/>
      <c r="D59" s="258"/>
      <c r="E59" s="259"/>
      <c r="F59" s="258"/>
      <c r="G59" s="259"/>
      <c r="H59" s="258"/>
      <c r="I59" s="259"/>
      <c r="J59" s="258"/>
      <c r="K59" s="259"/>
      <c r="L59" s="275"/>
      <c r="M59" s="259"/>
      <c r="N59" s="258"/>
      <c r="O59" s="259"/>
      <c r="P59" s="258"/>
      <c r="Q59" s="259"/>
      <c r="R59" s="258"/>
      <c r="S59" s="259"/>
      <c r="T59" s="258"/>
      <c r="U59" s="259"/>
      <c r="V59" s="258"/>
      <c r="W59" s="259"/>
      <c r="X59" s="258"/>
      <c r="Y59" s="259"/>
      <c r="Z59" s="259"/>
      <c r="AA59" s="258"/>
      <c r="AB59" s="259"/>
      <c r="AC59" s="258"/>
      <c r="AD59" s="259"/>
      <c r="AE59" s="259"/>
      <c r="AF59" s="258"/>
      <c r="AG59" s="259"/>
      <c r="AH59" s="258"/>
      <c r="AI59" s="259"/>
      <c r="AJ59" s="258"/>
      <c r="AK59" s="259"/>
      <c r="AL59" s="258"/>
      <c r="AM59" s="259"/>
      <c r="AN59" s="258"/>
      <c r="AO59" s="259"/>
      <c r="AP59" s="258"/>
      <c r="AQ59" s="259"/>
      <c r="AR59" s="258"/>
      <c r="AS59" s="259"/>
      <c r="AT59" s="259"/>
      <c r="AU59" s="258"/>
      <c r="AV59" s="259"/>
      <c r="AW59" s="258"/>
      <c r="AX59" s="259"/>
      <c r="AY59" s="258"/>
      <c r="AZ59" s="259"/>
      <c r="BA59" s="258"/>
      <c r="BB59" s="259"/>
      <c r="BC59" s="258"/>
      <c r="BD59" s="259"/>
      <c r="BE59" s="258"/>
      <c r="BF59" s="259"/>
      <c r="BG59" s="258"/>
      <c r="BH59" s="259"/>
      <c r="BI59" s="264"/>
      <c r="BJ59" s="262"/>
      <c r="BK59" s="263"/>
      <c r="BL59" s="263"/>
      <c r="BM59" s="264"/>
    </row>
    <row r="60" spans="1:65" s="276" customFormat="1" ht="18" x14ac:dyDescent="0.25">
      <c r="A60" s="240" t="s">
        <v>332</v>
      </c>
      <c r="B60" s="277" t="s">
        <v>880</v>
      </c>
      <c r="C60" s="262"/>
      <c r="D60" s="275">
        <f>SUM(GenFundExp2!I121+GenFundExp2!I122)+SUM(GenFundExp2!I152+GenFundExp2!I153)+SUM(GenFundExp2!I183+GenFundExp2!I184)</f>
        <v>0</v>
      </c>
      <c r="E60" s="259"/>
      <c r="F60" s="275">
        <f>SUM(CharterFundExp2!I121+CharterFundExp2!I122)+SUM(CharterFundExp2!I152+CharterFundExp2!I153)+SUM(CharterFundExp2!I183+CharterFundExp2!I184)</f>
        <v>0</v>
      </c>
      <c r="G60" s="259"/>
      <c r="H60" s="258"/>
      <c r="I60" s="259"/>
      <c r="J60" s="258"/>
      <c r="K60" s="259"/>
      <c r="L60" s="275"/>
      <c r="M60" s="259"/>
      <c r="N60" s="258"/>
      <c r="O60" s="259"/>
      <c r="P60" s="258"/>
      <c r="Q60" s="259"/>
      <c r="R60" s="258"/>
      <c r="S60" s="259"/>
      <c r="T60" s="258"/>
      <c r="U60" s="259"/>
      <c r="V60" s="258"/>
      <c r="W60" s="259"/>
      <c r="X60" s="258"/>
      <c r="Y60" s="259"/>
      <c r="Z60" s="259"/>
      <c r="AA60" s="258"/>
      <c r="AB60" s="259"/>
      <c r="AC60" s="258"/>
      <c r="AD60" s="259"/>
      <c r="AE60" s="259"/>
      <c r="AF60" s="258"/>
      <c r="AG60" s="259"/>
      <c r="AH60" s="258"/>
      <c r="AI60" s="259"/>
      <c r="AJ60" s="258"/>
      <c r="AK60" s="259"/>
      <c r="AL60" s="258"/>
      <c r="AM60" s="259"/>
      <c r="AN60" s="258"/>
      <c r="AO60" s="259"/>
      <c r="AP60" s="258"/>
      <c r="AQ60" s="259"/>
      <c r="AR60" s="258"/>
      <c r="AS60" s="259"/>
      <c r="AT60" s="259"/>
      <c r="AU60" s="258"/>
      <c r="AV60" s="259"/>
      <c r="AW60" s="258"/>
      <c r="AX60" s="259"/>
      <c r="AY60" s="258"/>
      <c r="AZ60" s="259"/>
      <c r="BA60" s="258"/>
      <c r="BB60" s="259"/>
      <c r="BC60" s="258"/>
      <c r="BD60" s="259"/>
      <c r="BE60" s="258"/>
      <c r="BF60" s="259"/>
      <c r="BG60" s="258"/>
      <c r="BH60" s="259"/>
      <c r="BI60" s="258">
        <f t="shared" ref="BI60:BI65" si="3">D60+F60+H60+J60+X60+N60+P60+R60+L60+T60+V60+AC60+AF60+AH60+AJ60+AL60+AN60+AP60+AR60+AU60+AW60+AY60+BA60+BC60+BG60+BE60+AA60</f>
        <v>0</v>
      </c>
      <c r="BJ60" s="262"/>
      <c r="BK60" s="263"/>
      <c r="BL60" s="263"/>
      <c r="BM60" s="264"/>
    </row>
    <row r="61" spans="1:65" s="276" customFormat="1" ht="18" x14ac:dyDescent="0.25">
      <c r="A61" s="240" t="s">
        <v>333</v>
      </c>
      <c r="B61" s="277" t="s">
        <v>881</v>
      </c>
      <c r="C61" s="262"/>
      <c r="D61" s="275">
        <f>SUM(GenFundExp2!I123+GenFundExp2!I124)+SUM(GenFundExp2!I154+GenFundExp2!I155)+SUM(GenFundExp2!I185+GenFundExp2!I186)</f>
        <v>0</v>
      </c>
      <c r="E61" s="259"/>
      <c r="F61" s="275">
        <f>SUM(CharterFundExp2!I123+CharterFundExp2!I124)+SUM(CharterFundExp2!I154+CharterFundExp2!I155)+SUM(CharterFundExp2!I185+CharterFundExp2!I186)</f>
        <v>0</v>
      </c>
      <c r="G61" s="259"/>
      <c r="H61" s="258"/>
      <c r="I61" s="259"/>
      <c r="J61" s="258"/>
      <c r="K61" s="259"/>
      <c r="L61" s="275"/>
      <c r="M61" s="259"/>
      <c r="N61" s="258"/>
      <c r="O61" s="259"/>
      <c r="P61" s="258"/>
      <c r="Q61" s="259"/>
      <c r="R61" s="258"/>
      <c r="S61" s="259"/>
      <c r="T61" s="258"/>
      <c r="U61" s="259"/>
      <c r="V61" s="258"/>
      <c r="W61" s="259"/>
      <c r="X61" s="258"/>
      <c r="Y61" s="259"/>
      <c r="Z61" s="259"/>
      <c r="AA61" s="258"/>
      <c r="AB61" s="259"/>
      <c r="AC61" s="258"/>
      <c r="AD61" s="259"/>
      <c r="AE61" s="259"/>
      <c r="AF61" s="258"/>
      <c r="AG61" s="259"/>
      <c r="AH61" s="258"/>
      <c r="AI61" s="259"/>
      <c r="AJ61" s="258"/>
      <c r="AK61" s="259"/>
      <c r="AL61" s="258"/>
      <c r="AM61" s="259"/>
      <c r="AN61" s="258"/>
      <c r="AO61" s="259"/>
      <c r="AP61" s="258"/>
      <c r="AQ61" s="259"/>
      <c r="AR61" s="258"/>
      <c r="AS61" s="259"/>
      <c r="AT61" s="259"/>
      <c r="AU61" s="258"/>
      <c r="AV61" s="259"/>
      <c r="AW61" s="258"/>
      <c r="AX61" s="259"/>
      <c r="AY61" s="258"/>
      <c r="AZ61" s="259"/>
      <c r="BA61" s="258"/>
      <c r="BB61" s="259"/>
      <c r="BC61" s="258"/>
      <c r="BD61" s="259"/>
      <c r="BE61" s="258"/>
      <c r="BF61" s="259"/>
      <c r="BG61" s="258"/>
      <c r="BH61" s="259"/>
      <c r="BI61" s="258">
        <f t="shared" si="3"/>
        <v>0</v>
      </c>
      <c r="BJ61" s="262"/>
      <c r="BK61" s="263"/>
      <c r="BL61" s="263"/>
      <c r="BM61" s="264"/>
    </row>
    <row r="62" spans="1:65" s="276" customFormat="1" ht="36" x14ac:dyDescent="0.25">
      <c r="A62" s="240" t="s">
        <v>334</v>
      </c>
      <c r="B62" s="277" t="s">
        <v>346</v>
      </c>
      <c r="C62" s="262"/>
      <c r="D62" s="275">
        <f>SUM(GenFundExp2!I125:I137)+SUM(GenFundExp2!I156:I168)+SUM(GenFundExp2!I187:I199)</f>
        <v>0</v>
      </c>
      <c r="E62" s="259"/>
      <c r="F62" s="275">
        <f>SUM(CharterFundExp2!I125:I137)+SUM(CharterFundExp2!I156:I168)+SUM(CharterFundExp2!I87:I199)</f>
        <v>0</v>
      </c>
      <c r="G62" s="259"/>
      <c r="H62" s="275"/>
      <c r="I62" s="259"/>
      <c r="J62" s="258"/>
      <c r="K62" s="259"/>
      <c r="L62" s="275"/>
      <c r="M62" s="259"/>
      <c r="N62" s="258"/>
      <c r="O62" s="259"/>
      <c r="P62" s="258"/>
      <c r="Q62" s="259"/>
      <c r="R62" s="258"/>
      <c r="S62" s="259"/>
      <c r="T62" s="258"/>
      <c r="U62" s="259"/>
      <c r="V62" s="258"/>
      <c r="W62" s="259"/>
      <c r="X62" s="258"/>
      <c r="Y62" s="259"/>
      <c r="Z62" s="259"/>
      <c r="AA62" s="258"/>
      <c r="AB62" s="259"/>
      <c r="AC62" s="258"/>
      <c r="AD62" s="259"/>
      <c r="AE62" s="259"/>
      <c r="AF62" s="258"/>
      <c r="AG62" s="259"/>
      <c r="AH62" s="258"/>
      <c r="AI62" s="259"/>
      <c r="AJ62" s="258"/>
      <c r="AK62" s="259"/>
      <c r="AL62" s="258"/>
      <c r="AM62" s="259"/>
      <c r="AN62" s="258"/>
      <c r="AO62" s="259"/>
      <c r="AP62" s="258"/>
      <c r="AQ62" s="259"/>
      <c r="AR62" s="258"/>
      <c r="AS62" s="259"/>
      <c r="AT62" s="259"/>
      <c r="AU62" s="258"/>
      <c r="AV62" s="259"/>
      <c r="AW62" s="258"/>
      <c r="AX62" s="259"/>
      <c r="AY62" s="258"/>
      <c r="AZ62" s="259"/>
      <c r="BA62" s="258"/>
      <c r="BB62" s="259"/>
      <c r="BC62" s="258"/>
      <c r="BD62" s="259"/>
      <c r="BE62" s="258"/>
      <c r="BF62" s="259"/>
      <c r="BG62" s="258"/>
      <c r="BH62" s="259"/>
      <c r="BI62" s="258">
        <f t="shared" si="3"/>
        <v>0</v>
      </c>
      <c r="BJ62" s="262"/>
      <c r="BK62" s="263"/>
      <c r="BL62" s="263"/>
      <c r="BM62" s="264"/>
    </row>
    <row r="63" spans="1:65" s="276" customFormat="1" ht="18" x14ac:dyDescent="0.25">
      <c r="A63" s="240" t="s">
        <v>347</v>
      </c>
      <c r="B63" s="277" t="s">
        <v>885</v>
      </c>
      <c r="C63" s="262"/>
      <c r="D63" s="275">
        <f>SUM(GenFundExp2!I138:I139)+SUM(GenFundExp2!I169:I170)+SUM(GenFundExp2!I200:I201)</f>
        <v>0</v>
      </c>
      <c r="E63" s="259"/>
      <c r="F63" s="275">
        <f>SUM(CharterFundExp2!I138:I139)+SUM(CharterFundExp2!I169:I170)+SUM(CharterFundExp2!I200:I201)</f>
        <v>0</v>
      </c>
      <c r="G63" s="259"/>
      <c r="H63" s="258"/>
      <c r="I63" s="259"/>
      <c r="J63" s="258"/>
      <c r="K63" s="259"/>
      <c r="L63" s="275"/>
      <c r="M63" s="259"/>
      <c r="N63" s="258"/>
      <c r="O63" s="259"/>
      <c r="P63" s="258"/>
      <c r="Q63" s="259"/>
      <c r="R63" s="258"/>
      <c r="S63" s="259"/>
      <c r="T63" s="258"/>
      <c r="U63" s="259"/>
      <c r="V63" s="258"/>
      <c r="W63" s="259"/>
      <c r="X63" s="258"/>
      <c r="Y63" s="259"/>
      <c r="Z63" s="259"/>
      <c r="AA63" s="258"/>
      <c r="AB63" s="259"/>
      <c r="AC63" s="258"/>
      <c r="AD63" s="259"/>
      <c r="AE63" s="259"/>
      <c r="AF63" s="258"/>
      <c r="AG63" s="259"/>
      <c r="AH63" s="258"/>
      <c r="AI63" s="259"/>
      <c r="AJ63" s="258"/>
      <c r="AK63" s="259"/>
      <c r="AL63" s="258"/>
      <c r="AM63" s="259"/>
      <c r="AN63" s="258"/>
      <c r="AO63" s="259"/>
      <c r="AP63" s="258"/>
      <c r="AQ63" s="259"/>
      <c r="AR63" s="258"/>
      <c r="AS63" s="259"/>
      <c r="AT63" s="259"/>
      <c r="AU63" s="258"/>
      <c r="AV63" s="259"/>
      <c r="AW63" s="258"/>
      <c r="AX63" s="259"/>
      <c r="AY63" s="258"/>
      <c r="AZ63" s="259"/>
      <c r="BA63" s="258"/>
      <c r="BB63" s="259"/>
      <c r="BC63" s="258"/>
      <c r="BD63" s="259"/>
      <c r="BE63" s="258"/>
      <c r="BF63" s="259"/>
      <c r="BG63" s="258"/>
      <c r="BH63" s="259"/>
      <c r="BI63" s="258">
        <f t="shared" si="3"/>
        <v>0</v>
      </c>
      <c r="BJ63" s="262"/>
      <c r="BK63" s="263"/>
      <c r="BL63" s="263"/>
      <c r="BM63" s="264"/>
    </row>
    <row r="64" spans="1:65" s="276" customFormat="1" ht="18" x14ac:dyDescent="0.25">
      <c r="A64" s="240" t="s">
        <v>348</v>
      </c>
      <c r="B64" s="277" t="s">
        <v>886</v>
      </c>
      <c r="C64" s="262"/>
      <c r="D64" s="275">
        <f>SUM(GenFundExp2!I140:I142)+SUM(GenFundExp2!I171:I173)+SUM(GenFundExp2!I202:I204)</f>
        <v>0</v>
      </c>
      <c r="E64" s="259"/>
      <c r="F64" s="275">
        <f>SUM(CharterFundExp2!I140:I142)+SUM(CharterFundExp2!I171:I173)+SUM(CharterFundExp2!I202:I204)</f>
        <v>0</v>
      </c>
      <c r="G64" s="259"/>
      <c r="H64" s="258"/>
      <c r="I64" s="259"/>
      <c r="J64" s="258"/>
      <c r="K64" s="259"/>
      <c r="L64" s="275"/>
      <c r="M64" s="259"/>
      <c r="N64" s="258"/>
      <c r="O64" s="259"/>
      <c r="P64" s="258"/>
      <c r="Q64" s="259"/>
      <c r="R64" s="258"/>
      <c r="S64" s="259"/>
      <c r="T64" s="258"/>
      <c r="U64" s="259"/>
      <c r="V64" s="258"/>
      <c r="W64" s="259"/>
      <c r="X64" s="258"/>
      <c r="Y64" s="259"/>
      <c r="Z64" s="259"/>
      <c r="AA64" s="258"/>
      <c r="AB64" s="259"/>
      <c r="AC64" s="258"/>
      <c r="AD64" s="259"/>
      <c r="AE64" s="259"/>
      <c r="AF64" s="258"/>
      <c r="AG64" s="259"/>
      <c r="AH64" s="258"/>
      <c r="AI64" s="259"/>
      <c r="AJ64" s="258"/>
      <c r="AK64" s="259"/>
      <c r="AL64" s="258"/>
      <c r="AM64" s="259"/>
      <c r="AN64" s="258"/>
      <c r="AO64" s="259"/>
      <c r="AP64" s="258"/>
      <c r="AQ64" s="259"/>
      <c r="AR64" s="258"/>
      <c r="AS64" s="259"/>
      <c r="AT64" s="259"/>
      <c r="AU64" s="258"/>
      <c r="AV64" s="259"/>
      <c r="AW64" s="258"/>
      <c r="AX64" s="259"/>
      <c r="AY64" s="258"/>
      <c r="AZ64" s="259"/>
      <c r="BA64" s="258"/>
      <c r="BB64" s="259"/>
      <c r="BC64" s="258"/>
      <c r="BD64" s="259"/>
      <c r="BE64" s="258"/>
      <c r="BF64" s="259"/>
      <c r="BG64" s="258"/>
      <c r="BH64" s="259"/>
      <c r="BI64" s="258">
        <f t="shared" si="3"/>
        <v>0</v>
      </c>
      <c r="BJ64" s="262"/>
      <c r="BK64" s="263"/>
      <c r="BL64" s="263"/>
      <c r="BM64" s="264"/>
    </row>
    <row r="65" spans="1:65" s="276" customFormat="1" ht="18.75" thickBot="1" x14ac:dyDescent="0.3">
      <c r="A65" s="240" t="s">
        <v>349</v>
      </c>
      <c r="B65" s="277" t="s">
        <v>350</v>
      </c>
      <c r="C65" s="262"/>
      <c r="D65" s="275">
        <f>SUM(GenFundExp2!I143:I148)+SUM(GenFundExp2!I174:I179)+SUM(GenFundExp2!I205:I210)</f>
        <v>0</v>
      </c>
      <c r="E65" s="259"/>
      <c r="F65" s="275">
        <f>SUM(CharterFundExp2!I143:I148)+SUM(CharterFundExp2!I174:I179)+SUM(CharterFundExp2!I205:I210)</f>
        <v>0</v>
      </c>
      <c r="G65" s="259"/>
      <c r="H65" s="258"/>
      <c r="I65" s="259"/>
      <c r="J65" s="258"/>
      <c r="K65" s="259"/>
      <c r="L65" s="275"/>
      <c r="M65" s="259"/>
      <c r="N65" s="258"/>
      <c r="O65" s="259"/>
      <c r="P65" s="258"/>
      <c r="Q65" s="259"/>
      <c r="R65" s="258"/>
      <c r="S65" s="259"/>
      <c r="T65" s="258"/>
      <c r="U65" s="259"/>
      <c r="V65" s="258"/>
      <c r="W65" s="259"/>
      <c r="X65" s="258"/>
      <c r="Y65" s="259"/>
      <c r="Z65" s="259"/>
      <c r="AA65" s="258"/>
      <c r="AB65" s="259"/>
      <c r="AC65" s="258"/>
      <c r="AD65" s="259"/>
      <c r="AE65" s="259"/>
      <c r="AF65" s="258"/>
      <c r="AG65" s="259"/>
      <c r="AH65" s="258"/>
      <c r="AI65" s="259"/>
      <c r="AJ65" s="258"/>
      <c r="AK65" s="259"/>
      <c r="AL65" s="258"/>
      <c r="AM65" s="259"/>
      <c r="AN65" s="258"/>
      <c r="AO65" s="259"/>
      <c r="AP65" s="258"/>
      <c r="AQ65" s="259"/>
      <c r="AR65" s="258"/>
      <c r="AS65" s="259"/>
      <c r="AT65" s="259"/>
      <c r="AU65" s="258"/>
      <c r="AV65" s="259"/>
      <c r="AW65" s="258"/>
      <c r="AX65" s="259"/>
      <c r="AY65" s="258"/>
      <c r="AZ65" s="259"/>
      <c r="BA65" s="258"/>
      <c r="BB65" s="259"/>
      <c r="BC65" s="258"/>
      <c r="BD65" s="259"/>
      <c r="BE65" s="258"/>
      <c r="BF65" s="259"/>
      <c r="BG65" s="258"/>
      <c r="BH65" s="259"/>
      <c r="BI65" s="258">
        <f t="shared" si="3"/>
        <v>0</v>
      </c>
      <c r="BJ65" s="262"/>
      <c r="BK65" s="263"/>
      <c r="BL65" s="263"/>
      <c r="BM65" s="264"/>
    </row>
    <row r="66" spans="1:65" s="276" customFormat="1" ht="36.75" thickBot="1" x14ac:dyDescent="0.3">
      <c r="A66" s="265" t="s">
        <v>357</v>
      </c>
      <c r="B66" s="273"/>
      <c r="C66" s="269"/>
      <c r="D66" s="268">
        <f>SUM(D60:D65)</f>
        <v>0</v>
      </c>
      <c r="E66" s="269"/>
      <c r="F66" s="268">
        <f>SUM(F60:F65)</f>
        <v>0</v>
      </c>
      <c r="G66" s="269"/>
      <c r="H66" s="268">
        <f>SUM(H60:H65)</f>
        <v>0</v>
      </c>
      <c r="I66" s="269"/>
      <c r="J66" s="268">
        <f>SUM(J60:J65)</f>
        <v>0</v>
      </c>
      <c r="K66" s="269"/>
      <c r="L66" s="268">
        <f>SUM(L60:L65)</f>
        <v>0</v>
      </c>
      <c r="M66" s="269"/>
      <c r="N66" s="268">
        <f>SUM(N60:N65)</f>
        <v>0</v>
      </c>
      <c r="O66" s="269"/>
      <c r="P66" s="268">
        <f>SUM(P60:P65)</f>
        <v>0</v>
      </c>
      <c r="Q66" s="269"/>
      <c r="R66" s="268">
        <f>SUM(R60:R65)</f>
        <v>0</v>
      </c>
      <c r="S66" s="269"/>
      <c r="T66" s="268">
        <f>SUM(T60:T65)</f>
        <v>0</v>
      </c>
      <c r="U66" s="269"/>
      <c r="V66" s="268">
        <f>SUM(V60:V65)</f>
        <v>0</v>
      </c>
      <c r="W66" s="269"/>
      <c r="X66" s="268">
        <f>SUM(X60:X65)</f>
        <v>0</v>
      </c>
      <c r="Y66" s="269"/>
      <c r="Z66" s="269"/>
      <c r="AA66" s="268">
        <f>SUM(AA60:AA65)</f>
        <v>0</v>
      </c>
      <c r="AB66" s="269"/>
      <c r="AC66" s="268">
        <f>SUM(AC60:AC65)</f>
        <v>0</v>
      </c>
      <c r="AD66" s="269"/>
      <c r="AE66" s="269"/>
      <c r="AF66" s="268">
        <f>SUM(AF60:AF65)</f>
        <v>0</v>
      </c>
      <c r="AG66" s="269"/>
      <c r="AH66" s="268">
        <f>SUM(AH60:AH65)</f>
        <v>0</v>
      </c>
      <c r="AI66" s="269"/>
      <c r="AJ66" s="268">
        <f>SUM(AJ60:AJ65)</f>
        <v>0</v>
      </c>
      <c r="AK66" s="269"/>
      <c r="AL66" s="268">
        <f>SUM(AL60:AL65)</f>
        <v>0</v>
      </c>
      <c r="AM66" s="269"/>
      <c r="AN66" s="268">
        <f>SUM(AN60:AN65)</f>
        <v>0</v>
      </c>
      <c r="AO66" s="269"/>
      <c r="AP66" s="268">
        <f>SUM(AP60:AP65)</f>
        <v>0</v>
      </c>
      <c r="AQ66" s="269"/>
      <c r="AR66" s="268">
        <f>SUM(AR60:AR65)</f>
        <v>0</v>
      </c>
      <c r="AS66" s="269"/>
      <c r="AT66" s="269"/>
      <c r="AU66" s="268">
        <f>SUM(AU60:AU65)</f>
        <v>0</v>
      </c>
      <c r="AV66" s="269"/>
      <c r="AW66" s="268">
        <f>SUM(AW60:AW65)</f>
        <v>0</v>
      </c>
      <c r="AX66" s="269"/>
      <c r="AY66" s="268">
        <f>SUM(AY60:AY65)</f>
        <v>0</v>
      </c>
      <c r="AZ66" s="269"/>
      <c r="BA66" s="268">
        <f>SUM(BA60:BA65)</f>
        <v>0</v>
      </c>
      <c r="BB66" s="269"/>
      <c r="BC66" s="268">
        <f>SUM(BC60:BC65)</f>
        <v>0</v>
      </c>
      <c r="BD66" s="269"/>
      <c r="BE66" s="268">
        <f>SUM(BE60:BE65)</f>
        <v>0</v>
      </c>
      <c r="BF66" s="269"/>
      <c r="BG66" s="268">
        <f>SUM(BG60:BG65)</f>
        <v>0</v>
      </c>
      <c r="BH66" s="269"/>
      <c r="BI66" s="268">
        <f>D66+F66+H66+J66+X66+N66+P66+R66+L66+T66+V66+AC66+AF66+AH66+AJ66+AL66+AN66+AP66+AR66+AU66+AW66+AY66+BA66+BC66+BG66+BE66+AA66</f>
        <v>0</v>
      </c>
      <c r="BJ66" s="269"/>
      <c r="BK66" s="270"/>
      <c r="BL66" s="270"/>
      <c r="BM66" s="264"/>
    </row>
    <row r="67" spans="1:65" s="276" customFormat="1" ht="18" x14ac:dyDescent="0.25">
      <c r="A67" s="240"/>
      <c r="B67" s="256"/>
      <c r="C67" s="262"/>
      <c r="D67" s="258"/>
      <c r="E67" s="259"/>
      <c r="F67" s="258"/>
      <c r="G67" s="259"/>
      <c r="H67" s="258"/>
      <c r="I67" s="259"/>
      <c r="J67" s="258"/>
      <c r="K67" s="259"/>
      <c r="L67" s="275"/>
      <c r="M67" s="259"/>
      <c r="N67" s="258"/>
      <c r="O67" s="259"/>
      <c r="P67" s="258"/>
      <c r="Q67" s="259"/>
      <c r="R67" s="258"/>
      <c r="S67" s="259"/>
      <c r="T67" s="258"/>
      <c r="U67" s="259"/>
      <c r="V67" s="258"/>
      <c r="W67" s="259"/>
      <c r="X67" s="258"/>
      <c r="Y67" s="259"/>
      <c r="Z67" s="259"/>
      <c r="AA67" s="258"/>
      <c r="AB67" s="259"/>
      <c r="AC67" s="258"/>
      <c r="AD67" s="259"/>
      <c r="AE67" s="259"/>
      <c r="AF67" s="258"/>
      <c r="AG67" s="259"/>
      <c r="AH67" s="258"/>
      <c r="AI67" s="259"/>
      <c r="AJ67" s="258"/>
      <c r="AK67" s="259"/>
      <c r="AL67" s="258"/>
      <c r="AM67" s="259"/>
      <c r="AN67" s="258"/>
      <c r="AO67" s="259"/>
      <c r="AP67" s="258"/>
      <c r="AQ67" s="259"/>
      <c r="AR67" s="258"/>
      <c r="AS67" s="259"/>
      <c r="AT67" s="259"/>
      <c r="AU67" s="258"/>
      <c r="AV67" s="259"/>
      <c r="AW67" s="258"/>
      <c r="AX67" s="259"/>
      <c r="AY67" s="258"/>
      <c r="AZ67" s="259"/>
      <c r="BA67" s="258"/>
      <c r="BB67" s="259"/>
      <c r="BC67" s="258"/>
      <c r="BD67" s="259"/>
      <c r="BE67" s="258"/>
      <c r="BF67" s="259"/>
      <c r="BG67" s="258"/>
      <c r="BH67" s="259"/>
      <c r="BI67" s="264"/>
      <c r="BJ67" s="262"/>
      <c r="BK67" s="263"/>
      <c r="BL67" s="263"/>
      <c r="BM67" s="264"/>
    </row>
    <row r="68" spans="1:65" s="276" customFormat="1" ht="36" x14ac:dyDescent="0.25">
      <c r="A68" s="240" t="s">
        <v>358</v>
      </c>
      <c r="B68" s="256"/>
      <c r="C68" s="262"/>
      <c r="D68" s="258"/>
      <c r="E68" s="259"/>
      <c r="F68" s="258"/>
      <c r="G68" s="259"/>
      <c r="H68" s="258"/>
      <c r="I68" s="259"/>
      <c r="J68" s="258"/>
      <c r="K68" s="259"/>
      <c r="L68" s="275"/>
      <c r="M68" s="259"/>
      <c r="N68" s="258"/>
      <c r="O68" s="259"/>
      <c r="P68" s="258"/>
      <c r="Q68" s="259"/>
      <c r="R68" s="258"/>
      <c r="S68" s="259"/>
      <c r="T68" s="258"/>
      <c r="U68" s="259"/>
      <c r="V68" s="258"/>
      <c r="W68" s="259"/>
      <c r="X68" s="258"/>
      <c r="Y68" s="259"/>
      <c r="Z68" s="259"/>
      <c r="AA68" s="258"/>
      <c r="AB68" s="259"/>
      <c r="AC68" s="258"/>
      <c r="AD68" s="259"/>
      <c r="AE68" s="259"/>
      <c r="AF68" s="258"/>
      <c r="AG68" s="259"/>
      <c r="AH68" s="258"/>
      <c r="AI68" s="259"/>
      <c r="AJ68" s="258"/>
      <c r="AK68" s="259"/>
      <c r="AL68" s="258"/>
      <c r="AM68" s="259"/>
      <c r="AN68" s="258"/>
      <c r="AO68" s="259"/>
      <c r="AP68" s="258"/>
      <c r="AQ68" s="259"/>
      <c r="AR68" s="258"/>
      <c r="AS68" s="259"/>
      <c r="AT68" s="259"/>
      <c r="AU68" s="258"/>
      <c r="AV68" s="259"/>
      <c r="AW68" s="258"/>
      <c r="AX68" s="259"/>
      <c r="AY68" s="258"/>
      <c r="AZ68" s="259"/>
      <c r="BA68" s="258"/>
      <c r="BB68" s="259"/>
      <c r="BC68" s="258"/>
      <c r="BD68" s="259"/>
      <c r="BE68" s="258"/>
      <c r="BF68" s="259"/>
      <c r="BG68" s="258"/>
      <c r="BH68" s="259"/>
      <c r="BI68" s="264"/>
      <c r="BJ68" s="262"/>
      <c r="BK68" s="263"/>
      <c r="BL68" s="263"/>
      <c r="BM68" s="264"/>
    </row>
    <row r="69" spans="1:65" s="276" customFormat="1" ht="18" x14ac:dyDescent="0.25">
      <c r="A69" s="240" t="s">
        <v>332</v>
      </c>
      <c r="B69" s="277" t="s">
        <v>880</v>
      </c>
      <c r="C69" s="262"/>
      <c r="D69" s="275">
        <f>SUM(GenFundExp2!I214+GenFundExp2!I215)</f>
        <v>0</v>
      </c>
      <c r="E69" s="259"/>
      <c r="F69" s="275">
        <f>SUM(CharterFundExp2!I214+CharterFundExp2!I215)</f>
        <v>0</v>
      </c>
      <c r="G69" s="259"/>
      <c r="H69" s="258"/>
      <c r="I69" s="259"/>
      <c r="J69" s="258"/>
      <c r="K69" s="259"/>
      <c r="L69" s="275"/>
      <c r="M69" s="259"/>
      <c r="N69" s="258"/>
      <c r="O69" s="259"/>
      <c r="P69" s="258"/>
      <c r="Q69" s="259"/>
      <c r="R69" s="258"/>
      <c r="S69" s="259"/>
      <c r="T69" s="258"/>
      <c r="U69" s="259"/>
      <c r="V69" s="258"/>
      <c r="W69" s="259"/>
      <c r="X69" s="258"/>
      <c r="Y69" s="259"/>
      <c r="Z69" s="259"/>
      <c r="AA69" s="258"/>
      <c r="AB69" s="259"/>
      <c r="AC69" s="258"/>
      <c r="AD69" s="259"/>
      <c r="AE69" s="259"/>
      <c r="AF69" s="258"/>
      <c r="AG69" s="259"/>
      <c r="AH69" s="258"/>
      <c r="AI69" s="259"/>
      <c r="AJ69" s="258"/>
      <c r="AK69" s="259"/>
      <c r="AL69" s="258"/>
      <c r="AM69" s="259"/>
      <c r="AN69" s="258"/>
      <c r="AO69" s="259"/>
      <c r="AP69" s="258"/>
      <c r="AQ69" s="259"/>
      <c r="AR69" s="258"/>
      <c r="AS69" s="259"/>
      <c r="AT69" s="259"/>
      <c r="AU69" s="258"/>
      <c r="AV69" s="259"/>
      <c r="AW69" s="258"/>
      <c r="AX69" s="259"/>
      <c r="AY69" s="258"/>
      <c r="AZ69" s="259"/>
      <c r="BA69" s="258"/>
      <c r="BB69" s="259"/>
      <c r="BC69" s="258"/>
      <c r="BD69" s="259"/>
      <c r="BE69" s="258"/>
      <c r="BF69" s="259"/>
      <c r="BG69" s="258"/>
      <c r="BH69" s="259"/>
      <c r="BI69" s="258">
        <f t="shared" ref="BI69:BI74" si="4">D69+F69+H69+J69+X69+N69+P69+R69+L69+T69+V69+AC69+AF69+AH69+AJ69+AL69+AN69+AP69+AR69+AU69+AW69+AY69+BA69+BC69+BG69+BE69+AA69</f>
        <v>0</v>
      </c>
      <c r="BJ69" s="262"/>
      <c r="BK69" s="263"/>
      <c r="BL69" s="263"/>
      <c r="BM69" s="264"/>
    </row>
    <row r="70" spans="1:65" s="276" customFormat="1" ht="18" x14ac:dyDescent="0.25">
      <c r="A70" s="240" t="s">
        <v>333</v>
      </c>
      <c r="B70" s="277" t="s">
        <v>881</v>
      </c>
      <c r="C70" s="262"/>
      <c r="D70" s="275">
        <f>SUM(GenFundExp2!I216+GenFundExp2!I217)</f>
        <v>0</v>
      </c>
      <c r="E70" s="259"/>
      <c r="F70" s="275">
        <f>SUM(CharterFundExp2!I216+CharterFundExp2!I217)</f>
        <v>0</v>
      </c>
      <c r="G70" s="259"/>
      <c r="H70" s="258"/>
      <c r="I70" s="259"/>
      <c r="J70" s="258"/>
      <c r="K70" s="259"/>
      <c r="L70" s="275"/>
      <c r="M70" s="259"/>
      <c r="N70" s="258"/>
      <c r="O70" s="259"/>
      <c r="P70" s="258"/>
      <c r="Q70" s="259"/>
      <c r="R70" s="258"/>
      <c r="S70" s="259"/>
      <c r="T70" s="258"/>
      <c r="U70" s="259"/>
      <c r="V70" s="258"/>
      <c r="W70" s="259"/>
      <c r="X70" s="258"/>
      <c r="Y70" s="259"/>
      <c r="Z70" s="259"/>
      <c r="AA70" s="258"/>
      <c r="AB70" s="259"/>
      <c r="AC70" s="258"/>
      <c r="AD70" s="259"/>
      <c r="AE70" s="259"/>
      <c r="AF70" s="258"/>
      <c r="AG70" s="259"/>
      <c r="AH70" s="258"/>
      <c r="AI70" s="259"/>
      <c r="AJ70" s="258"/>
      <c r="AK70" s="259"/>
      <c r="AL70" s="258"/>
      <c r="AM70" s="259"/>
      <c r="AN70" s="258"/>
      <c r="AO70" s="259"/>
      <c r="AP70" s="258"/>
      <c r="AQ70" s="259"/>
      <c r="AR70" s="258"/>
      <c r="AS70" s="259"/>
      <c r="AT70" s="259"/>
      <c r="AU70" s="258"/>
      <c r="AV70" s="259"/>
      <c r="AW70" s="258"/>
      <c r="AX70" s="259"/>
      <c r="AY70" s="258"/>
      <c r="AZ70" s="259"/>
      <c r="BA70" s="258"/>
      <c r="BB70" s="259"/>
      <c r="BC70" s="258"/>
      <c r="BD70" s="259"/>
      <c r="BE70" s="258"/>
      <c r="BF70" s="259"/>
      <c r="BG70" s="258"/>
      <c r="BH70" s="259"/>
      <c r="BI70" s="258">
        <f t="shared" si="4"/>
        <v>0</v>
      </c>
      <c r="BJ70" s="262"/>
      <c r="BK70" s="263"/>
      <c r="BL70" s="263"/>
      <c r="BM70" s="264"/>
    </row>
    <row r="71" spans="1:65" s="276" customFormat="1" ht="36" x14ac:dyDescent="0.25">
      <c r="A71" s="240" t="s">
        <v>334</v>
      </c>
      <c r="B71" s="277" t="s">
        <v>346</v>
      </c>
      <c r="C71" s="262"/>
      <c r="D71" s="275">
        <f>SUM(GenFundExp2!I218:I237)</f>
        <v>0</v>
      </c>
      <c r="E71" s="259"/>
      <c r="F71" s="275">
        <f>SUM(CharterFundExp2!I218:I237)</f>
        <v>0</v>
      </c>
      <c r="G71" s="259"/>
      <c r="H71" s="258"/>
      <c r="I71" s="259"/>
      <c r="J71" s="258"/>
      <c r="K71" s="259"/>
      <c r="L71" s="275"/>
      <c r="M71" s="259"/>
      <c r="N71" s="258"/>
      <c r="O71" s="259"/>
      <c r="P71" s="258"/>
      <c r="Q71" s="259"/>
      <c r="R71" s="258"/>
      <c r="S71" s="259"/>
      <c r="T71" s="258"/>
      <c r="U71" s="259"/>
      <c r="V71" s="258"/>
      <c r="W71" s="259"/>
      <c r="X71" s="258"/>
      <c r="Y71" s="259"/>
      <c r="Z71" s="259"/>
      <c r="AA71" s="258"/>
      <c r="AB71" s="259"/>
      <c r="AC71" s="258"/>
      <c r="AD71" s="259"/>
      <c r="AE71" s="259"/>
      <c r="AF71" s="258"/>
      <c r="AG71" s="259"/>
      <c r="AH71" s="258"/>
      <c r="AI71" s="259"/>
      <c r="AJ71" s="258"/>
      <c r="AK71" s="259"/>
      <c r="AL71" s="258"/>
      <c r="AM71" s="259"/>
      <c r="AN71" s="258"/>
      <c r="AO71" s="259"/>
      <c r="AP71" s="258"/>
      <c r="AQ71" s="259"/>
      <c r="AR71" s="258"/>
      <c r="AS71" s="259"/>
      <c r="AT71" s="259"/>
      <c r="AU71" s="258"/>
      <c r="AV71" s="259"/>
      <c r="AW71" s="258"/>
      <c r="AX71" s="259"/>
      <c r="AY71" s="258"/>
      <c r="AZ71" s="259"/>
      <c r="BA71" s="258"/>
      <c r="BB71" s="259"/>
      <c r="BC71" s="258"/>
      <c r="BD71" s="259"/>
      <c r="BE71" s="258"/>
      <c r="BF71" s="259"/>
      <c r="BG71" s="258"/>
      <c r="BH71" s="259"/>
      <c r="BI71" s="258">
        <f t="shared" si="4"/>
        <v>0</v>
      </c>
      <c r="BJ71" s="262"/>
      <c r="BK71" s="263"/>
      <c r="BL71" s="263"/>
      <c r="BM71" s="264"/>
    </row>
    <row r="72" spans="1:65" s="276" customFormat="1" ht="18" x14ac:dyDescent="0.25">
      <c r="A72" s="240" t="s">
        <v>347</v>
      </c>
      <c r="B72" s="277" t="s">
        <v>885</v>
      </c>
      <c r="C72" s="262"/>
      <c r="D72" s="275">
        <f>SUM(GenFundExp2!I238:I239)</f>
        <v>0</v>
      </c>
      <c r="E72" s="259"/>
      <c r="F72" s="275">
        <f>SUM(CharterFundExp2!I238:I239)</f>
        <v>0</v>
      </c>
      <c r="G72" s="259"/>
      <c r="H72" s="258"/>
      <c r="I72" s="259"/>
      <c r="J72" s="258"/>
      <c r="K72" s="259"/>
      <c r="L72" s="275"/>
      <c r="M72" s="259"/>
      <c r="N72" s="258"/>
      <c r="O72" s="259"/>
      <c r="P72" s="258"/>
      <c r="Q72" s="259"/>
      <c r="R72" s="258"/>
      <c r="S72" s="259"/>
      <c r="T72" s="258"/>
      <c r="U72" s="259"/>
      <c r="V72" s="258"/>
      <c r="W72" s="259"/>
      <c r="X72" s="258"/>
      <c r="Y72" s="259"/>
      <c r="Z72" s="259"/>
      <c r="AA72" s="258"/>
      <c r="AB72" s="259"/>
      <c r="AC72" s="258"/>
      <c r="AD72" s="259"/>
      <c r="AE72" s="259"/>
      <c r="AF72" s="258"/>
      <c r="AG72" s="259"/>
      <c r="AH72" s="258"/>
      <c r="AI72" s="259"/>
      <c r="AJ72" s="258"/>
      <c r="AK72" s="259"/>
      <c r="AL72" s="258"/>
      <c r="AM72" s="259"/>
      <c r="AN72" s="258"/>
      <c r="AO72" s="259"/>
      <c r="AP72" s="258"/>
      <c r="AQ72" s="259"/>
      <c r="AR72" s="258"/>
      <c r="AS72" s="259"/>
      <c r="AT72" s="259"/>
      <c r="AU72" s="258"/>
      <c r="AV72" s="259"/>
      <c r="AW72" s="258"/>
      <c r="AX72" s="259"/>
      <c r="AY72" s="258"/>
      <c r="AZ72" s="259"/>
      <c r="BA72" s="258"/>
      <c r="BB72" s="259"/>
      <c r="BC72" s="258"/>
      <c r="BD72" s="259"/>
      <c r="BE72" s="258"/>
      <c r="BF72" s="259"/>
      <c r="BG72" s="258"/>
      <c r="BH72" s="259"/>
      <c r="BI72" s="258">
        <f t="shared" si="4"/>
        <v>0</v>
      </c>
      <c r="BJ72" s="262"/>
      <c r="BK72" s="263"/>
      <c r="BL72" s="263"/>
      <c r="BM72" s="264"/>
    </row>
    <row r="73" spans="1:65" s="276" customFormat="1" ht="18" x14ac:dyDescent="0.25">
      <c r="A73" s="240" t="s">
        <v>359</v>
      </c>
      <c r="B73" s="277" t="s">
        <v>886</v>
      </c>
      <c r="C73" s="262"/>
      <c r="D73" s="275">
        <f>SUM(GenFundExp2!I240:I242)</f>
        <v>0</v>
      </c>
      <c r="E73" s="259"/>
      <c r="F73" s="275">
        <f>SUM(CharterFundExp2!I240:I242)</f>
        <v>0</v>
      </c>
      <c r="G73" s="259"/>
      <c r="H73" s="258"/>
      <c r="I73" s="259"/>
      <c r="J73" s="258"/>
      <c r="K73" s="259"/>
      <c r="L73" s="275"/>
      <c r="M73" s="259"/>
      <c r="N73" s="258"/>
      <c r="O73" s="259"/>
      <c r="P73" s="258"/>
      <c r="Q73" s="259"/>
      <c r="R73" s="258"/>
      <c r="S73" s="259"/>
      <c r="T73" s="258"/>
      <c r="U73" s="259"/>
      <c r="V73" s="258"/>
      <c r="W73" s="259"/>
      <c r="X73" s="258"/>
      <c r="Y73" s="259"/>
      <c r="Z73" s="259"/>
      <c r="AA73" s="258"/>
      <c r="AB73" s="259"/>
      <c r="AC73" s="258"/>
      <c r="AD73" s="259"/>
      <c r="AE73" s="259"/>
      <c r="AF73" s="258"/>
      <c r="AG73" s="259"/>
      <c r="AH73" s="258"/>
      <c r="AI73" s="259"/>
      <c r="AJ73" s="258"/>
      <c r="AK73" s="259"/>
      <c r="AL73" s="258"/>
      <c r="AM73" s="259"/>
      <c r="AN73" s="258"/>
      <c r="AO73" s="259"/>
      <c r="AP73" s="258"/>
      <c r="AQ73" s="259"/>
      <c r="AR73" s="258"/>
      <c r="AS73" s="259"/>
      <c r="AT73" s="259"/>
      <c r="AU73" s="258"/>
      <c r="AV73" s="259"/>
      <c r="AW73" s="258"/>
      <c r="AX73" s="259"/>
      <c r="AY73" s="258"/>
      <c r="AZ73" s="259"/>
      <c r="BA73" s="258"/>
      <c r="BB73" s="259"/>
      <c r="BC73" s="258"/>
      <c r="BD73" s="259"/>
      <c r="BE73" s="258"/>
      <c r="BF73" s="259"/>
      <c r="BG73" s="258"/>
      <c r="BH73" s="259"/>
      <c r="BI73" s="258">
        <f t="shared" si="4"/>
        <v>0</v>
      </c>
      <c r="BJ73" s="262"/>
      <c r="BK73" s="263"/>
      <c r="BL73" s="263"/>
      <c r="BM73" s="264"/>
    </row>
    <row r="74" spans="1:65" s="276" customFormat="1" ht="18.75" thickBot="1" x14ac:dyDescent="0.3">
      <c r="A74" s="240" t="s">
        <v>349</v>
      </c>
      <c r="B74" s="277" t="s">
        <v>350</v>
      </c>
      <c r="C74" s="262"/>
      <c r="D74" s="275">
        <f>SUM(GenFundExp2!I243:I248)</f>
        <v>0</v>
      </c>
      <c r="E74" s="259"/>
      <c r="F74" s="275">
        <f>SUM(CharterFundExp2!I243:I248)</f>
        <v>0</v>
      </c>
      <c r="G74" s="259"/>
      <c r="H74" s="258"/>
      <c r="I74" s="259"/>
      <c r="J74" s="258"/>
      <c r="K74" s="259"/>
      <c r="L74" s="275"/>
      <c r="M74" s="259"/>
      <c r="N74" s="258"/>
      <c r="O74" s="259"/>
      <c r="P74" s="258"/>
      <c r="Q74" s="259"/>
      <c r="R74" s="258"/>
      <c r="S74" s="259"/>
      <c r="T74" s="258"/>
      <c r="U74" s="259"/>
      <c r="V74" s="258"/>
      <c r="W74" s="259"/>
      <c r="X74" s="258"/>
      <c r="Y74" s="259"/>
      <c r="Z74" s="259"/>
      <c r="AA74" s="258"/>
      <c r="AB74" s="259"/>
      <c r="AC74" s="258"/>
      <c r="AD74" s="259"/>
      <c r="AE74" s="259"/>
      <c r="AF74" s="258"/>
      <c r="AG74" s="259"/>
      <c r="AH74" s="258"/>
      <c r="AI74" s="259"/>
      <c r="AJ74" s="258"/>
      <c r="AK74" s="259"/>
      <c r="AL74" s="258"/>
      <c r="AM74" s="259"/>
      <c r="AN74" s="258"/>
      <c r="AO74" s="259"/>
      <c r="AP74" s="258"/>
      <c r="AQ74" s="259"/>
      <c r="AR74" s="258"/>
      <c r="AS74" s="259"/>
      <c r="AT74" s="259"/>
      <c r="AU74" s="258"/>
      <c r="AV74" s="259"/>
      <c r="AW74" s="258"/>
      <c r="AX74" s="259"/>
      <c r="AY74" s="258"/>
      <c r="AZ74" s="259"/>
      <c r="BA74" s="258"/>
      <c r="BB74" s="259"/>
      <c r="BC74" s="258"/>
      <c r="BD74" s="259"/>
      <c r="BE74" s="258"/>
      <c r="BF74" s="259"/>
      <c r="BG74" s="258"/>
      <c r="BH74" s="259"/>
      <c r="BI74" s="258">
        <f t="shared" si="4"/>
        <v>0</v>
      </c>
      <c r="BJ74" s="262"/>
      <c r="BK74" s="263"/>
      <c r="BL74" s="263"/>
      <c r="BM74" s="264"/>
    </row>
    <row r="75" spans="1:65" s="276" customFormat="1" ht="36.75" thickBot="1" x14ac:dyDescent="0.3">
      <c r="A75" s="265" t="s">
        <v>357</v>
      </c>
      <c r="B75" s="273"/>
      <c r="C75" s="269"/>
      <c r="D75" s="268">
        <f>SUM(D69:D74)</f>
        <v>0</v>
      </c>
      <c r="E75" s="269"/>
      <c r="F75" s="268">
        <f>SUM(F69:F74)</f>
        <v>0</v>
      </c>
      <c r="G75" s="269"/>
      <c r="H75" s="268">
        <f>SUM(H69:H74)</f>
        <v>0</v>
      </c>
      <c r="I75" s="269"/>
      <c r="J75" s="268">
        <f>SUM(J69:J74)</f>
        <v>0</v>
      </c>
      <c r="K75" s="269"/>
      <c r="L75" s="268">
        <f>SUM(L69:L74)</f>
        <v>0</v>
      </c>
      <c r="M75" s="269"/>
      <c r="N75" s="268">
        <f>SUM(N69:N74)</f>
        <v>0</v>
      </c>
      <c r="O75" s="269"/>
      <c r="P75" s="268">
        <f>SUM(P69:P74)</f>
        <v>0</v>
      </c>
      <c r="Q75" s="269"/>
      <c r="R75" s="268">
        <f>SUM(R69:R74)</f>
        <v>0</v>
      </c>
      <c r="S75" s="269"/>
      <c r="T75" s="268">
        <f>SUM(T69:T74)</f>
        <v>0</v>
      </c>
      <c r="U75" s="269"/>
      <c r="V75" s="268">
        <f>SUM(V69:V74)</f>
        <v>0</v>
      </c>
      <c r="W75" s="269"/>
      <c r="X75" s="268">
        <f>SUM(X69:X74)</f>
        <v>0</v>
      </c>
      <c r="Y75" s="269"/>
      <c r="Z75" s="269"/>
      <c r="AA75" s="268">
        <f>SUM(AA69:AA74)</f>
        <v>0</v>
      </c>
      <c r="AB75" s="269"/>
      <c r="AC75" s="268">
        <f>SUM(AC69:AC74)</f>
        <v>0</v>
      </c>
      <c r="AD75" s="269"/>
      <c r="AE75" s="269"/>
      <c r="AF75" s="268">
        <f>SUM(AF69:AF74)</f>
        <v>0</v>
      </c>
      <c r="AG75" s="269"/>
      <c r="AH75" s="268">
        <f>SUM(AH69:AH74)</f>
        <v>0</v>
      </c>
      <c r="AI75" s="269"/>
      <c r="AJ75" s="268">
        <f>SUM(AJ69:AJ74)</f>
        <v>0</v>
      </c>
      <c r="AK75" s="269"/>
      <c r="AL75" s="268">
        <f>SUM(AL69:AL74)</f>
        <v>0</v>
      </c>
      <c r="AM75" s="269"/>
      <c r="AN75" s="268">
        <f>SUM(AN69:AN74)</f>
        <v>0</v>
      </c>
      <c r="AO75" s="269"/>
      <c r="AP75" s="268">
        <f>SUM(AP69:AP74)</f>
        <v>0</v>
      </c>
      <c r="AQ75" s="269"/>
      <c r="AR75" s="268">
        <f>SUM(AR69:AR74)</f>
        <v>0</v>
      </c>
      <c r="AS75" s="269"/>
      <c r="AT75" s="269"/>
      <c r="AU75" s="268">
        <f>SUM(AU69:AU74)</f>
        <v>0</v>
      </c>
      <c r="AV75" s="269"/>
      <c r="AW75" s="268">
        <f>SUM(AW69:AW74)</f>
        <v>0</v>
      </c>
      <c r="AX75" s="269"/>
      <c r="AY75" s="268">
        <f>SUM(AY69:AY74)</f>
        <v>0</v>
      </c>
      <c r="AZ75" s="269"/>
      <c r="BA75" s="268">
        <f>SUM(BA69:BA74)</f>
        <v>0</v>
      </c>
      <c r="BB75" s="269"/>
      <c r="BC75" s="268">
        <f>SUM(BC69:BC74)</f>
        <v>0</v>
      </c>
      <c r="BD75" s="269"/>
      <c r="BE75" s="268">
        <f>SUM(BE69:BE74)</f>
        <v>0</v>
      </c>
      <c r="BF75" s="269"/>
      <c r="BG75" s="268">
        <f>SUM(BG69:BG74)</f>
        <v>0</v>
      </c>
      <c r="BH75" s="269"/>
      <c r="BI75" s="268">
        <f>D75+F75+H75+J75+X75+N75+P75+R75+L75+T75+V75+AC75+AF75+AH75+AJ75+AL75+AN75+AP75+AR75+AU75+AW75+AY75+BA75+BC75+BG75+BE75+AA75</f>
        <v>0</v>
      </c>
      <c r="BJ75" s="269"/>
      <c r="BK75" s="270"/>
      <c r="BL75" s="270"/>
      <c r="BM75" s="264"/>
    </row>
    <row r="76" spans="1:65" s="276" customFormat="1" ht="18" x14ac:dyDescent="0.25">
      <c r="A76" s="240"/>
      <c r="B76" s="256"/>
      <c r="C76" s="262"/>
      <c r="D76" s="258"/>
      <c r="E76" s="259"/>
      <c r="F76" s="258"/>
      <c r="G76" s="259"/>
      <c r="H76" s="258"/>
      <c r="I76" s="259"/>
      <c r="J76" s="258"/>
      <c r="K76" s="259"/>
      <c r="L76" s="275"/>
      <c r="M76" s="259"/>
      <c r="N76" s="258"/>
      <c r="O76" s="259"/>
      <c r="P76" s="258"/>
      <c r="Q76" s="259"/>
      <c r="R76" s="258"/>
      <c r="S76" s="259"/>
      <c r="T76" s="258"/>
      <c r="U76" s="259"/>
      <c r="V76" s="258"/>
      <c r="W76" s="259"/>
      <c r="X76" s="258"/>
      <c r="Y76" s="259"/>
      <c r="Z76" s="259"/>
      <c r="AA76" s="258"/>
      <c r="AB76" s="259"/>
      <c r="AC76" s="258"/>
      <c r="AD76" s="259"/>
      <c r="AE76" s="259"/>
      <c r="AF76" s="258"/>
      <c r="AG76" s="259"/>
      <c r="AH76" s="258"/>
      <c r="AI76" s="259"/>
      <c r="AJ76" s="258"/>
      <c r="AK76" s="259"/>
      <c r="AL76" s="258"/>
      <c r="AM76" s="259"/>
      <c r="AN76" s="258"/>
      <c r="AO76" s="259"/>
      <c r="AP76" s="258"/>
      <c r="AQ76" s="259"/>
      <c r="AR76" s="258"/>
      <c r="AS76" s="259"/>
      <c r="AT76" s="259"/>
      <c r="AU76" s="258"/>
      <c r="AV76" s="259"/>
      <c r="AW76" s="258"/>
      <c r="AX76" s="259"/>
      <c r="AY76" s="258"/>
      <c r="AZ76" s="259"/>
      <c r="BA76" s="258"/>
      <c r="BB76" s="259"/>
      <c r="BC76" s="258"/>
      <c r="BD76" s="259"/>
      <c r="BE76" s="258"/>
      <c r="BF76" s="259"/>
      <c r="BG76" s="258"/>
      <c r="BH76" s="259"/>
      <c r="BI76" s="264"/>
      <c r="BJ76" s="262"/>
      <c r="BK76" s="263"/>
      <c r="BL76" s="263"/>
      <c r="BM76" s="264"/>
    </row>
    <row r="77" spans="1:65" s="276" customFormat="1" ht="37.5" customHeight="1" x14ac:dyDescent="0.25">
      <c r="A77" s="240" t="s">
        <v>1593</v>
      </c>
      <c r="B77" s="256"/>
      <c r="C77" s="262"/>
      <c r="D77" s="258"/>
      <c r="E77" s="259"/>
      <c r="F77" s="258"/>
      <c r="G77" s="259"/>
      <c r="H77" s="258"/>
      <c r="I77" s="259"/>
      <c r="J77" s="258"/>
      <c r="K77" s="259"/>
      <c r="L77" s="275"/>
      <c r="M77" s="259"/>
      <c r="N77" s="258"/>
      <c r="O77" s="259"/>
      <c r="P77" s="258"/>
      <c r="Q77" s="259"/>
      <c r="R77" s="258"/>
      <c r="S77" s="259"/>
      <c r="T77" s="258"/>
      <c r="U77" s="259"/>
      <c r="V77" s="258"/>
      <c r="W77" s="259"/>
      <c r="X77" s="258"/>
      <c r="Y77" s="259"/>
      <c r="Z77" s="259"/>
      <c r="AA77" s="258"/>
      <c r="AB77" s="259"/>
      <c r="AC77" s="258"/>
      <c r="AD77" s="259"/>
      <c r="AE77" s="259"/>
      <c r="AF77" s="258"/>
      <c r="AG77" s="259"/>
      <c r="AH77" s="258"/>
      <c r="AI77" s="259"/>
      <c r="AJ77" s="258"/>
      <c r="AK77" s="259"/>
      <c r="AL77" s="258"/>
      <c r="AM77" s="259"/>
      <c r="AN77" s="258"/>
      <c r="AO77" s="259"/>
      <c r="AP77" s="258"/>
      <c r="AQ77" s="259"/>
      <c r="AR77" s="258"/>
      <c r="AS77" s="259"/>
      <c r="AT77" s="259"/>
      <c r="AU77" s="258"/>
      <c r="AV77" s="259"/>
      <c r="AW77" s="258"/>
      <c r="AX77" s="259"/>
      <c r="AY77" s="258"/>
      <c r="AZ77" s="259"/>
      <c r="BA77" s="258"/>
      <c r="BB77" s="259"/>
      <c r="BC77" s="258"/>
      <c r="BD77" s="259"/>
      <c r="BE77" s="258"/>
      <c r="BF77" s="259"/>
      <c r="BG77" s="258"/>
      <c r="BH77" s="259"/>
      <c r="BI77" s="264"/>
      <c r="BJ77" s="262"/>
      <c r="BK77" s="263"/>
      <c r="BL77" s="263"/>
      <c r="BM77" s="264"/>
    </row>
    <row r="78" spans="1:65" s="276" customFormat="1" ht="18" x14ac:dyDescent="0.25">
      <c r="A78" s="240" t="s">
        <v>332</v>
      </c>
      <c r="B78" s="277" t="s">
        <v>880</v>
      </c>
      <c r="C78" s="262"/>
      <c r="D78" s="275">
        <f>SUM(GenFundExp2!I252+GenFundExp2!I253)+SUM(GenFundExp2!I283+GenFundExp2!I284)</f>
        <v>0</v>
      </c>
      <c r="E78" s="259"/>
      <c r="F78" s="275">
        <f>SUM(CharterFundExp2!I252+CharterFundExp2!I253)+SUM(CharterFundExp2!I283+CharterFundExp2!I284)</f>
        <v>0</v>
      </c>
      <c r="G78" s="259"/>
      <c r="H78" s="258"/>
      <c r="I78" s="259"/>
      <c r="J78" s="258"/>
      <c r="K78" s="259"/>
      <c r="L78" s="275"/>
      <c r="M78" s="259"/>
      <c r="N78" s="258"/>
      <c r="O78" s="259"/>
      <c r="P78" s="258"/>
      <c r="Q78" s="259"/>
      <c r="R78" s="258"/>
      <c r="S78" s="259"/>
      <c r="T78" s="258"/>
      <c r="U78" s="259"/>
      <c r="V78" s="258"/>
      <c r="W78" s="259"/>
      <c r="X78" s="258"/>
      <c r="Y78" s="259"/>
      <c r="Z78" s="259"/>
      <c r="AA78" s="258"/>
      <c r="AB78" s="259"/>
      <c r="AC78" s="258"/>
      <c r="AD78" s="259"/>
      <c r="AE78" s="259"/>
      <c r="AF78" s="258"/>
      <c r="AG78" s="259"/>
      <c r="AH78" s="258"/>
      <c r="AI78" s="259"/>
      <c r="AJ78" s="258"/>
      <c r="AK78" s="259"/>
      <c r="AL78" s="258"/>
      <c r="AM78" s="259"/>
      <c r="AN78" s="258"/>
      <c r="AO78" s="259"/>
      <c r="AP78" s="258"/>
      <c r="AQ78" s="259"/>
      <c r="AR78" s="258"/>
      <c r="AS78" s="259"/>
      <c r="AT78" s="259"/>
      <c r="AU78" s="258"/>
      <c r="AV78" s="259"/>
      <c r="AW78" s="258"/>
      <c r="AX78" s="259"/>
      <c r="AY78" s="258"/>
      <c r="AZ78" s="259"/>
      <c r="BA78" s="258"/>
      <c r="BB78" s="259"/>
      <c r="BC78" s="258"/>
      <c r="BD78" s="259"/>
      <c r="BE78" s="258"/>
      <c r="BF78" s="259"/>
      <c r="BG78" s="258"/>
      <c r="BH78" s="259"/>
      <c r="BI78" s="258">
        <f t="shared" ref="BI78:BI83" si="5">D78+F78+H78+J78+X78+N78+P78+R78+L78+T78+V78+AC78+AF78+AH78+AJ78+AL78+AN78+AP78+AR78+AU78+AW78+AY78+BA78+BC78+BG78+BE78+AA78</f>
        <v>0</v>
      </c>
      <c r="BJ78" s="262"/>
      <c r="BK78" s="263"/>
      <c r="BL78" s="263"/>
      <c r="BM78" s="264"/>
    </row>
    <row r="79" spans="1:65" s="276" customFormat="1" ht="18" x14ac:dyDescent="0.25">
      <c r="A79" s="240" t="s">
        <v>333</v>
      </c>
      <c r="B79" s="277" t="s">
        <v>881</v>
      </c>
      <c r="C79" s="262"/>
      <c r="D79" s="275">
        <f>SUM(GenFundExp2!I254+GenFundExp2!I255)+SUM(GenFundExp2!I285+GenFundExp2!I286)</f>
        <v>0</v>
      </c>
      <c r="E79" s="259"/>
      <c r="F79" s="275">
        <f>SUM(CharterFundExp2!I254+CharterFundExp2!I255)+SUM(CharterFundExp2!I285+CharterFundExp2!I286)</f>
        <v>0</v>
      </c>
      <c r="G79" s="259"/>
      <c r="H79" s="258"/>
      <c r="I79" s="259"/>
      <c r="J79" s="258"/>
      <c r="K79" s="259"/>
      <c r="L79" s="275"/>
      <c r="M79" s="259"/>
      <c r="N79" s="258"/>
      <c r="O79" s="259"/>
      <c r="P79" s="258"/>
      <c r="Q79" s="259"/>
      <c r="R79" s="258"/>
      <c r="S79" s="259"/>
      <c r="T79" s="258"/>
      <c r="U79" s="259"/>
      <c r="V79" s="258"/>
      <c r="W79" s="259"/>
      <c r="X79" s="258"/>
      <c r="Y79" s="259"/>
      <c r="Z79" s="259"/>
      <c r="AA79" s="258"/>
      <c r="AB79" s="259"/>
      <c r="AC79" s="258"/>
      <c r="AD79" s="259"/>
      <c r="AE79" s="259"/>
      <c r="AF79" s="258"/>
      <c r="AG79" s="259"/>
      <c r="AH79" s="258"/>
      <c r="AI79" s="259"/>
      <c r="AJ79" s="258"/>
      <c r="AK79" s="259"/>
      <c r="AL79" s="258"/>
      <c r="AM79" s="259"/>
      <c r="AN79" s="258"/>
      <c r="AO79" s="259"/>
      <c r="AP79" s="258"/>
      <c r="AQ79" s="259"/>
      <c r="AR79" s="258"/>
      <c r="AS79" s="259"/>
      <c r="AT79" s="259"/>
      <c r="AU79" s="258"/>
      <c r="AV79" s="259"/>
      <c r="AW79" s="258"/>
      <c r="AX79" s="259"/>
      <c r="AY79" s="258"/>
      <c r="AZ79" s="259"/>
      <c r="BA79" s="258"/>
      <c r="BB79" s="259"/>
      <c r="BC79" s="258"/>
      <c r="BD79" s="259"/>
      <c r="BE79" s="258"/>
      <c r="BF79" s="259"/>
      <c r="BG79" s="258"/>
      <c r="BH79" s="259"/>
      <c r="BI79" s="258">
        <f t="shared" si="5"/>
        <v>0</v>
      </c>
      <c r="BJ79" s="262"/>
      <c r="BK79" s="263"/>
      <c r="BL79" s="263"/>
      <c r="BM79" s="264"/>
    </row>
    <row r="80" spans="1:65" s="276" customFormat="1" ht="36" x14ac:dyDescent="0.25">
      <c r="A80" s="240" t="s">
        <v>334</v>
      </c>
      <c r="B80" s="277" t="s">
        <v>346</v>
      </c>
      <c r="C80" s="262"/>
      <c r="D80" s="275">
        <f>SUM(GenFundExp2!I256:I268)+SUM(GenFundExp2!I287:I299)</f>
        <v>0</v>
      </c>
      <c r="E80" s="259"/>
      <c r="F80" s="275">
        <f>SUM(CharterFundExp2!I256:I268)+SUM(CharterFundExp2!I287:I299)</f>
        <v>0</v>
      </c>
      <c r="G80" s="259"/>
      <c r="H80" s="258"/>
      <c r="I80" s="259"/>
      <c r="J80" s="258"/>
      <c r="K80" s="259"/>
      <c r="L80" s="275"/>
      <c r="M80" s="259"/>
      <c r="N80" s="258"/>
      <c r="O80" s="259"/>
      <c r="P80" s="258"/>
      <c r="Q80" s="259"/>
      <c r="R80" s="258"/>
      <c r="S80" s="259"/>
      <c r="T80" s="258"/>
      <c r="U80" s="259"/>
      <c r="V80" s="258"/>
      <c r="W80" s="259"/>
      <c r="X80" s="258"/>
      <c r="Y80" s="259"/>
      <c r="Z80" s="259"/>
      <c r="AA80" s="258"/>
      <c r="AB80" s="259"/>
      <c r="AC80" s="258"/>
      <c r="AD80" s="259"/>
      <c r="AE80" s="259"/>
      <c r="AF80" s="258"/>
      <c r="AG80" s="259"/>
      <c r="AH80" s="258"/>
      <c r="AI80" s="259"/>
      <c r="AJ80" s="258"/>
      <c r="AK80" s="259"/>
      <c r="AL80" s="258"/>
      <c r="AM80" s="259"/>
      <c r="AN80" s="258"/>
      <c r="AO80" s="259"/>
      <c r="AP80" s="258"/>
      <c r="AQ80" s="259"/>
      <c r="AR80" s="258"/>
      <c r="AS80" s="259"/>
      <c r="AT80" s="259"/>
      <c r="AU80" s="258"/>
      <c r="AV80" s="259"/>
      <c r="AW80" s="258"/>
      <c r="AX80" s="259"/>
      <c r="AY80" s="258"/>
      <c r="AZ80" s="259"/>
      <c r="BA80" s="258"/>
      <c r="BB80" s="259"/>
      <c r="BC80" s="258"/>
      <c r="BD80" s="259"/>
      <c r="BE80" s="258"/>
      <c r="BF80" s="259"/>
      <c r="BG80" s="258"/>
      <c r="BH80" s="259"/>
      <c r="BI80" s="258">
        <f t="shared" si="5"/>
        <v>0</v>
      </c>
      <c r="BJ80" s="262"/>
      <c r="BK80" s="263"/>
      <c r="BL80" s="263"/>
      <c r="BM80" s="264"/>
    </row>
    <row r="81" spans="1:65" s="276" customFormat="1" ht="18" x14ac:dyDescent="0.25">
      <c r="A81" s="240" t="s">
        <v>347</v>
      </c>
      <c r="B81" s="277" t="s">
        <v>885</v>
      </c>
      <c r="C81" s="262"/>
      <c r="D81" s="275">
        <f>SUM(GenFundExp2!I269:I270)+SUM(GenFundExp2!I300:I301)</f>
        <v>0</v>
      </c>
      <c r="E81" s="259"/>
      <c r="F81" s="275">
        <f>SUM(CharterFundExp2!I269:I270)+SUM(CharterFundExp2!I300:I301)</f>
        <v>0</v>
      </c>
      <c r="G81" s="259"/>
      <c r="H81" s="258"/>
      <c r="I81" s="259"/>
      <c r="J81" s="258"/>
      <c r="K81" s="259"/>
      <c r="L81" s="275"/>
      <c r="M81" s="259"/>
      <c r="N81" s="258"/>
      <c r="O81" s="259"/>
      <c r="P81" s="258"/>
      <c r="Q81" s="259"/>
      <c r="R81" s="258"/>
      <c r="S81" s="259"/>
      <c r="T81" s="258"/>
      <c r="U81" s="259"/>
      <c r="V81" s="258"/>
      <c r="W81" s="259"/>
      <c r="X81" s="258"/>
      <c r="Y81" s="259"/>
      <c r="Z81" s="259"/>
      <c r="AA81" s="258"/>
      <c r="AB81" s="259"/>
      <c r="AC81" s="258"/>
      <c r="AD81" s="259"/>
      <c r="AE81" s="259"/>
      <c r="AF81" s="258"/>
      <c r="AG81" s="259"/>
      <c r="AH81" s="258"/>
      <c r="AI81" s="259"/>
      <c r="AJ81" s="258"/>
      <c r="AK81" s="259"/>
      <c r="AL81" s="258"/>
      <c r="AM81" s="259"/>
      <c r="AN81" s="258"/>
      <c r="AO81" s="259"/>
      <c r="AP81" s="258"/>
      <c r="AQ81" s="259"/>
      <c r="AR81" s="258"/>
      <c r="AS81" s="259"/>
      <c r="AT81" s="259"/>
      <c r="AU81" s="258"/>
      <c r="AV81" s="259"/>
      <c r="AW81" s="258"/>
      <c r="AX81" s="259"/>
      <c r="AY81" s="258"/>
      <c r="AZ81" s="259"/>
      <c r="BA81" s="258"/>
      <c r="BB81" s="259"/>
      <c r="BC81" s="258"/>
      <c r="BD81" s="259"/>
      <c r="BE81" s="258"/>
      <c r="BF81" s="259"/>
      <c r="BG81" s="258"/>
      <c r="BH81" s="259"/>
      <c r="BI81" s="258">
        <f t="shared" si="5"/>
        <v>0</v>
      </c>
      <c r="BJ81" s="262"/>
      <c r="BK81" s="263"/>
      <c r="BL81" s="263"/>
      <c r="BM81" s="264"/>
    </row>
    <row r="82" spans="1:65" s="276" customFormat="1" ht="18" x14ac:dyDescent="0.25">
      <c r="A82" s="240" t="s">
        <v>348</v>
      </c>
      <c r="B82" s="277" t="s">
        <v>886</v>
      </c>
      <c r="C82" s="262"/>
      <c r="D82" s="275">
        <f>SUM(GenFundExp2!I271:I273)+SUM(GenFundExp2!I302:I304)</f>
        <v>0</v>
      </c>
      <c r="E82" s="259"/>
      <c r="F82" s="275">
        <f>SUM(CharterFundExp2!I271:I273)+SUM(CharterFundExp2!I302:I304)</f>
        <v>0</v>
      </c>
      <c r="G82" s="259"/>
      <c r="H82" s="258"/>
      <c r="I82" s="259"/>
      <c r="J82" s="258"/>
      <c r="K82" s="259"/>
      <c r="L82" s="275"/>
      <c r="M82" s="259"/>
      <c r="N82" s="258"/>
      <c r="O82" s="259"/>
      <c r="P82" s="258"/>
      <c r="Q82" s="259"/>
      <c r="R82" s="258"/>
      <c r="S82" s="259"/>
      <c r="T82" s="258"/>
      <c r="U82" s="259"/>
      <c r="V82" s="258"/>
      <c r="W82" s="259"/>
      <c r="X82" s="258"/>
      <c r="Y82" s="259"/>
      <c r="Z82" s="259"/>
      <c r="AA82" s="258"/>
      <c r="AB82" s="259"/>
      <c r="AC82" s="258"/>
      <c r="AD82" s="259"/>
      <c r="AE82" s="259"/>
      <c r="AF82" s="258"/>
      <c r="AG82" s="259"/>
      <c r="AH82" s="258"/>
      <c r="AI82" s="259"/>
      <c r="AJ82" s="258"/>
      <c r="AK82" s="259"/>
      <c r="AL82" s="258"/>
      <c r="AM82" s="259"/>
      <c r="AN82" s="258"/>
      <c r="AO82" s="259"/>
      <c r="AP82" s="258"/>
      <c r="AQ82" s="259"/>
      <c r="AR82" s="258"/>
      <c r="AS82" s="259"/>
      <c r="AT82" s="259"/>
      <c r="AU82" s="258"/>
      <c r="AV82" s="259"/>
      <c r="AW82" s="258"/>
      <c r="AX82" s="259"/>
      <c r="AY82" s="258"/>
      <c r="AZ82" s="259"/>
      <c r="BA82" s="258"/>
      <c r="BB82" s="259"/>
      <c r="BC82" s="258"/>
      <c r="BD82" s="259"/>
      <c r="BE82" s="258"/>
      <c r="BF82" s="259"/>
      <c r="BG82" s="258"/>
      <c r="BH82" s="259"/>
      <c r="BI82" s="258">
        <f t="shared" si="5"/>
        <v>0</v>
      </c>
      <c r="BJ82" s="262"/>
      <c r="BK82" s="263"/>
      <c r="BL82" s="263"/>
      <c r="BM82" s="264"/>
    </row>
    <row r="83" spans="1:65" s="276" customFormat="1" ht="18.75" thickBot="1" x14ac:dyDescent="0.3">
      <c r="A83" s="240" t="s">
        <v>349</v>
      </c>
      <c r="B83" s="277" t="s">
        <v>350</v>
      </c>
      <c r="C83" s="262"/>
      <c r="D83" s="275">
        <f>SUM(GenFundExp2!I274:I279)+SUM(GenFundExp2!I305:I310)</f>
        <v>0</v>
      </c>
      <c r="E83" s="259"/>
      <c r="F83" s="275">
        <f>SUM(CharterFundExp2!I274:I279)+SUM(CharterFundExp2!I305:I310)</f>
        <v>0</v>
      </c>
      <c r="G83" s="259"/>
      <c r="H83" s="258"/>
      <c r="I83" s="259"/>
      <c r="J83" s="258"/>
      <c r="K83" s="259"/>
      <c r="L83" s="275"/>
      <c r="M83" s="259"/>
      <c r="N83" s="258"/>
      <c r="O83" s="259"/>
      <c r="P83" s="258"/>
      <c r="Q83" s="259"/>
      <c r="R83" s="258"/>
      <c r="S83" s="259"/>
      <c r="T83" s="258"/>
      <c r="U83" s="259"/>
      <c r="V83" s="258"/>
      <c r="W83" s="259"/>
      <c r="X83" s="258"/>
      <c r="Y83" s="259"/>
      <c r="Z83" s="259"/>
      <c r="AA83" s="258"/>
      <c r="AB83" s="259"/>
      <c r="AC83" s="258"/>
      <c r="AD83" s="259"/>
      <c r="AE83" s="259"/>
      <c r="AF83" s="258"/>
      <c r="AG83" s="259"/>
      <c r="AH83" s="258"/>
      <c r="AI83" s="259"/>
      <c r="AJ83" s="258"/>
      <c r="AK83" s="259"/>
      <c r="AL83" s="258"/>
      <c r="AM83" s="259"/>
      <c r="AN83" s="258"/>
      <c r="AO83" s="259"/>
      <c r="AP83" s="258"/>
      <c r="AQ83" s="259"/>
      <c r="AR83" s="258"/>
      <c r="AS83" s="259"/>
      <c r="AT83" s="259"/>
      <c r="AU83" s="258"/>
      <c r="AV83" s="259"/>
      <c r="AW83" s="258"/>
      <c r="AX83" s="259"/>
      <c r="AY83" s="258"/>
      <c r="AZ83" s="259"/>
      <c r="BA83" s="258"/>
      <c r="BB83" s="259"/>
      <c r="BC83" s="258"/>
      <c r="BD83" s="259"/>
      <c r="BE83" s="258"/>
      <c r="BF83" s="259"/>
      <c r="BG83" s="258"/>
      <c r="BH83" s="259"/>
      <c r="BI83" s="258">
        <f t="shared" si="5"/>
        <v>0</v>
      </c>
      <c r="BJ83" s="262"/>
      <c r="BK83" s="263"/>
      <c r="BL83" s="263"/>
      <c r="BM83" s="264"/>
    </row>
    <row r="84" spans="1:65" s="276" customFormat="1" ht="18.75" thickBot="1" x14ac:dyDescent="0.3">
      <c r="A84" s="265" t="s">
        <v>360</v>
      </c>
      <c r="B84" s="273"/>
      <c r="C84" s="269"/>
      <c r="D84" s="268">
        <f>SUM(D78:D83)</f>
        <v>0</v>
      </c>
      <c r="E84" s="269"/>
      <c r="F84" s="268">
        <f>SUM(F78:F83)</f>
        <v>0</v>
      </c>
      <c r="G84" s="269"/>
      <c r="H84" s="268">
        <f>SUM(H78:H83)</f>
        <v>0</v>
      </c>
      <c r="I84" s="269"/>
      <c r="J84" s="268">
        <f>SUM(J78:J83)</f>
        <v>0</v>
      </c>
      <c r="K84" s="269"/>
      <c r="L84" s="268">
        <f>SUM(L78:L83)</f>
        <v>0</v>
      </c>
      <c r="M84" s="269"/>
      <c r="N84" s="268">
        <f>SUM(N78:N83)</f>
        <v>0</v>
      </c>
      <c r="O84" s="269"/>
      <c r="P84" s="268">
        <f>SUM(P78:P83)</f>
        <v>0</v>
      </c>
      <c r="Q84" s="269"/>
      <c r="R84" s="268">
        <f>SUM(R78:R83)</f>
        <v>0</v>
      </c>
      <c r="S84" s="269"/>
      <c r="T84" s="268">
        <f>SUM(T78:T83)</f>
        <v>0</v>
      </c>
      <c r="U84" s="269"/>
      <c r="V84" s="268">
        <f>SUM(V78:V83)</f>
        <v>0</v>
      </c>
      <c r="W84" s="269"/>
      <c r="X84" s="268">
        <f>SUM(X78:X83)</f>
        <v>0</v>
      </c>
      <c r="Y84" s="269"/>
      <c r="Z84" s="269"/>
      <c r="AA84" s="268">
        <f>SUM(AA78:AA83)</f>
        <v>0</v>
      </c>
      <c r="AB84" s="269"/>
      <c r="AC84" s="268">
        <f>SUM(AC78:AC83)</f>
        <v>0</v>
      </c>
      <c r="AD84" s="269"/>
      <c r="AE84" s="269"/>
      <c r="AF84" s="268">
        <f>SUM(AF78:AF83)</f>
        <v>0</v>
      </c>
      <c r="AG84" s="269"/>
      <c r="AH84" s="268">
        <f>SUM(AH78:AH83)</f>
        <v>0</v>
      </c>
      <c r="AI84" s="269"/>
      <c r="AJ84" s="268">
        <f>SUM(AJ78:AJ83)</f>
        <v>0</v>
      </c>
      <c r="AK84" s="269"/>
      <c r="AL84" s="268">
        <f>SUM(AL78:AL83)</f>
        <v>0</v>
      </c>
      <c r="AM84" s="269"/>
      <c r="AN84" s="268">
        <f>SUM(AN78:AN83)</f>
        <v>0</v>
      </c>
      <c r="AO84" s="269"/>
      <c r="AP84" s="268">
        <f>SUM(AP78:AP83)</f>
        <v>0</v>
      </c>
      <c r="AQ84" s="269"/>
      <c r="AR84" s="268">
        <f>SUM(AR78:AR83)</f>
        <v>0</v>
      </c>
      <c r="AS84" s="269"/>
      <c r="AT84" s="269"/>
      <c r="AU84" s="268">
        <f>SUM(AU78:AU83)</f>
        <v>0</v>
      </c>
      <c r="AV84" s="269"/>
      <c r="AW84" s="268">
        <f>SUM(AW78:AW83)</f>
        <v>0</v>
      </c>
      <c r="AX84" s="269"/>
      <c r="AY84" s="268">
        <f>SUM(AY78:AY83)</f>
        <v>0</v>
      </c>
      <c r="AZ84" s="269"/>
      <c r="BA84" s="268">
        <f>SUM(BA78:BA83)</f>
        <v>0</v>
      </c>
      <c r="BB84" s="269"/>
      <c r="BC84" s="268">
        <f>SUM(BC78:BC83)</f>
        <v>0</v>
      </c>
      <c r="BD84" s="269"/>
      <c r="BE84" s="268">
        <f>SUM(BE78:BE83)</f>
        <v>0</v>
      </c>
      <c r="BF84" s="269"/>
      <c r="BG84" s="268">
        <f>SUM(BG78:BG83)</f>
        <v>0</v>
      </c>
      <c r="BH84" s="269"/>
      <c r="BI84" s="268">
        <f>D84+F84+H84+J84+X84+N84+P84+R84+L84+T84+V84+AC84+AF84+AH84+AJ84+AL84+AN84+AP84+AR84+AU84+AW84+AY84+BA84+BC84+BG84+BE84+AA84</f>
        <v>0</v>
      </c>
      <c r="BJ84" s="269"/>
      <c r="BK84" s="270"/>
      <c r="BL84" s="270"/>
      <c r="BM84" s="264"/>
    </row>
    <row r="85" spans="1:65" s="276" customFormat="1" ht="36" x14ac:dyDescent="0.25">
      <c r="A85" s="240" t="s">
        <v>361</v>
      </c>
      <c r="B85" s="256"/>
      <c r="C85" s="262"/>
      <c r="D85" s="258"/>
      <c r="E85" s="259"/>
      <c r="F85" s="258"/>
      <c r="G85" s="259"/>
      <c r="H85" s="258"/>
      <c r="I85" s="259"/>
      <c r="J85" s="258"/>
      <c r="K85" s="259"/>
      <c r="L85" s="275"/>
      <c r="M85" s="259"/>
      <c r="N85" s="258"/>
      <c r="O85" s="259"/>
      <c r="P85" s="258"/>
      <c r="Q85" s="259"/>
      <c r="R85" s="258"/>
      <c r="S85" s="259"/>
      <c r="T85" s="258"/>
      <c r="U85" s="259"/>
      <c r="V85" s="258"/>
      <c r="W85" s="259"/>
      <c r="X85" s="258"/>
      <c r="Y85" s="259"/>
      <c r="Z85" s="259"/>
      <c r="AA85" s="258"/>
      <c r="AB85" s="259"/>
      <c r="AC85" s="258"/>
      <c r="AD85" s="259"/>
      <c r="AE85" s="259"/>
      <c r="AF85" s="258"/>
      <c r="AG85" s="259"/>
      <c r="AH85" s="258"/>
      <c r="AI85" s="259"/>
      <c r="AJ85" s="258"/>
      <c r="AK85" s="259"/>
      <c r="AL85" s="258"/>
      <c r="AM85" s="259"/>
      <c r="AN85" s="258"/>
      <c r="AO85" s="259"/>
      <c r="AP85" s="258"/>
      <c r="AQ85" s="259"/>
      <c r="AR85" s="258"/>
      <c r="AS85" s="259"/>
      <c r="AT85" s="259"/>
      <c r="AU85" s="258"/>
      <c r="AV85" s="259"/>
      <c r="AW85" s="258"/>
      <c r="AX85" s="259"/>
      <c r="AY85" s="258"/>
      <c r="AZ85" s="259"/>
      <c r="BA85" s="258"/>
      <c r="BB85" s="259"/>
      <c r="BC85" s="258"/>
      <c r="BD85" s="259"/>
      <c r="BE85" s="258"/>
      <c r="BF85" s="259"/>
      <c r="BG85" s="258"/>
      <c r="BH85" s="259"/>
      <c r="BI85" s="264"/>
      <c r="BJ85" s="262"/>
      <c r="BK85" s="263"/>
      <c r="BL85" s="263"/>
      <c r="BM85" s="264"/>
    </row>
    <row r="86" spans="1:65" s="276" customFormat="1" ht="18" x14ac:dyDescent="0.25">
      <c r="A86" s="240" t="s">
        <v>332</v>
      </c>
      <c r="B86" s="277" t="s">
        <v>880</v>
      </c>
      <c r="C86" s="262"/>
      <c r="D86" s="275">
        <f>SUM(GenFundExp2!I314+GenFundExp2!I315)</f>
        <v>0</v>
      </c>
      <c r="E86" s="259"/>
      <c r="F86" s="275">
        <f>SUM(CharterFundExp2!I314+CharterFundExp2!I315)</f>
        <v>0</v>
      </c>
      <c r="G86" s="259"/>
      <c r="H86" s="258"/>
      <c r="I86" s="259"/>
      <c r="J86" s="258"/>
      <c r="K86" s="259"/>
      <c r="L86" s="275"/>
      <c r="M86" s="259"/>
      <c r="N86" s="258"/>
      <c r="O86" s="259"/>
      <c r="P86" s="258"/>
      <c r="Q86" s="259"/>
      <c r="R86" s="258"/>
      <c r="S86" s="259"/>
      <c r="T86" s="258"/>
      <c r="U86" s="259"/>
      <c r="V86" s="258"/>
      <c r="W86" s="259"/>
      <c r="X86" s="258"/>
      <c r="Y86" s="259"/>
      <c r="Z86" s="259"/>
      <c r="AA86" s="258"/>
      <c r="AB86" s="259"/>
      <c r="AC86" s="258"/>
      <c r="AD86" s="259"/>
      <c r="AE86" s="259"/>
      <c r="AF86" s="258"/>
      <c r="AG86" s="259"/>
      <c r="AH86" s="258"/>
      <c r="AI86" s="259"/>
      <c r="AJ86" s="258"/>
      <c r="AK86" s="259"/>
      <c r="AL86" s="258"/>
      <c r="AM86" s="259"/>
      <c r="AN86" s="258"/>
      <c r="AO86" s="259"/>
      <c r="AP86" s="258"/>
      <c r="AQ86" s="259"/>
      <c r="AR86" s="258"/>
      <c r="AS86" s="259"/>
      <c r="AT86" s="259"/>
      <c r="AU86" s="258"/>
      <c r="AV86" s="259"/>
      <c r="AW86" s="258"/>
      <c r="AX86" s="259"/>
      <c r="AY86" s="258"/>
      <c r="AZ86" s="259"/>
      <c r="BA86" s="258"/>
      <c r="BB86" s="259"/>
      <c r="BC86" s="258"/>
      <c r="BD86" s="259"/>
      <c r="BE86" s="258"/>
      <c r="BF86" s="259"/>
      <c r="BG86" s="258"/>
      <c r="BH86" s="259"/>
      <c r="BI86" s="258">
        <f t="shared" ref="BI86:BI91" si="6">D86+F86+H86+J86+X86+N86+P86+R86+L86+T86+V86+AC86+AF86+AH86+AJ86+AL86+AN86+AP86+AR86+AU86+AW86+AY86+BA86+BC86+BG86+BE86+AA86</f>
        <v>0</v>
      </c>
      <c r="BJ86" s="262"/>
      <c r="BK86" s="263"/>
      <c r="BL86" s="263"/>
      <c r="BM86" s="264"/>
    </row>
    <row r="87" spans="1:65" s="276" customFormat="1" ht="18" x14ac:dyDescent="0.25">
      <c r="A87" s="240" t="s">
        <v>333</v>
      </c>
      <c r="B87" s="277" t="s">
        <v>881</v>
      </c>
      <c r="C87" s="262"/>
      <c r="D87" s="275">
        <f>SUM(GenFundExp2!I316+GenFundExp2!I317)</f>
        <v>0</v>
      </c>
      <c r="E87" s="259"/>
      <c r="F87" s="275">
        <f>SUM(CharterFundExp2!I316+CharterFundExp2!I317)</f>
        <v>0</v>
      </c>
      <c r="G87" s="259"/>
      <c r="H87" s="258"/>
      <c r="I87" s="259"/>
      <c r="J87" s="258"/>
      <c r="K87" s="259"/>
      <c r="L87" s="275"/>
      <c r="M87" s="259"/>
      <c r="N87" s="258"/>
      <c r="O87" s="259"/>
      <c r="P87" s="258"/>
      <c r="Q87" s="259"/>
      <c r="R87" s="258"/>
      <c r="S87" s="259"/>
      <c r="T87" s="258"/>
      <c r="U87" s="259"/>
      <c r="V87" s="258"/>
      <c r="W87" s="259"/>
      <c r="X87" s="258"/>
      <c r="Y87" s="259"/>
      <c r="Z87" s="259"/>
      <c r="AA87" s="258"/>
      <c r="AB87" s="259"/>
      <c r="AC87" s="258"/>
      <c r="AD87" s="259"/>
      <c r="AE87" s="259"/>
      <c r="AF87" s="258"/>
      <c r="AG87" s="259"/>
      <c r="AH87" s="258"/>
      <c r="AI87" s="259"/>
      <c r="AJ87" s="258"/>
      <c r="AK87" s="259"/>
      <c r="AL87" s="258"/>
      <c r="AM87" s="259"/>
      <c r="AN87" s="258"/>
      <c r="AO87" s="259"/>
      <c r="AP87" s="258"/>
      <c r="AQ87" s="259"/>
      <c r="AR87" s="258"/>
      <c r="AS87" s="259"/>
      <c r="AT87" s="259"/>
      <c r="AU87" s="258"/>
      <c r="AV87" s="259"/>
      <c r="AW87" s="258"/>
      <c r="AX87" s="259"/>
      <c r="AY87" s="258"/>
      <c r="AZ87" s="259"/>
      <c r="BA87" s="258"/>
      <c r="BB87" s="259"/>
      <c r="BC87" s="258"/>
      <c r="BD87" s="259"/>
      <c r="BE87" s="258"/>
      <c r="BF87" s="259"/>
      <c r="BG87" s="258"/>
      <c r="BH87" s="259"/>
      <c r="BI87" s="258">
        <f t="shared" si="6"/>
        <v>0</v>
      </c>
      <c r="BJ87" s="262"/>
      <c r="BK87" s="263"/>
      <c r="BL87" s="263"/>
      <c r="BM87" s="264"/>
    </row>
    <row r="88" spans="1:65" s="276" customFormat="1" ht="36" x14ac:dyDescent="0.25">
      <c r="A88" s="240" t="s">
        <v>334</v>
      </c>
      <c r="B88" s="277" t="s">
        <v>346</v>
      </c>
      <c r="C88" s="262"/>
      <c r="D88" s="275">
        <f>SUM(GenFundExp2!I318:I330)</f>
        <v>0</v>
      </c>
      <c r="E88" s="259"/>
      <c r="F88" s="275">
        <f>SUM(CharterFundExp2!I318:I330)</f>
        <v>0</v>
      </c>
      <c r="G88" s="259"/>
      <c r="H88" s="275">
        <f>SUM(InsResv!I25+InsResv!I26+InsResv!I27+InsResv!I28)</f>
        <v>0</v>
      </c>
      <c r="I88" s="259"/>
      <c r="J88" s="258"/>
      <c r="K88" s="259"/>
      <c r="L88" s="275"/>
      <c r="M88" s="259"/>
      <c r="N88" s="258"/>
      <c r="O88" s="259"/>
      <c r="P88" s="258"/>
      <c r="Q88" s="259"/>
      <c r="R88" s="258"/>
      <c r="S88" s="259"/>
      <c r="T88" s="258"/>
      <c r="U88" s="259"/>
      <c r="V88" s="258"/>
      <c r="W88" s="259"/>
      <c r="X88" s="258"/>
      <c r="Y88" s="259"/>
      <c r="Z88" s="259"/>
      <c r="AA88" s="258"/>
      <c r="AB88" s="259"/>
      <c r="AC88" s="258"/>
      <c r="AD88" s="259"/>
      <c r="AE88" s="259"/>
      <c r="AF88" s="258"/>
      <c r="AG88" s="259"/>
      <c r="AH88" s="258"/>
      <c r="AI88" s="259"/>
      <c r="AJ88" s="258"/>
      <c r="AK88" s="259"/>
      <c r="AL88" s="258"/>
      <c r="AM88" s="259"/>
      <c r="AN88" s="258"/>
      <c r="AO88" s="259"/>
      <c r="AP88" s="258"/>
      <c r="AQ88" s="259"/>
      <c r="AR88" s="258"/>
      <c r="AS88" s="259"/>
      <c r="AT88" s="259"/>
      <c r="AU88" s="258"/>
      <c r="AV88" s="259"/>
      <c r="AW88" s="258"/>
      <c r="AX88" s="259"/>
      <c r="AY88" s="258"/>
      <c r="AZ88" s="259"/>
      <c r="BA88" s="258"/>
      <c r="BB88" s="259"/>
      <c r="BC88" s="258"/>
      <c r="BD88" s="259"/>
      <c r="BE88" s="258"/>
      <c r="BF88" s="259"/>
      <c r="BG88" s="258"/>
      <c r="BH88" s="259"/>
      <c r="BI88" s="258">
        <f t="shared" si="6"/>
        <v>0</v>
      </c>
      <c r="BJ88" s="262"/>
      <c r="BK88" s="263"/>
      <c r="BL88" s="263"/>
      <c r="BM88" s="264"/>
    </row>
    <row r="89" spans="1:65" s="276" customFormat="1" ht="18" x14ac:dyDescent="0.25">
      <c r="A89" s="240" t="s">
        <v>347</v>
      </c>
      <c r="B89" s="277" t="s">
        <v>885</v>
      </c>
      <c r="C89" s="262"/>
      <c r="D89" s="275">
        <f>SUM(GenFundExp2!I331:I332)</f>
        <v>0</v>
      </c>
      <c r="E89" s="259"/>
      <c r="F89" s="275">
        <f>SUM(CharterFundExp2!I331:I332)</f>
        <v>0</v>
      </c>
      <c r="G89" s="259"/>
      <c r="H89" s="275"/>
      <c r="I89" s="259"/>
      <c r="J89" s="258"/>
      <c r="K89" s="259"/>
      <c r="L89" s="275"/>
      <c r="M89" s="259"/>
      <c r="N89" s="258"/>
      <c r="O89" s="259"/>
      <c r="P89" s="258"/>
      <c r="Q89" s="259"/>
      <c r="R89" s="258"/>
      <c r="S89" s="259"/>
      <c r="T89" s="258"/>
      <c r="U89" s="259"/>
      <c r="V89" s="258"/>
      <c r="W89" s="259"/>
      <c r="X89" s="258"/>
      <c r="Y89" s="259"/>
      <c r="Z89" s="259"/>
      <c r="AA89" s="258"/>
      <c r="AB89" s="259"/>
      <c r="AC89" s="258"/>
      <c r="AD89" s="259"/>
      <c r="AE89" s="259"/>
      <c r="AF89" s="258"/>
      <c r="AG89" s="259"/>
      <c r="AH89" s="258"/>
      <c r="AI89" s="259"/>
      <c r="AJ89" s="258"/>
      <c r="AK89" s="259"/>
      <c r="AL89" s="258"/>
      <c r="AM89" s="259"/>
      <c r="AN89" s="258"/>
      <c r="AO89" s="259"/>
      <c r="AP89" s="258"/>
      <c r="AQ89" s="259"/>
      <c r="AR89" s="258"/>
      <c r="AS89" s="259"/>
      <c r="AT89" s="259"/>
      <c r="AU89" s="258"/>
      <c r="AV89" s="259"/>
      <c r="AW89" s="258"/>
      <c r="AX89" s="259"/>
      <c r="AY89" s="258"/>
      <c r="AZ89" s="259"/>
      <c r="BA89" s="258"/>
      <c r="BB89" s="259"/>
      <c r="BC89" s="258"/>
      <c r="BD89" s="259"/>
      <c r="BE89" s="258"/>
      <c r="BF89" s="259"/>
      <c r="BG89" s="258"/>
      <c r="BH89" s="259"/>
      <c r="BI89" s="258">
        <f t="shared" si="6"/>
        <v>0</v>
      </c>
      <c r="BJ89" s="262"/>
      <c r="BK89" s="263"/>
      <c r="BL89" s="263"/>
      <c r="BM89" s="264"/>
    </row>
    <row r="90" spans="1:65" s="276" customFormat="1" ht="18" x14ac:dyDescent="0.25">
      <c r="A90" s="240" t="s">
        <v>348</v>
      </c>
      <c r="B90" s="277" t="s">
        <v>886</v>
      </c>
      <c r="C90" s="262"/>
      <c r="D90" s="275">
        <f>SUM(GenFundExp2!I333:I336)</f>
        <v>0</v>
      </c>
      <c r="E90" s="259"/>
      <c r="F90" s="275">
        <f>SUM(CharterFundExp2!I333:I336)</f>
        <v>0</v>
      </c>
      <c r="G90" s="259"/>
      <c r="H90" s="275"/>
      <c r="I90" s="259"/>
      <c r="J90" s="258"/>
      <c r="K90" s="259"/>
      <c r="L90" s="275"/>
      <c r="M90" s="259"/>
      <c r="N90" s="258"/>
      <c r="O90" s="259"/>
      <c r="P90" s="258"/>
      <c r="Q90" s="259"/>
      <c r="R90" s="258"/>
      <c r="S90" s="259"/>
      <c r="T90" s="258"/>
      <c r="U90" s="259"/>
      <c r="V90" s="258"/>
      <c r="W90" s="259"/>
      <c r="X90" s="258"/>
      <c r="Y90" s="259"/>
      <c r="Z90" s="259"/>
      <c r="AA90" s="258"/>
      <c r="AB90" s="259"/>
      <c r="AC90" s="258"/>
      <c r="AD90" s="259"/>
      <c r="AE90" s="259"/>
      <c r="AF90" s="258"/>
      <c r="AG90" s="259"/>
      <c r="AH90" s="258"/>
      <c r="AI90" s="259"/>
      <c r="AJ90" s="258"/>
      <c r="AK90" s="259"/>
      <c r="AL90" s="258"/>
      <c r="AM90" s="259"/>
      <c r="AN90" s="258"/>
      <c r="AO90" s="259"/>
      <c r="AP90" s="258"/>
      <c r="AQ90" s="259"/>
      <c r="AR90" s="258"/>
      <c r="AS90" s="259"/>
      <c r="AT90" s="259"/>
      <c r="AU90" s="258"/>
      <c r="AV90" s="259"/>
      <c r="AW90" s="258"/>
      <c r="AX90" s="259"/>
      <c r="AY90" s="258"/>
      <c r="AZ90" s="259"/>
      <c r="BA90" s="258"/>
      <c r="BB90" s="259"/>
      <c r="BC90" s="258"/>
      <c r="BD90" s="259"/>
      <c r="BE90" s="258"/>
      <c r="BF90" s="259"/>
      <c r="BG90" s="258"/>
      <c r="BH90" s="259"/>
      <c r="BI90" s="258">
        <f t="shared" si="6"/>
        <v>0</v>
      </c>
      <c r="BJ90" s="262"/>
      <c r="BK90" s="263"/>
      <c r="BL90" s="263"/>
      <c r="BM90" s="264"/>
    </row>
    <row r="91" spans="1:65" s="276" customFormat="1" ht="18.75" thickBot="1" x14ac:dyDescent="0.3">
      <c r="A91" s="240" t="s">
        <v>349</v>
      </c>
      <c r="B91" s="277" t="s">
        <v>350</v>
      </c>
      <c r="C91" s="262"/>
      <c r="D91" s="275">
        <f>SUM(GenFundExp2!I337:I342)</f>
        <v>0</v>
      </c>
      <c r="E91" s="259"/>
      <c r="F91" s="275">
        <f>SUM(CharterFundExp2!I337:I342)</f>
        <v>0</v>
      </c>
      <c r="G91" s="259"/>
      <c r="H91" s="275">
        <f>InsResv!I37</f>
        <v>0</v>
      </c>
      <c r="I91" s="259"/>
      <c r="J91" s="258"/>
      <c r="K91" s="259"/>
      <c r="L91" s="275"/>
      <c r="M91" s="259"/>
      <c r="N91" s="258"/>
      <c r="O91" s="259"/>
      <c r="P91" s="258"/>
      <c r="Q91" s="259"/>
      <c r="R91" s="258"/>
      <c r="S91" s="259"/>
      <c r="T91" s="258"/>
      <c r="U91" s="259"/>
      <c r="V91" s="258"/>
      <c r="W91" s="259"/>
      <c r="X91" s="258"/>
      <c r="Y91" s="259"/>
      <c r="Z91" s="259"/>
      <c r="AA91" s="258"/>
      <c r="AB91" s="259"/>
      <c r="AC91" s="258"/>
      <c r="AD91" s="259"/>
      <c r="AE91" s="259"/>
      <c r="AF91" s="258"/>
      <c r="AG91" s="259"/>
      <c r="AH91" s="258"/>
      <c r="AI91" s="259"/>
      <c r="AJ91" s="258"/>
      <c r="AK91" s="259"/>
      <c r="AL91" s="258"/>
      <c r="AM91" s="259"/>
      <c r="AN91" s="258"/>
      <c r="AO91" s="259"/>
      <c r="AP91" s="258"/>
      <c r="AQ91" s="259"/>
      <c r="AR91" s="258"/>
      <c r="AS91" s="259"/>
      <c r="AT91" s="259"/>
      <c r="AU91" s="258"/>
      <c r="AV91" s="259"/>
      <c r="AW91" s="258"/>
      <c r="AX91" s="259"/>
      <c r="AY91" s="258"/>
      <c r="AZ91" s="259"/>
      <c r="BA91" s="258"/>
      <c r="BB91" s="259"/>
      <c r="BC91" s="258"/>
      <c r="BD91" s="259"/>
      <c r="BE91" s="258"/>
      <c r="BF91" s="259"/>
      <c r="BG91" s="258"/>
      <c r="BH91" s="259"/>
      <c r="BI91" s="258">
        <f t="shared" si="6"/>
        <v>0</v>
      </c>
      <c r="BJ91" s="262"/>
      <c r="BK91" s="263"/>
      <c r="BL91" s="263"/>
      <c r="BM91" s="264"/>
    </row>
    <row r="92" spans="1:65" s="276" customFormat="1" ht="36.75" thickBot="1" x14ac:dyDescent="0.3">
      <c r="A92" s="265" t="s">
        <v>243</v>
      </c>
      <c r="B92" s="273"/>
      <c r="C92" s="269"/>
      <c r="D92" s="268">
        <f>SUM(D86:D91)</f>
        <v>0</v>
      </c>
      <c r="E92" s="269"/>
      <c r="F92" s="268">
        <f>SUM(F86:F91)</f>
        <v>0</v>
      </c>
      <c r="G92" s="269"/>
      <c r="H92" s="268">
        <f>SUM(H86:H91)</f>
        <v>0</v>
      </c>
      <c r="I92" s="269"/>
      <c r="J92" s="268">
        <f>SUM(J86:J91)</f>
        <v>0</v>
      </c>
      <c r="K92" s="269"/>
      <c r="L92" s="268">
        <f>SUM(L86:L91)</f>
        <v>0</v>
      </c>
      <c r="M92" s="269"/>
      <c r="N92" s="268">
        <f>SUM(N86:N91)</f>
        <v>0</v>
      </c>
      <c r="O92" s="269"/>
      <c r="P92" s="268">
        <f>SUM(P86:P91)</f>
        <v>0</v>
      </c>
      <c r="Q92" s="269"/>
      <c r="R92" s="268">
        <f>SUM(R86:R91)</f>
        <v>0</v>
      </c>
      <c r="S92" s="269"/>
      <c r="T92" s="268">
        <f>SUM(T86:T91)</f>
        <v>0</v>
      </c>
      <c r="U92" s="269"/>
      <c r="V92" s="268">
        <f>SUM(V86:V91)</f>
        <v>0</v>
      </c>
      <c r="W92" s="269"/>
      <c r="X92" s="268">
        <f>SUM(X86:X91)</f>
        <v>0</v>
      </c>
      <c r="Y92" s="269"/>
      <c r="Z92" s="269"/>
      <c r="AA92" s="268">
        <f>SUM(AA86:AA91)</f>
        <v>0</v>
      </c>
      <c r="AB92" s="269"/>
      <c r="AC92" s="268">
        <f>SUM(AC86:AC91)</f>
        <v>0</v>
      </c>
      <c r="AD92" s="269"/>
      <c r="AE92" s="269"/>
      <c r="AF92" s="268">
        <f>SUM(AF86:AF91)</f>
        <v>0</v>
      </c>
      <c r="AG92" s="269"/>
      <c r="AH92" s="268">
        <f>SUM(AH86:AH91)</f>
        <v>0</v>
      </c>
      <c r="AI92" s="269"/>
      <c r="AJ92" s="268">
        <f>SUM(AJ86:AJ91)</f>
        <v>0</v>
      </c>
      <c r="AK92" s="269"/>
      <c r="AL92" s="268">
        <f>SUM(AL86:AL91)</f>
        <v>0</v>
      </c>
      <c r="AM92" s="269"/>
      <c r="AN92" s="268">
        <f>SUM(AN86:AN91)</f>
        <v>0</v>
      </c>
      <c r="AO92" s="269"/>
      <c r="AP92" s="268">
        <f>SUM(AP86:AP91)</f>
        <v>0</v>
      </c>
      <c r="AQ92" s="269"/>
      <c r="AR92" s="268">
        <f>SUM(AR86:AR91)</f>
        <v>0</v>
      </c>
      <c r="AS92" s="269"/>
      <c r="AT92" s="269"/>
      <c r="AU92" s="268">
        <f>SUM(AU86:AU91)</f>
        <v>0</v>
      </c>
      <c r="AV92" s="269"/>
      <c r="AW92" s="268">
        <f>SUM(AW86:AW91)</f>
        <v>0</v>
      </c>
      <c r="AX92" s="269"/>
      <c r="AY92" s="268">
        <f>SUM(AY86:AY91)</f>
        <v>0</v>
      </c>
      <c r="AZ92" s="269"/>
      <c r="BA92" s="268">
        <f>SUM(BA86:BA91)</f>
        <v>0</v>
      </c>
      <c r="BB92" s="269"/>
      <c r="BC92" s="268">
        <f>SUM(BC86:BC91)</f>
        <v>0</v>
      </c>
      <c r="BD92" s="269"/>
      <c r="BE92" s="268">
        <f>SUM(BE86:BE91)</f>
        <v>0</v>
      </c>
      <c r="BF92" s="269"/>
      <c r="BG92" s="268">
        <f>SUM(BG86:BG91)</f>
        <v>0</v>
      </c>
      <c r="BH92" s="269"/>
      <c r="BI92" s="268">
        <f>D92+F92+H92+J92+X92+N92+P92+R92+L92+T92+V92+AC92+AF92+AH92+AJ92+AL92+AN92+AP92+AR92+AU92+AW92+AY92+BA92+BC92+BG92+BE92+AA92</f>
        <v>0</v>
      </c>
      <c r="BJ92" s="269"/>
      <c r="BK92" s="270"/>
      <c r="BL92" s="270"/>
      <c r="BM92" s="264"/>
    </row>
    <row r="93" spans="1:65" s="276" customFormat="1" ht="18" x14ac:dyDescent="0.25">
      <c r="A93" s="240"/>
      <c r="B93" s="256"/>
      <c r="C93" s="262"/>
      <c r="D93" s="258"/>
      <c r="E93" s="259"/>
      <c r="F93" s="258"/>
      <c r="G93" s="259"/>
      <c r="H93" s="258"/>
      <c r="I93" s="259"/>
      <c r="J93" s="258"/>
      <c r="K93" s="259"/>
      <c r="L93" s="275"/>
      <c r="M93" s="259"/>
      <c r="N93" s="258"/>
      <c r="O93" s="259"/>
      <c r="P93" s="258"/>
      <c r="Q93" s="259"/>
      <c r="R93" s="258"/>
      <c r="S93" s="259"/>
      <c r="T93" s="258"/>
      <c r="U93" s="259"/>
      <c r="V93" s="258"/>
      <c r="W93" s="259"/>
      <c r="X93" s="258"/>
      <c r="Y93" s="259"/>
      <c r="Z93" s="259"/>
      <c r="AA93" s="258"/>
      <c r="AB93" s="259"/>
      <c r="AC93" s="258"/>
      <c r="AD93" s="259"/>
      <c r="AE93" s="259"/>
      <c r="AF93" s="258"/>
      <c r="AG93" s="259"/>
      <c r="AH93" s="258"/>
      <c r="AI93" s="259"/>
      <c r="AJ93" s="258"/>
      <c r="AK93" s="259"/>
      <c r="AL93" s="258"/>
      <c r="AM93" s="259"/>
      <c r="AN93" s="258"/>
      <c r="AO93" s="259"/>
      <c r="AP93" s="258"/>
      <c r="AQ93" s="259"/>
      <c r="AR93" s="258"/>
      <c r="AS93" s="259"/>
      <c r="AT93" s="259"/>
      <c r="AU93" s="258"/>
      <c r="AV93" s="259"/>
      <c r="AW93" s="258"/>
      <c r="AX93" s="259"/>
      <c r="AY93" s="258"/>
      <c r="AZ93" s="259"/>
      <c r="BA93" s="258"/>
      <c r="BB93" s="259"/>
      <c r="BC93" s="258"/>
      <c r="BD93" s="259"/>
      <c r="BE93" s="258"/>
      <c r="BF93" s="259"/>
      <c r="BG93" s="258"/>
      <c r="BH93" s="259"/>
      <c r="BI93" s="264"/>
      <c r="BJ93" s="262"/>
      <c r="BK93" s="263"/>
      <c r="BL93" s="263"/>
      <c r="BM93" s="264"/>
    </row>
    <row r="94" spans="1:65" s="276" customFormat="1" ht="36" x14ac:dyDescent="0.25">
      <c r="A94" s="240" t="s">
        <v>244</v>
      </c>
      <c r="B94" s="256"/>
      <c r="C94" s="262"/>
      <c r="D94" s="258"/>
      <c r="E94" s="259"/>
      <c r="F94" s="258"/>
      <c r="G94" s="259"/>
      <c r="H94" s="258"/>
      <c r="I94" s="259"/>
      <c r="J94" s="258"/>
      <c r="K94" s="259"/>
      <c r="L94" s="275"/>
      <c r="M94" s="259"/>
      <c r="N94" s="258"/>
      <c r="O94" s="259"/>
      <c r="P94" s="258"/>
      <c r="Q94" s="259"/>
      <c r="R94" s="258"/>
      <c r="S94" s="259"/>
      <c r="T94" s="258"/>
      <c r="U94" s="259"/>
      <c r="V94" s="258"/>
      <c r="W94" s="259"/>
      <c r="X94" s="258"/>
      <c r="Y94" s="259"/>
      <c r="Z94" s="259"/>
      <c r="AA94" s="258"/>
      <c r="AB94" s="259"/>
      <c r="AC94" s="258"/>
      <c r="AD94" s="259"/>
      <c r="AE94" s="259"/>
      <c r="AF94" s="258"/>
      <c r="AG94" s="259"/>
      <c r="AH94" s="258"/>
      <c r="AI94" s="259"/>
      <c r="AJ94" s="258"/>
      <c r="AK94" s="259"/>
      <c r="AL94" s="258"/>
      <c r="AM94" s="259"/>
      <c r="AN94" s="258"/>
      <c r="AO94" s="259"/>
      <c r="AP94" s="258"/>
      <c r="AQ94" s="259"/>
      <c r="AR94" s="258"/>
      <c r="AS94" s="259"/>
      <c r="AT94" s="259"/>
      <c r="AU94" s="258"/>
      <c r="AV94" s="259"/>
      <c r="AW94" s="258"/>
      <c r="AX94" s="259"/>
      <c r="AY94" s="258"/>
      <c r="AZ94" s="259"/>
      <c r="BA94" s="258"/>
      <c r="BB94" s="259"/>
      <c r="BC94" s="258"/>
      <c r="BD94" s="259"/>
      <c r="BE94" s="258"/>
      <c r="BF94" s="259"/>
      <c r="BG94" s="258"/>
      <c r="BH94" s="259"/>
      <c r="BI94" s="264"/>
      <c r="BJ94" s="262"/>
      <c r="BK94" s="263"/>
      <c r="BL94" s="263"/>
      <c r="BM94" s="264"/>
    </row>
    <row r="95" spans="1:65" s="276" customFormat="1" ht="18" x14ac:dyDescent="0.25">
      <c r="A95" s="240" t="s">
        <v>332</v>
      </c>
      <c r="B95" s="277" t="s">
        <v>880</v>
      </c>
      <c r="C95" s="262"/>
      <c r="D95" s="275">
        <f>SUM(GenFundExp2!I346+GenFundExp2!I347)</f>
        <v>0</v>
      </c>
      <c r="E95" s="259"/>
      <c r="F95" s="275">
        <f>SUM(CharterFundExp2!I346+CharterFundExp2!I347)</f>
        <v>0</v>
      </c>
      <c r="G95" s="259"/>
      <c r="H95" s="258"/>
      <c r="I95" s="259"/>
      <c r="J95" s="258"/>
      <c r="K95" s="259"/>
      <c r="L95" s="275"/>
      <c r="M95" s="259"/>
      <c r="N95" s="258"/>
      <c r="O95" s="259"/>
      <c r="P95" s="258"/>
      <c r="Q95" s="259"/>
      <c r="R95" s="258"/>
      <c r="S95" s="259"/>
      <c r="T95" s="258"/>
      <c r="U95" s="259"/>
      <c r="V95" s="258"/>
      <c r="W95" s="259"/>
      <c r="X95" s="258"/>
      <c r="Y95" s="259"/>
      <c r="Z95" s="259"/>
      <c r="AA95" s="258"/>
      <c r="AB95" s="259"/>
      <c r="AC95" s="258"/>
      <c r="AD95" s="259"/>
      <c r="AE95" s="259"/>
      <c r="AF95" s="258"/>
      <c r="AG95" s="259"/>
      <c r="AH95" s="258"/>
      <c r="AI95" s="259"/>
      <c r="AJ95" s="258"/>
      <c r="AK95" s="259"/>
      <c r="AL95" s="258"/>
      <c r="AM95" s="259"/>
      <c r="AN95" s="258"/>
      <c r="AO95" s="259"/>
      <c r="AP95" s="258"/>
      <c r="AQ95" s="259"/>
      <c r="AR95" s="258"/>
      <c r="AS95" s="259"/>
      <c r="AT95" s="259"/>
      <c r="AU95" s="258"/>
      <c r="AV95" s="259"/>
      <c r="AW95" s="258"/>
      <c r="AX95" s="259"/>
      <c r="AY95" s="258"/>
      <c r="AZ95" s="259"/>
      <c r="BA95" s="258"/>
      <c r="BB95" s="259"/>
      <c r="BC95" s="258"/>
      <c r="BD95" s="259"/>
      <c r="BE95" s="258"/>
      <c r="BF95" s="259"/>
      <c r="BG95" s="258"/>
      <c r="BH95" s="259"/>
      <c r="BI95" s="258">
        <f t="shared" ref="BI95:BI100" si="7">D95+F95+H95+J95+X95+N95+P95+R95+L95+T95+V95+AC95+AF95+AH95+AJ95+AL95+AN95+AP95+AR95+AU95+AW95+AY95+BA95+BC95+BG95+BE95+AA95</f>
        <v>0</v>
      </c>
      <c r="BJ95" s="262"/>
      <c r="BK95" s="263"/>
      <c r="BL95" s="263"/>
      <c r="BM95" s="264"/>
    </row>
    <row r="96" spans="1:65" s="276" customFormat="1" ht="18" x14ac:dyDescent="0.25">
      <c r="A96" s="240" t="s">
        <v>333</v>
      </c>
      <c r="B96" s="277" t="s">
        <v>881</v>
      </c>
      <c r="C96" s="262"/>
      <c r="D96" s="275">
        <f>SUM(GenFundExp2!I348+GenFundExp2!I349)</f>
        <v>0</v>
      </c>
      <c r="E96" s="259"/>
      <c r="F96" s="275">
        <f>SUM(CharterFundExp2!I348+CharterFundExp2!I349)</f>
        <v>0</v>
      </c>
      <c r="G96" s="259"/>
      <c r="H96" s="258"/>
      <c r="I96" s="259"/>
      <c r="J96" s="258"/>
      <c r="K96" s="259"/>
      <c r="L96" s="275"/>
      <c r="M96" s="259"/>
      <c r="N96" s="258"/>
      <c r="O96" s="259"/>
      <c r="P96" s="258"/>
      <c r="Q96" s="259"/>
      <c r="R96" s="258"/>
      <c r="S96" s="259"/>
      <c r="T96" s="258"/>
      <c r="U96" s="259"/>
      <c r="V96" s="258"/>
      <c r="W96" s="259"/>
      <c r="X96" s="258"/>
      <c r="Y96" s="259"/>
      <c r="Z96" s="259"/>
      <c r="AA96" s="258"/>
      <c r="AB96" s="259"/>
      <c r="AC96" s="258"/>
      <c r="AD96" s="259"/>
      <c r="AE96" s="259"/>
      <c r="AF96" s="258"/>
      <c r="AG96" s="259"/>
      <c r="AH96" s="258"/>
      <c r="AI96" s="259"/>
      <c r="AJ96" s="258"/>
      <c r="AK96" s="259"/>
      <c r="AL96" s="258"/>
      <c r="AM96" s="259"/>
      <c r="AN96" s="258"/>
      <c r="AO96" s="259"/>
      <c r="AP96" s="258"/>
      <c r="AQ96" s="259"/>
      <c r="AR96" s="258"/>
      <c r="AS96" s="259"/>
      <c r="AT96" s="259"/>
      <c r="AU96" s="258"/>
      <c r="AV96" s="259"/>
      <c r="AW96" s="258"/>
      <c r="AX96" s="259"/>
      <c r="AY96" s="258"/>
      <c r="AZ96" s="259"/>
      <c r="BA96" s="258"/>
      <c r="BB96" s="259"/>
      <c r="BC96" s="258"/>
      <c r="BD96" s="259"/>
      <c r="BE96" s="258"/>
      <c r="BF96" s="259"/>
      <c r="BG96" s="258"/>
      <c r="BH96" s="259"/>
      <c r="BI96" s="258">
        <f t="shared" si="7"/>
        <v>0</v>
      </c>
      <c r="BJ96" s="262"/>
      <c r="BK96" s="263"/>
      <c r="BL96" s="263"/>
      <c r="BM96" s="264"/>
    </row>
    <row r="97" spans="1:65" s="276" customFormat="1" ht="36" x14ac:dyDescent="0.25">
      <c r="A97" s="240" t="s">
        <v>334</v>
      </c>
      <c r="B97" s="277" t="s">
        <v>346</v>
      </c>
      <c r="C97" s="262"/>
      <c r="D97" s="275">
        <f>SUM(GenFundExp2!I350:I369)</f>
        <v>0</v>
      </c>
      <c r="E97" s="259"/>
      <c r="F97" s="275">
        <f>SUM(CharterFundExp2!I350:I369)</f>
        <v>0</v>
      </c>
      <c r="G97" s="259"/>
      <c r="H97" s="275">
        <f>SUM(InsResv!I29)</f>
        <v>0</v>
      </c>
      <c r="I97" s="259"/>
      <c r="J97" s="258"/>
      <c r="K97" s="259"/>
      <c r="L97" s="275"/>
      <c r="M97" s="259"/>
      <c r="N97" s="258"/>
      <c r="O97" s="259"/>
      <c r="P97" s="258"/>
      <c r="Q97" s="259"/>
      <c r="R97" s="258"/>
      <c r="S97" s="259"/>
      <c r="T97" s="258"/>
      <c r="U97" s="259"/>
      <c r="V97" s="258"/>
      <c r="W97" s="259"/>
      <c r="X97" s="258"/>
      <c r="Y97" s="259"/>
      <c r="Z97" s="259"/>
      <c r="AA97" s="258"/>
      <c r="AB97" s="259"/>
      <c r="AC97" s="258"/>
      <c r="AD97" s="259"/>
      <c r="AE97" s="259"/>
      <c r="AF97" s="258"/>
      <c r="AG97" s="259"/>
      <c r="AH97" s="258"/>
      <c r="AI97" s="259"/>
      <c r="AJ97" s="258"/>
      <c r="AK97" s="259"/>
      <c r="AL97" s="258"/>
      <c r="AM97" s="259"/>
      <c r="AN97" s="258"/>
      <c r="AO97" s="259"/>
      <c r="AP97" s="258"/>
      <c r="AQ97" s="259"/>
      <c r="AR97" s="258"/>
      <c r="AS97" s="259"/>
      <c r="AT97" s="259"/>
      <c r="AU97" s="258"/>
      <c r="AV97" s="259"/>
      <c r="AW97" s="258"/>
      <c r="AX97" s="259"/>
      <c r="AY97" s="258"/>
      <c r="AZ97" s="259"/>
      <c r="BA97" s="258"/>
      <c r="BB97" s="259"/>
      <c r="BC97" s="258"/>
      <c r="BD97" s="259"/>
      <c r="BE97" s="258"/>
      <c r="BF97" s="259"/>
      <c r="BG97" s="258"/>
      <c r="BH97" s="259"/>
      <c r="BI97" s="258">
        <f t="shared" si="7"/>
        <v>0</v>
      </c>
      <c r="BJ97" s="262"/>
      <c r="BK97" s="263"/>
      <c r="BL97" s="263"/>
      <c r="BM97" s="264"/>
    </row>
    <row r="98" spans="1:65" s="276" customFormat="1" ht="18" x14ac:dyDescent="0.25">
      <c r="A98" s="240" t="s">
        <v>347</v>
      </c>
      <c r="B98" s="277" t="s">
        <v>885</v>
      </c>
      <c r="C98" s="262"/>
      <c r="D98" s="275">
        <f>SUM(GenFundExp2!I370:I371)</f>
        <v>0</v>
      </c>
      <c r="E98" s="259"/>
      <c r="F98" s="275">
        <f>SUM(CharterFundExp2!I370:I371)</f>
        <v>0</v>
      </c>
      <c r="G98" s="259"/>
      <c r="H98" s="258"/>
      <c r="I98" s="259"/>
      <c r="J98" s="258"/>
      <c r="K98" s="259"/>
      <c r="L98" s="275"/>
      <c r="M98" s="259"/>
      <c r="N98" s="258"/>
      <c r="O98" s="259"/>
      <c r="P98" s="258"/>
      <c r="Q98" s="259"/>
      <c r="R98" s="258"/>
      <c r="S98" s="259"/>
      <c r="T98" s="258"/>
      <c r="U98" s="259"/>
      <c r="V98" s="258"/>
      <c r="W98" s="259"/>
      <c r="X98" s="258"/>
      <c r="Y98" s="259"/>
      <c r="Z98" s="259"/>
      <c r="AA98" s="258"/>
      <c r="AB98" s="259"/>
      <c r="AC98" s="258"/>
      <c r="AD98" s="259"/>
      <c r="AE98" s="259"/>
      <c r="AF98" s="258"/>
      <c r="AG98" s="259"/>
      <c r="AH98" s="258"/>
      <c r="AI98" s="259"/>
      <c r="AJ98" s="258"/>
      <c r="AK98" s="259"/>
      <c r="AL98" s="258"/>
      <c r="AM98" s="259"/>
      <c r="AN98" s="258"/>
      <c r="AO98" s="259"/>
      <c r="AP98" s="258"/>
      <c r="AQ98" s="259"/>
      <c r="AR98" s="258"/>
      <c r="AS98" s="259"/>
      <c r="AT98" s="259"/>
      <c r="AU98" s="258"/>
      <c r="AV98" s="259"/>
      <c r="AW98" s="258"/>
      <c r="AX98" s="259"/>
      <c r="AY98" s="258"/>
      <c r="AZ98" s="259"/>
      <c r="BA98" s="258"/>
      <c r="BB98" s="259"/>
      <c r="BC98" s="258"/>
      <c r="BD98" s="259"/>
      <c r="BE98" s="258"/>
      <c r="BF98" s="259"/>
      <c r="BG98" s="258"/>
      <c r="BH98" s="259"/>
      <c r="BI98" s="258">
        <f t="shared" si="7"/>
        <v>0</v>
      </c>
      <c r="BJ98" s="262"/>
      <c r="BK98" s="263"/>
      <c r="BL98" s="263"/>
      <c r="BM98" s="264"/>
    </row>
    <row r="99" spans="1:65" s="276" customFormat="1" ht="18" x14ac:dyDescent="0.25">
      <c r="A99" s="240" t="s">
        <v>348</v>
      </c>
      <c r="B99" s="277" t="s">
        <v>886</v>
      </c>
      <c r="C99" s="262"/>
      <c r="D99" s="275">
        <f>SUM(GenFundExp2!I372:I375)</f>
        <v>0</v>
      </c>
      <c r="E99" s="259"/>
      <c r="F99" s="275">
        <f>SUM(CharterFundExp2!I372:I375)</f>
        <v>0</v>
      </c>
      <c r="G99" s="259"/>
      <c r="H99" s="258"/>
      <c r="I99" s="259"/>
      <c r="J99" s="258"/>
      <c r="K99" s="259"/>
      <c r="L99" s="275"/>
      <c r="M99" s="259"/>
      <c r="N99" s="258"/>
      <c r="O99" s="259"/>
      <c r="P99" s="258"/>
      <c r="Q99" s="259"/>
      <c r="R99" s="258"/>
      <c r="S99" s="259"/>
      <c r="T99" s="258"/>
      <c r="U99" s="259"/>
      <c r="V99" s="258"/>
      <c r="W99" s="259"/>
      <c r="X99" s="258"/>
      <c r="Y99" s="259"/>
      <c r="Z99" s="259"/>
      <c r="AA99" s="258"/>
      <c r="AB99" s="259"/>
      <c r="AC99" s="258"/>
      <c r="AD99" s="259"/>
      <c r="AE99" s="259"/>
      <c r="AF99" s="258"/>
      <c r="AG99" s="259"/>
      <c r="AH99" s="258"/>
      <c r="AI99" s="259"/>
      <c r="AJ99" s="258"/>
      <c r="AK99" s="259"/>
      <c r="AL99" s="258"/>
      <c r="AM99" s="259"/>
      <c r="AN99" s="258"/>
      <c r="AO99" s="259"/>
      <c r="AP99" s="258"/>
      <c r="AQ99" s="259"/>
      <c r="AR99" s="258"/>
      <c r="AS99" s="259"/>
      <c r="AT99" s="259"/>
      <c r="AU99" s="258"/>
      <c r="AV99" s="259"/>
      <c r="AW99" s="258"/>
      <c r="AX99" s="259"/>
      <c r="AY99" s="258"/>
      <c r="AZ99" s="259"/>
      <c r="BA99" s="258"/>
      <c r="BB99" s="259"/>
      <c r="BC99" s="258"/>
      <c r="BD99" s="259"/>
      <c r="BE99" s="258"/>
      <c r="BF99" s="259"/>
      <c r="BG99" s="258"/>
      <c r="BH99" s="259"/>
      <c r="BI99" s="258">
        <f t="shared" si="7"/>
        <v>0</v>
      </c>
      <c r="BJ99" s="262"/>
      <c r="BK99" s="263"/>
      <c r="BL99" s="263"/>
      <c r="BM99" s="264"/>
    </row>
    <row r="100" spans="1:65" s="276" customFormat="1" ht="18.75" thickBot="1" x14ac:dyDescent="0.3">
      <c r="A100" s="240" t="s">
        <v>349</v>
      </c>
      <c r="B100" s="277" t="s">
        <v>350</v>
      </c>
      <c r="C100" s="262"/>
      <c r="D100" s="275">
        <f>SUM(GenFundExp2!I376:I381)</f>
        <v>0</v>
      </c>
      <c r="E100" s="259"/>
      <c r="F100" s="275">
        <f>SUM(CharterFundExp2!I376:I381)</f>
        <v>0</v>
      </c>
      <c r="G100" s="259"/>
      <c r="H100" s="258"/>
      <c r="I100" s="259"/>
      <c r="J100" s="258"/>
      <c r="K100" s="259"/>
      <c r="L100" s="275"/>
      <c r="M100" s="259"/>
      <c r="N100" s="258"/>
      <c r="O100" s="259"/>
      <c r="P100" s="258"/>
      <c r="Q100" s="259"/>
      <c r="R100" s="258"/>
      <c r="S100" s="259"/>
      <c r="T100" s="258"/>
      <c r="U100" s="259"/>
      <c r="V100" s="258"/>
      <c r="W100" s="259"/>
      <c r="X100" s="258"/>
      <c r="Y100" s="259"/>
      <c r="Z100" s="259"/>
      <c r="AA100" s="258"/>
      <c r="AB100" s="259"/>
      <c r="AC100" s="258"/>
      <c r="AD100" s="259"/>
      <c r="AE100" s="259"/>
      <c r="AF100" s="258"/>
      <c r="AG100" s="259"/>
      <c r="AH100" s="258"/>
      <c r="AI100" s="259"/>
      <c r="AJ100" s="258"/>
      <c r="AK100" s="259"/>
      <c r="AL100" s="258"/>
      <c r="AM100" s="259"/>
      <c r="AN100" s="258"/>
      <c r="AO100" s="259"/>
      <c r="AP100" s="258"/>
      <c r="AQ100" s="259"/>
      <c r="AR100" s="258"/>
      <c r="AS100" s="259"/>
      <c r="AT100" s="259"/>
      <c r="AU100" s="258"/>
      <c r="AV100" s="259"/>
      <c r="AW100" s="258"/>
      <c r="AX100" s="259"/>
      <c r="AY100" s="258"/>
      <c r="AZ100" s="259"/>
      <c r="BA100" s="258"/>
      <c r="BB100" s="259"/>
      <c r="BC100" s="258"/>
      <c r="BD100" s="259"/>
      <c r="BE100" s="258"/>
      <c r="BF100" s="259"/>
      <c r="BG100" s="258"/>
      <c r="BH100" s="259"/>
      <c r="BI100" s="258">
        <f t="shared" si="7"/>
        <v>0</v>
      </c>
      <c r="BJ100" s="262"/>
      <c r="BK100" s="263"/>
      <c r="BL100" s="263"/>
      <c r="BM100" s="264"/>
    </row>
    <row r="101" spans="1:65" s="276" customFormat="1" ht="36.75" thickBot="1" x14ac:dyDescent="0.3">
      <c r="A101" s="265" t="s">
        <v>245</v>
      </c>
      <c r="B101" s="273"/>
      <c r="C101" s="269"/>
      <c r="D101" s="268">
        <f>SUM(D95:D100)</f>
        <v>0</v>
      </c>
      <c r="E101" s="269"/>
      <c r="F101" s="268">
        <f>SUM(F95:F100)</f>
        <v>0</v>
      </c>
      <c r="G101" s="269"/>
      <c r="H101" s="268">
        <f>SUM(H95:H100)</f>
        <v>0</v>
      </c>
      <c r="I101" s="269"/>
      <c r="J101" s="268">
        <f>SUM(J95:J100)</f>
        <v>0</v>
      </c>
      <c r="K101" s="269"/>
      <c r="L101" s="268">
        <f>SUM(L95:L100)</f>
        <v>0</v>
      </c>
      <c r="M101" s="269"/>
      <c r="N101" s="268">
        <f>SUM(N95:N100)</f>
        <v>0</v>
      </c>
      <c r="O101" s="269"/>
      <c r="P101" s="268">
        <f>SUM(P95:P100)</f>
        <v>0</v>
      </c>
      <c r="Q101" s="269"/>
      <c r="R101" s="268">
        <f>SUM(R95:R100)</f>
        <v>0</v>
      </c>
      <c r="S101" s="269"/>
      <c r="T101" s="268">
        <f>SUM(T95:T100)</f>
        <v>0</v>
      </c>
      <c r="U101" s="269"/>
      <c r="V101" s="268">
        <f>SUM(V95:V100)</f>
        <v>0</v>
      </c>
      <c r="W101" s="269"/>
      <c r="X101" s="268">
        <f>SUM(X95:X100)</f>
        <v>0</v>
      </c>
      <c r="Y101" s="269"/>
      <c r="Z101" s="269"/>
      <c r="AA101" s="268">
        <f>SUM(AA95:AA100)</f>
        <v>0</v>
      </c>
      <c r="AB101" s="269"/>
      <c r="AC101" s="268">
        <f>SUM(AC95:AC100)</f>
        <v>0</v>
      </c>
      <c r="AD101" s="269"/>
      <c r="AE101" s="269"/>
      <c r="AF101" s="268">
        <f>SUM(AF95:AF100)</f>
        <v>0</v>
      </c>
      <c r="AG101" s="269"/>
      <c r="AH101" s="268">
        <f>SUM(AH95:AH100)</f>
        <v>0</v>
      </c>
      <c r="AI101" s="269"/>
      <c r="AJ101" s="268">
        <f>SUM(AJ95:AJ100)</f>
        <v>0</v>
      </c>
      <c r="AK101" s="269"/>
      <c r="AL101" s="268">
        <f>SUM(AL95:AL100)</f>
        <v>0</v>
      </c>
      <c r="AM101" s="269"/>
      <c r="AN101" s="268">
        <f>SUM(AN95:AN100)</f>
        <v>0</v>
      </c>
      <c r="AO101" s="269"/>
      <c r="AP101" s="268">
        <f>SUM(AP95:AP100)</f>
        <v>0</v>
      </c>
      <c r="AQ101" s="269"/>
      <c r="AR101" s="268">
        <f>SUM(AR95:AR100)</f>
        <v>0</v>
      </c>
      <c r="AS101" s="269"/>
      <c r="AT101" s="269"/>
      <c r="AU101" s="268">
        <f>SUM(AU95:AU100)</f>
        <v>0</v>
      </c>
      <c r="AV101" s="269"/>
      <c r="AW101" s="268">
        <f>SUM(AW95:AW100)</f>
        <v>0</v>
      </c>
      <c r="AX101" s="269"/>
      <c r="AY101" s="268">
        <f>SUM(AY95:AY100)</f>
        <v>0</v>
      </c>
      <c r="AZ101" s="269"/>
      <c r="BA101" s="268">
        <f>SUM(BA95:BA100)</f>
        <v>0</v>
      </c>
      <c r="BB101" s="269"/>
      <c r="BC101" s="268">
        <f>SUM(BC95:BC100)</f>
        <v>0</v>
      </c>
      <c r="BD101" s="269"/>
      <c r="BE101" s="268">
        <f>SUM(BE95:BE100)</f>
        <v>0</v>
      </c>
      <c r="BF101" s="269"/>
      <c r="BG101" s="268">
        <f>SUM(BG95:BG100)</f>
        <v>0</v>
      </c>
      <c r="BH101" s="269"/>
      <c r="BI101" s="268">
        <f>D101+F101+H101+J101+X101+N101+P101+R101+L101+T101+V101+AC101+AF101+AH101+AJ101+AL101+AN101+AP101+AR101+AU101+AW101+AY101+BA101+BC101+BG101+BE101+AA101</f>
        <v>0</v>
      </c>
      <c r="BJ101" s="269"/>
      <c r="BK101" s="270"/>
      <c r="BL101" s="270"/>
      <c r="BM101" s="264"/>
    </row>
    <row r="102" spans="1:65" s="276" customFormat="1" ht="18" x14ac:dyDescent="0.25">
      <c r="A102" s="240"/>
      <c r="B102" s="256"/>
      <c r="C102" s="262"/>
      <c r="D102" s="258"/>
      <c r="E102" s="259"/>
      <c r="F102" s="258"/>
      <c r="G102" s="259"/>
      <c r="H102" s="258"/>
      <c r="I102" s="259"/>
      <c r="J102" s="258"/>
      <c r="K102" s="259"/>
      <c r="L102" s="275"/>
      <c r="M102" s="259"/>
      <c r="N102" s="258"/>
      <c r="O102" s="259"/>
      <c r="P102" s="258"/>
      <c r="Q102" s="259"/>
      <c r="R102" s="258"/>
      <c r="S102" s="259"/>
      <c r="T102" s="258"/>
      <c r="U102" s="259"/>
      <c r="V102" s="258"/>
      <c r="W102" s="259"/>
      <c r="X102" s="258"/>
      <c r="Y102" s="259"/>
      <c r="Z102" s="259"/>
      <c r="AA102" s="258"/>
      <c r="AB102" s="259"/>
      <c r="AC102" s="258"/>
      <c r="AD102" s="259"/>
      <c r="AE102" s="259"/>
      <c r="AF102" s="258"/>
      <c r="AG102" s="259"/>
      <c r="AH102" s="258"/>
      <c r="AI102" s="259"/>
      <c r="AJ102" s="258"/>
      <c r="AK102" s="259"/>
      <c r="AL102" s="258"/>
      <c r="AM102" s="259"/>
      <c r="AN102" s="258"/>
      <c r="AO102" s="259"/>
      <c r="AP102" s="258"/>
      <c r="AQ102" s="259"/>
      <c r="AR102" s="258"/>
      <c r="AS102" s="259"/>
      <c r="AT102" s="259"/>
      <c r="AU102" s="258"/>
      <c r="AV102" s="259"/>
      <c r="AW102" s="258"/>
      <c r="AX102" s="259"/>
      <c r="AY102" s="258"/>
      <c r="AZ102" s="259"/>
      <c r="BA102" s="258"/>
      <c r="BB102" s="259"/>
      <c r="BC102" s="258"/>
      <c r="BD102" s="259"/>
      <c r="BE102" s="258"/>
      <c r="BF102" s="259"/>
      <c r="BG102" s="258"/>
      <c r="BH102" s="259"/>
      <c r="BI102" s="264"/>
      <c r="BJ102" s="262"/>
      <c r="BK102" s="263"/>
      <c r="BL102" s="263"/>
      <c r="BM102" s="264"/>
    </row>
    <row r="103" spans="1:65" s="276" customFormat="1" ht="40.5" customHeight="1" x14ac:dyDescent="0.25">
      <c r="A103" s="240" t="s">
        <v>1594</v>
      </c>
      <c r="B103" s="256"/>
      <c r="C103" s="262"/>
      <c r="D103" s="258"/>
      <c r="E103" s="259"/>
      <c r="F103" s="258"/>
      <c r="G103" s="259"/>
      <c r="H103" s="258"/>
      <c r="I103" s="259"/>
      <c r="J103" s="258"/>
      <c r="K103" s="259"/>
      <c r="L103" s="275"/>
      <c r="M103" s="259"/>
      <c r="N103" s="258"/>
      <c r="O103" s="259"/>
      <c r="P103" s="258"/>
      <c r="Q103" s="259"/>
      <c r="R103" s="258"/>
      <c r="S103" s="259"/>
      <c r="T103" s="258"/>
      <c r="U103" s="259"/>
      <c r="V103" s="258"/>
      <c r="W103" s="259"/>
      <c r="X103" s="258"/>
      <c r="Y103" s="259"/>
      <c r="Z103" s="259"/>
      <c r="AA103" s="258"/>
      <c r="AB103" s="259"/>
      <c r="AC103" s="258"/>
      <c r="AD103" s="259"/>
      <c r="AE103" s="259"/>
      <c r="AF103" s="258"/>
      <c r="AG103" s="259"/>
      <c r="AH103" s="258"/>
      <c r="AI103" s="259"/>
      <c r="AJ103" s="258"/>
      <c r="AK103" s="259"/>
      <c r="AL103" s="258"/>
      <c r="AM103" s="259"/>
      <c r="AN103" s="258"/>
      <c r="AO103" s="259"/>
      <c r="AP103" s="258"/>
      <c r="AQ103" s="259"/>
      <c r="AR103" s="258"/>
      <c r="AS103" s="259"/>
      <c r="AT103" s="259"/>
      <c r="AU103" s="258"/>
      <c r="AV103" s="259"/>
      <c r="AW103" s="258"/>
      <c r="AX103" s="259"/>
      <c r="AY103" s="258"/>
      <c r="AZ103" s="259"/>
      <c r="BA103" s="258"/>
      <c r="BB103" s="259"/>
      <c r="BC103" s="258"/>
      <c r="BD103" s="259"/>
      <c r="BE103" s="258"/>
      <c r="BF103" s="259"/>
      <c r="BG103" s="258"/>
      <c r="BH103" s="259"/>
      <c r="BI103" s="264"/>
      <c r="BJ103" s="262"/>
      <c r="BK103" s="263"/>
      <c r="BL103" s="263"/>
      <c r="BM103" s="264"/>
    </row>
    <row r="104" spans="1:65" s="276" customFormat="1" ht="18" x14ac:dyDescent="0.25">
      <c r="A104" s="240" t="s">
        <v>332</v>
      </c>
      <c r="B104" s="277" t="s">
        <v>880</v>
      </c>
      <c r="C104" s="262"/>
      <c r="D104" s="275">
        <f>SUM(GenFundExp2!I385+GenFundExp2!I386)+SUM(GenFundExp2!I416+GenFundExp2!I417)</f>
        <v>0</v>
      </c>
      <c r="E104" s="259"/>
      <c r="F104" s="275">
        <f>SUM(CharterFundExp2!I385+CharterFundExp2!I386)+SUM(CharterFundExp2!I416+CharterFundExp2!I417)</f>
        <v>0</v>
      </c>
      <c r="G104" s="259"/>
      <c r="H104" s="258"/>
      <c r="I104" s="259"/>
      <c r="J104" s="258"/>
      <c r="K104" s="259"/>
      <c r="L104" s="275"/>
      <c r="M104" s="259"/>
      <c r="N104" s="258"/>
      <c r="O104" s="259"/>
      <c r="P104" s="258"/>
      <c r="Q104" s="259"/>
      <c r="R104" s="258"/>
      <c r="S104" s="259"/>
      <c r="T104" s="258"/>
      <c r="U104" s="259"/>
      <c r="V104" s="258"/>
      <c r="W104" s="259"/>
      <c r="X104" s="258"/>
      <c r="Y104" s="259"/>
      <c r="Z104" s="259"/>
      <c r="AA104" s="258"/>
      <c r="AB104" s="259"/>
      <c r="AC104" s="258"/>
      <c r="AD104" s="259"/>
      <c r="AE104" s="259"/>
      <c r="AF104" s="258"/>
      <c r="AG104" s="259"/>
      <c r="AH104" s="258"/>
      <c r="AI104" s="259"/>
      <c r="AJ104" s="258"/>
      <c r="AK104" s="259"/>
      <c r="AL104" s="258"/>
      <c r="AM104" s="259"/>
      <c r="AN104" s="258"/>
      <c r="AO104" s="259"/>
      <c r="AP104" s="258"/>
      <c r="AQ104" s="259"/>
      <c r="AR104" s="258"/>
      <c r="AS104" s="259"/>
      <c r="AT104" s="259"/>
      <c r="AU104" s="258"/>
      <c r="AV104" s="259"/>
      <c r="AW104" s="258"/>
      <c r="AX104" s="259"/>
      <c r="AY104" s="258"/>
      <c r="AZ104" s="259"/>
      <c r="BA104" s="258"/>
      <c r="BB104" s="259"/>
      <c r="BC104" s="258"/>
      <c r="BD104" s="259"/>
      <c r="BE104" s="258"/>
      <c r="BF104" s="259"/>
      <c r="BG104" s="258"/>
      <c r="BH104" s="259"/>
      <c r="BI104" s="258">
        <f t="shared" ref="BI104:BI109" si="8">D104+F104+H104+J104+X104+N104+P104+R104+L104+T104+V104+AC104+AF104+AH104+AJ104+AL104+AN104+AP104+AR104+AU104+AW104+AY104+BA104+BC104+BG104+BE104+AA104</f>
        <v>0</v>
      </c>
      <c r="BJ104" s="262"/>
      <c r="BK104" s="263"/>
      <c r="BL104" s="263"/>
      <c r="BM104" s="264"/>
    </row>
    <row r="105" spans="1:65" s="276" customFormat="1" ht="18" x14ac:dyDescent="0.25">
      <c r="A105" s="240" t="s">
        <v>333</v>
      </c>
      <c r="B105" s="277" t="s">
        <v>881</v>
      </c>
      <c r="C105" s="262"/>
      <c r="D105" s="275">
        <f>SUM(GenFundExp2!I387+GenFundExp2!I388)+SUM(GenFundExp2!I418+GenFundExp2!I419)</f>
        <v>0</v>
      </c>
      <c r="E105" s="259"/>
      <c r="F105" s="275">
        <f>SUM(CharterFundExp2!I387+CharterFundExp2!I388)+SUM(CharterFundExp2!I418+CharterFundExp2!I419)</f>
        <v>0</v>
      </c>
      <c r="G105" s="259"/>
      <c r="H105" s="258"/>
      <c r="I105" s="259"/>
      <c r="J105" s="258"/>
      <c r="K105" s="259"/>
      <c r="L105" s="275"/>
      <c r="M105" s="259"/>
      <c r="N105" s="258"/>
      <c r="O105" s="259"/>
      <c r="P105" s="258"/>
      <c r="Q105" s="259"/>
      <c r="R105" s="258"/>
      <c r="S105" s="259"/>
      <c r="T105" s="258"/>
      <c r="U105" s="259"/>
      <c r="V105" s="258"/>
      <c r="W105" s="259"/>
      <c r="X105" s="258"/>
      <c r="Y105" s="259"/>
      <c r="Z105" s="259"/>
      <c r="AA105" s="258"/>
      <c r="AB105" s="259"/>
      <c r="AC105" s="258"/>
      <c r="AD105" s="259"/>
      <c r="AE105" s="259"/>
      <c r="AF105" s="258"/>
      <c r="AG105" s="259"/>
      <c r="AH105" s="258"/>
      <c r="AI105" s="259"/>
      <c r="AJ105" s="258"/>
      <c r="AK105" s="259"/>
      <c r="AL105" s="258"/>
      <c r="AM105" s="259"/>
      <c r="AN105" s="258"/>
      <c r="AO105" s="259"/>
      <c r="AP105" s="258"/>
      <c r="AQ105" s="259"/>
      <c r="AR105" s="258"/>
      <c r="AS105" s="259"/>
      <c r="AT105" s="259"/>
      <c r="AU105" s="258"/>
      <c r="AV105" s="259"/>
      <c r="AW105" s="258"/>
      <c r="AX105" s="259"/>
      <c r="AY105" s="258"/>
      <c r="AZ105" s="259"/>
      <c r="BA105" s="258"/>
      <c r="BB105" s="259"/>
      <c r="BC105" s="258"/>
      <c r="BD105" s="259"/>
      <c r="BE105" s="258"/>
      <c r="BF105" s="259"/>
      <c r="BG105" s="258"/>
      <c r="BH105" s="259"/>
      <c r="BI105" s="258">
        <f t="shared" si="8"/>
        <v>0</v>
      </c>
      <c r="BJ105" s="262"/>
      <c r="BK105" s="263"/>
      <c r="BL105" s="263"/>
      <c r="BM105" s="264"/>
    </row>
    <row r="106" spans="1:65" s="276" customFormat="1" ht="36" x14ac:dyDescent="0.25">
      <c r="A106" s="240" t="s">
        <v>334</v>
      </c>
      <c r="B106" s="277" t="s">
        <v>246</v>
      </c>
      <c r="C106" s="262"/>
      <c r="D106" s="275">
        <f>SUM(GenFundExp2!I389:I401)+SUM(GenFundExp2!I420:I432)</f>
        <v>0</v>
      </c>
      <c r="E106" s="259"/>
      <c r="F106" s="275">
        <f>SUM(CharterFundExp2!I389:I401)+SUM(CharterFundExp2!I420:I432)</f>
        <v>0</v>
      </c>
      <c r="G106" s="259"/>
      <c r="H106" s="596">
        <f>SUM(InsResv!I31+InsResv!I33+InsResv!I34+InsResv!I35+InsResv!I32)</f>
        <v>0</v>
      </c>
      <c r="I106" s="259"/>
      <c r="J106" s="258"/>
      <c r="K106" s="259"/>
      <c r="L106" s="275"/>
      <c r="M106" s="259"/>
      <c r="N106" s="258"/>
      <c r="O106" s="259"/>
      <c r="P106" s="258"/>
      <c r="Q106" s="259"/>
      <c r="R106" s="258"/>
      <c r="S106" s="259"/>
      <c r="T106" s="258"/>
      <c r="U106" s="259"/>
      <c r="V106" s="258"/>
      <c r="W106" s="259"/>
      <c r="X106" s="258"/>
      <c r="Y106" s="259"/>
      <c r="Z106" s="259"/>
      <c r="AA106" s="258"/>
      <c r="AB106" s="259"/>
      <c r="AC106" s="258"/>
      <c r="AD106" s="259"/>
      <c r="AE106" s="259"/>
      <c r="AF106" s="258"/>
      <c r="AG106" s="259"/>
      <c r="AH106" s="258"/>
      <c r="AI106" s="259"/>
      <c r="AJ106" s="258"/>
      <c r="AK106" s="259"/>
      <c r="AL106" s="258"/>
      <c r="AM106" s="259"/>
      <c r="AN106" s="258"/>
      <c r="AO106" s="259"/>
      <c r="AP106" s="258"/>
      <c r="AQ106" s="259"/>
      <c r="AR106" s="258"/>
      <c r="AS106" s="259"/>
      <c r="AT106" s="259"/>
      <c r="AU106" s="258"/>
      <c r="AV106" s="259"/>
      <c r="AW106" s="258"/>
      <c r="AX106" s="259"/>
      <c r="AY106" s="258"/>
      <c r="AZ106" s="259"/>
      <c r="BA106" s="258"/>
      <c r="BB106" s="259"/>
      <c r="BC106" s="258"/>
      <c r="BD106" s="259"/>
      <c r="BE106" s="258"/>
      <c r="BF106" s="259"/>
      <c r="BG106" s="258"/>
      <c r="BH106" s="259"/>
      <c r="BI106" s="258">
        <f t="shared" si="8"/>
        <v>0</v>
      </c>
      <c r="BJ106" s="262"/>
      <c r="BK106" s="263"/>
      <c r="BL106" s="263"/>
      <c r="BM106" s="264"/>
    </row>
    <row r="107" spans="1:65" s="276" customFormat="1" ht="18" x14ac:dyDescent="0.25">
      <c r="A107" s="240" t="s">
        <v>347</v>
      </c>
      <c r="B107" s="277" t="s">
        <v>885</v>
      </c>
      <c r="C107" s="262"/>
      <c r="D107" s="275">
        <f>SUM(GenFundExp2!I402:I403)+SUM(GenFundExp2!I433:I434)</f>
        <v>0</v>
      </c>
      <c r="E107" s="259"/>
      <c r="F107" s="275">
        <f>SUM(CharterFundExp2!I402:I403)+SUM(CharterFundExp2!I433:I434)</f>
        <v>0</v>
      </c>
      <c r="G107" s="259"/>
      <c r="H107" s="258"/>
      <c r="I107" s="259"/>
      <c r="J107" s="258"/>
      <c r="K107" s="259"/>
      <c r="L107" s="275"/>
      <c r="M107" s="259"/>
      <c r="N107" s="258"/>
      <c r="O107" s="259"/>
      <c r="P107" s="258"/>
      <c r="Q107" s="259"/>
      <c r="R107" s="258"/>
      <c r="S107" s="259"/>
      <c r="T107" s="258"/>
      <c r="U107" s="259"/>
      <c r="V107" s="258"/>
      <c r="W107" s="259"/>
      <c r="X107" s="258"/>
      <c r="Y107" s="259"/>
      <c r="Z107" s="259"/>
      <c r="AA107" s="258"/>
      <c r="AB107" s="259"/>
      <c r="AC107" s="258"/>
      <c r="AD107" s="259"/>
      <c r="AE107" s="259"/>
      <c r="AF107" s="258"/>
      <c r="AG107" s="259"/>
      <c r="AH107" s="258"/>
      <c r="AI107" s="259"/>
      <c r="AJ107" s="258"/>
      <c r="AK107" s="259"/>
      <c r="AL107" s="258"/>
      <c r="AM107" s="259"/>
      <c r="AN107" s="258"/>
      <c r="AO107" s="259"/>
      <c r="AP107" s="258"/>
      <c r="AQ107" s="259"/>
      <c r="AR107" s="258"/>
      <c r="AS107" s="259"/>
      <c r="AT107" s="259"/>
      <c r="AU107" s="258"/>
      <c r="AV107" s="259"/>
      <c r="AW107" s="258"/>
      <c r="AX107" s="259"/>
      <c r="AY107" s="258"/>
      <c r="AZ107" s="259"/>
      <c r="BA107" s="258"/>
      <c r="BB107" s="259"/>
      <c r="BC107" s="258"/>
      <c r="BD107" s="259"/>
      <c r="BE107" s="258"/>
      <c r="BF107" s="259"/>
      <c r="BG107" s="258"/>
      <c r="BH107" s="259"/>
      <c r="BI107" s="258">
        <f t="shared" si="8"/>
        <v>0</v>
      </c>
      <c r="BJ107" s="262"/>
      <c r="BK107" s="263"/>
      <c r="BL107" s="263"/>
      <c r="BM107" s="264"/>
    </row>
    <row r="108" spans="1:65" s="276" customFormat="1" ht="18" x14ac:dyDescent="0.25">
      <c r="A108" s="240" t="s">
        <v>348</v>
      </c>
      <c r="B108" s="277" t="s">
        <v>886</v>
      </c>
      <c r="C108" s="262"/>
      <c r="D108" s="275">
        <f>SUM(GenFundExp2!I404:I406)+SUM(GenFundExp2!I435:I437)</f>
        <v>0</v>
      </c>
      <c r="E108" s="259"/>
      <c r="F108" s="275">
        <f>SUM(CharterFundExp2!I404:I406)+SUM(CharterFundExp2!I435:I437)</f>
        <v>0</v>
      </c>
      <c r="G108" s="259"/>
      <c r="H108" s="258"/>
      <c r="I108" s="259"/>
      <c r="J108" s="258"/>
      <c r="K108" s="259"/>
      <c r="L108" s="275"/>
      <c r="M108" s="259"/>
      <c r="N108" s="258"/>
      <c r="O108" s="259"/>
      <c r="P108" s="258"/>
      <c r="Q108" s="259"/>
      <c r="R108" s="258"/>
      <c r="S108" s="259"/>
      <c r="T108" s="258"/>
      <c r="U108" s="259"/>
      <c r="V108" s="258"/>
      <c r="W108" s="259"/>
      <c r="X108" s="258"/>
      <c r="Y108" s="259"/>
      <c r="Z108" s="259"/>
      <c r="AA108" s="258"/>
      <c r="AB108" s="259"/>
      <c r="AC108" s="258"/>
      <c r="AD108" s="259"/>
      <c r="AE108" s="259"/>
      <c r="AF108" s="258"/>
      <c r="AG108" s="259"/>
      <c r="AH108" s="258"/>
      <c r="AI108" s="259"/>
      <c r="AJ108" s="258"/>
      <c r="AK108" s="259"/>
      <c r="AL108" s="258"/>
      <c r="AM108" s="259"/>
      <c r="AN108" s="258"/>
      <c r="AO108" s="259"/>
      <c r="AP108" s="258"/>
      <c r="AQ108" s="259"/>
      <c r="AR108" s="258"/>
      <c r="AS108" s="259"/>
      <c r="AT108" s="259"/>
      <c r="AU108" s="258"/>
      <c r="AV108" s="259"/>
      <c r="AW108" s="258"/>
      <c r="AX108" s="259"/>
      <c r="AY108" s="258"/>
      <c r="AZ108" s="259"/>
      <c r="BA108" s="258"/>
      <c r="BB108" s="259"/>
      <c r="BC108" s="258"/>
      <c r="BD108" s="259"/>
      <c r="BE108" s="258"/>
      <c r="BF108" s="259"/>
      <c r="BG108" s="258"/>
      <c r="BH108" s="259"/>
      <c r="BI108" s="258">
        <f t="shared" si="8"/>
        <v>0</v>
      </c>
      <c r="BJ108" s="262"/>
      <c r="BK108" s="263"/>
      <c r="BL108" s="263"/>
      <c r="BM108" s="264"/>
    </row>
    <row r="109" spans="1:65" s="276" customFormat="1" ht="18.75" thickBot="1" x14ac:dyDescent="0.3">
      <c r="A109" s="240" t="s">
        <v>349</v>
      </c>
      <c r="B109" s="277" t="s">
        <v>350</v>
      </c>
      <c r="C109" s="262"/>
      <c r="D109" s="275">
        <f>SUM(GenFundExp2!I407:I412)+SUM(GenFundExp2!I438:I443)</f>
        <v>0</v>
      </c>
      <c r="E109" s="259"/>
      <c r="F109" s="275">
        <f>SUM(CharterFundExp2!I407:I412)+SUM(CharterFundExp2!I438:I443)</f>
        <v>0</v>
      </c>
      <c r="G109" s="259"/>
      <c r="H109" s="258"/>
      <c r="I109" s="259"/>
      <c r="J109" s="258"/>
      <c r="K109" s="259"/>
      <c r="L109" s="275"/>
      <c r="M109" s="259"/>
      <c r="N109" s="258"/>
      <c r="O109" s="259"/>
      <c r="P109" s="258"/>
      <c r="Q109" s="259"/>
      <c r="R109" s="258"/>
      <c r="S109" s="259"/>
      <c r="T109" s="258"/>
      <c r="U109" s="259"/>
      <c r="V109" s="258"/>
      <c r="W109" s="259"/>
      <c r="X109" s="258"/>
      <c r="Y109" s="259"/>
      <c r="Z109" s="259"/>
      <c r="AA109" s="258"/>
      <c r="AB109" s="259"/>
      <c r="AC109" s="258"/>
      <c r="AD109" s="259"/>
      <c r="AE109" s="259"/>
      <c r="AF109" s="258"/>
      <c r="AG109" s="259"/>
      <c r="AH109" s="258"/>
      <c r="AI109" s="259"/>
      <c r="AJ109" s="258"/>
      <c r="AK109" s="259"/>
      <c r="AL109" s="258"/>
      <c r="AM109" s="259"/>
      <c r="AN109" s="258"/>
      <c r="AO109" s="259"/>
      <c r="AP109" s="258"/>
      <c r="AQ109" s="259"/>
      <c r="AR109" s="258"/>
      <c r="AS109" s="259"/>
      <c r="AT109" s="259"/>
      <c r="AU109" s="258"/>
      <c r="AV109" s="259"/>
      <c r="AW109" s="258"/>
      <c r="AX109" s="259"/>
      <c r="AY109" s="258"/>
      <c r="AZ109" s="259"/>
      <c r="BA109" s="258"/>
      <c r="BB109" s="259"/>
      <c r="BC109" s="258"/>
      <c r="BD109" s="259"/>
      <c r="BE109" s="258"/>
      <c r="BF109" s="259"/>
      <c r="BG109" s="258"/>
      <c r="BH109" s="259"/>
      <c r="BI109" s="258">
        <f t="shared" si="8"/>
        <v>0</v>
      </c>
      <c r="BJ109" s="262"/>
      <c r="BK109" s="263"/>
      <c r="BL109" s="263"/>
      <c r="BM109" s="264"/>
    </row>
    <row r="110" spans="1:65" s="276" customFormat="1" ht="18.75" thickBot="1" x14ac:dyDescent="0.3">
      <c r="A110" s="265" t="s">
        <v>247</v>
      </c>
      <c r="B110" s="273"/>
      <c r="C110" s="269"/>
      <c r="D110" s="268">
        <f>SUM(D104:D109)</f>
        <v>0</v>
      </c>
      <c r="E110" s="269"/>
      <c r="F110" s="268">
        <f>SUM(F104:F109)</f>
        <v>0</v>
      </c>
      <c r="G110" s="269"/>
      <c r="H110" s="268">
        <f>SUM(H104:H109)</f>
        <v>0</v>
      </c>
      <c r="I110" s="269"/>
      <c r="J110" s="268">
        <f>SUM(J104:J109)</f>
        <v>0</v>
      </c>
      <c r="K110" s="269"/>
      <c r="L110" s="268">
        <f>SUM(L104:L109)</f>
        <v>0</v>
      </c>
      <c r="M110" s="269"/>
      <c r="N110" s="268">
        <f>SUM(N104:N109)</f>
        <v>0</v>
      </c>
      <c r="O110" s="269"/>
      <c r="P110" s="268">
        <f>SUM(P104:P109)</f>
        <v>0</v>
      </c>
      <c r="Q110" s="269"/>
      <c r="R110" s="268">
        <f>SUM(R104:R109)</f>
        <v>0</v>
      </c>
      <c r="S110" s="269"/>
      <c r="T110" s="268">
        <f>SUM(T104:T109)</f>
        <v>0</v>
      </c>
      <c r="U110" s="269"/>
      <c r="V110" s="268">
        <f>SUM(V104:V109)</f>
        <v>0</v>
      </c>
      <c r="W110" s="269"/>
      <c r="X110" s="268">
        <f>SUM(X104:X109)</f>
        <v>0</v>
      </c>
      <c r="Y110" s="269"/>
      <c r="Z110" s="269"/>
      <c r="AA110" s="268">
        <f>SUM(AA104:AA109)</f>
        <v>0</v>
      </c>
      <c r="AB110" s="269"/>
      <c r="AC110" s="268">
        <f>SUM(AC104:AC109)</f>
        <v>0</v>
      </c>
      <c r="AD110" s="269"/>
      <c r="AE110" s="269"/>
      <c r="AF110" s="268">
        <f>SUM(AF104:AF109)</f>
        <v>0</v>
      </c>
      <c r="AG110" s="269"/>
      <c r="AH110" s="268">
        <f>SUM(AH104:AH109)</f>
        <v>0</v>
      </c>
      <c r="AI110" s="269"/>
      <c r="AJ110" s="268">
        <f>SUM(AJ104:AJ109)</f>
        <v>0</v>
      </c>
      <c r="AK110" s="269"/>
      <c r="AL110" s="268">
        <f>SUM(AL104:AL109)</f>
        <v>0</v>
      </c>
      <c r="AM110" s="269"/>
      <c r="AN110" s="268">
        <f>SUM(AN104:AN109)</f>
        <v>0</v>
      </c>
      <c r="AO110" s="269"/>
      <c r="AP110" s="268">
        <f>SUM(AP104:AP109)</f>
        <v>0</v>
      </c>
      <c r="AQ110" s="269"/>
      <c r="AR110" s="268">
        <f>SUM(AR104:AR109)</f>
        <v>0</v>
      </c>
      <c r="AS110" s="269"/>
      <c r="AT110" s="269"/>
      <c r="AU110" s="268">
        <f>SUM(AU104:AU109)</f>
        <v>0</v>
      </c>
      <c r="AV110" s="269"/>
      <c r="AW110" s="268">
        <f>SUM(AW104:AW109)</f>
        <v>0</v>
      </c>
      <c r="AX110" s="269"/>
      <c r="AY110" s="268">
        <f>SUM(AY104:AY109)</f>
        <v>0</v>
      </c>
      <c r="AZ110" s="269"/>
      <c r="BA110" s="268">
        <f>SUM(BA104:BA109)</f>
        <v>0</v>
      </c>
      <c r="BB110" s="269"/>
      <c r="BC110" s="268">
        <f>SUM(BC104:BC109)</f>
        <v>0</v>
      </c>
      <c r="BD110" s="269"/>
      <c r="BE110" s="268">
        <f>SUM(BE104:BE109)</f>
        <v>0</v>
      </c>
      <c r="BF110" s="269"/>
      <c r="BG110" s="268">
        <f>SUM(BG104:BG109)</f>
        <v>0</v>
      </c>
      <c r="BH110" s="269"/>
      <c r="BI110" s="268">
        <f>D110+F110+H110+J110+X110+N110+P110+R110+L110+T110+V110+AC110+AF110+AH110+AJ110+AL110+AN110+AP110+AR110+AU110+AW110+AY110+BA110+BC110+BG110+BE110+AA110</f>
        <v>0</v>
      </c>
      <c r="BJ110" s="269"/>
      <c r="BK110" s="270"/>
      <c r="BL110" s="270"/>
      <c r="BM110" s="264"/>
    </row>
    <row r="111" spans="1:65" s="276" customFormat="1" ht="18" x14ac:dyDescent="0.25">
      <c r="A111" s="240"/>
      <c r="B111" s="256"/>
      <c r="C111" s="262"/>
      <c r="D111" s="258"/>
      <c r="E111" s="259"/>
      <c r="F111" s="258"/>
      <c r="G111" s="259"/>
      <c r="H111" s="258"/>
      <c r="I111" s="259"/>
      <c r="J111" s="258"/>
      <c r="K111" s="259"/>
      <c r="L111" s="275"/>
      <c r="M111" s="259"/>
      <c r="N111" s="258"/>
      <c r="O111" s="259"/>
      <c r="P111" s="258"/>
      <c r="Q111" s="259"/>
      <c r="R111" s="258"/>
      <c r="S111" s="259"/>
      <c r="T111" s="258"/>
      <c r="U111" s="259"/>
      <c r="V111" s="258"/>
      <c r="W111" s="259"/>
      <c r="X111" s="258"/>
      <c r="Y111" s="259"/>
      <c r="Z111" s="259"/>
      <c r="AA111" s="258"/>
      <c r="AB111" s="259"/>
      <c r="AC111" s="258"/>
      <c r="AD111" s="259"/>
      <c r="AE111" s="259"/>
      <c r="AF111" s="258"/>
      <c r="AG111" s="259"/>
      <c r="AH111" s="258"/>
      <c r="AI111" s="259"/>
      <c r="AJ111" s="258"/>
      <c r="AK111" s="259"/>
      <c r="AL111" s="258"/>
      <c r="AM111" s="259"/>
      <c r="AN111" s="258"/>
      <c r="AO111" s="259"/>
      <c r="AP111" s="258"/>
      <c r="AQ111" s="259"/>
      <c r="AR111" s="258"/>
      <c r="AS111" s="259"/>
      <c r="AT111" s="259"/>
      <c r="AU111" s="258"/>
      <c r="AV111" s="259"/>
      <c r="AW111" s="258"/>
      <c r="AX111" s="259"/>
      <c r="AY111" s="258"/>
      <c r="AZ111" s="259"/>
      <c r="BA111" s="258"/>
      <c r="BB111" s="259"/>
      <c r="BC111" s="258"/>
      <c r="BD111" s="259"/>
      <c r="BE111" s="258"/>
      <c r="BF111" s="259"/>
      <c r="BG111" s="258"/>
      <c r="BH111" s="259"/>
      <c r="BI111" s="264"/>
      <c r="BJ111" s="262"/>
      <c r="BK111" s="263"/>
      <c r="BL111" s="263"/>
      <c r="BM111" s="264"/>
    </row>
    <row r="112" spans="1:65" s="276" customFormat="1" ht="18" x14ac:dyDescent="0.25">
      <c r="A112" s="240" t="s">
        <v>248</v>
      </c>
      <c r="B112" s="256"/>
      <c r="C112" s="262"/>
      <c r="D112" s="258"/>
      <c r="E112" s="259"/>
      <c r="F112" s="258"/>
      <c r="G112" s="259"/>
      <c r="H112" s="258"/>
      <c r="I112" s="259"/>
      <c r="J112" s="258"/>
      <c r="K112" s="259"/>
      <c r="L112" s="275"/>
      <c r="M112" s="259"/>
      <c r="N112" s="258"/>
      <c r="O112" s="259"/>
      <c r="P112" s="258"/>
      <c r="Q112" s="259"/>
      <c r="R112" s="258"/>
      <c r="S112" s="259"/>
      <c r="T112" s="258"/>
      <c r="U112" s="259"/>
      <c r="V112" s="258"/>
      <c r="W112" s="259"/>
      <c r="X112" s="258"/>
      <c r="Y112" s="259"/>
      <c r="Z112" s="259"/>
      <c r="AA112" s="258"/>
      <c r="AB112" s="259"/>
      <c r="AC112" s="258"/>
      <c r="AD112" s="259"/>
      <c r="AE112" s="259"/>
      <c r="AF112" s="258"/>
      <c r="AG112" s="259"/>
      <c r="AH112" s="258"/>
      <c r="AI112" s="259"/>
      <c r="AJ112" s="258"/>
      <c r="AK112" s="259"/>
      <c r="AL112" s="258"/>
      <c r="AM112" s="259"/>
      <c r="AN112" s="258"/>
      <c r="AO112" s="259"/>
      <c r="AP112" s="258"/>
      <c r="AQ112" s="259"/>
      <c r="AR112" s="258"/>
      <c r="AS112" s="259"/>
      <c r="AT112" s="259"/>
      <c r="AU112" s="258"/>
      <c r="AV112" s="259"/>
      <c r="AW112" s="258"/>
      <c r="AX112" s="259"/>
      <c r="AY112" s="258"/>
      <c r="AZ112" s="259"/>
      <c r="BA112" s="258"/>
      <c r="BB112" s="259"/>
      <c r="BC112" s="258"/>
      <c r="BD112" s="259"/>
      <c r="BE112" s="258"/>
      <c r="BF112" s="259"/>
      <c r="BG112" s="258"/>
      <c r="BH112" s="259"/>
      <c r="BI112" s="264"/>
      <c r="BJ112" s="262"/>
      <c r="BK112" s="263"/>
      <c r="BL112" s="263"/>
      <c r="BM112" s="264"/>
    </row>
    <row r="113" spans="1:65" s="276" customFormat="1" ht="18" x14ac:dyDescent="0.25">
      <c r="A113" s="240" t="s">
        <v>332</v>
      </c>
      <c r="B113" s="277" t="s">
        <v>880</v>
      </c>
      <c r="C113" s="262"/>
      <c r="D113" s="275">
        <f>SUM(GenFundExp2!I447+GenFundExp2!I448)</f>
        <v>0</v>
      </c>
      <c r="E113" s="259"/>
      <c r="F113" s="275">
        <f>SUM(CharterFundExp2!I447+CharterFundExp2!I448)</f>
        <v>0</v>
      </c>
      <c r="G113" s="259"/>
      <c r="H113" s="258"/>
      <c r="I113" s="259"/>
      <c r="J113" s="258"/>
      <c r="K113" s="259"/>
      <c r="L113" s="275"/>
      <c r="M113" s="259"/>
      <c r="N113" s="258"/>
      <c r="O113" s="259"/>
      <c r="P113" s="258"/>
      <c r="Q113" s="259"/>
      <c r="R113" s="258"/>
      <c r="S113" s="259"/>
      <c r="T113" s="258"/>
      <c r="U113" s="259"/>
      <c r="V113" s="258"/>
      <c r="W113" s="259"/>
      <c r="X113" s="258"/>
      <c r="Y113" s="259"/>
      <c r="Z113" s="259"/>
      <c r="AA113" s="258"/>
      <c r="AB113" s="259"/>
      <c r="AC113" s="258"/>
      <c r="AD113" s="259"/>
      <c r="AE113" s="259"/>
      <c r="AF113" s="258"/>
      <c r="AG113" s="259"/>
      <c r="AH113" s="258"/>
      <c r="AI113" s="259"/>
      <c r="AJ113" s="258"/>
      <c r="AK113" s="259"/>
      <c r="AL113" s="258"/>
      <c r="AM113" s="259"/>
      <c r="AN113" s="258"/>
      <c r="AO113" s="259"/>
      <c r="AP113" s="258"/>
      <c r="AQ113" s="259"/>
      <c r="AR113" s="258"/>
      <c r="AS113" s="259"/>
      <c r="AT113" s="259"/>
      <c r="AU113" s="258"/>
      <c r="AV113" s="259"/>
      <c r="AW113" s="258"/>
      <c r="AX113" s="259"/>
      <c r="AY113" s="258"/>
      <c r="AZ113" s="259"/>
      <c r="BA113" s="258"/>
      <c r="BB113" s="259"/>
      <c r="BC113" s="258"/>
      <c r="BD113" s="259"/>
      <c r="BE113" s="258"/>
      <c r="BF113" s="259"/>
      <c r="BG113" s="258"/>
      <c r="BH113" s="259"/>
      <c r="BI113" s="258">
        <f t="shared" ref="BI113:BI118" si="9">D113+F113+H113+J113+X113+N113+P113+R113+L113+T113+V113+AC113+AF113+AH113+AJ113+AL113+AN113+AP113+AR113+AU113+AW113+AY113+BA113+BC113+BG113+BE113+AA113</f>
        <v>0</v>
      </c>
      <c r="BJ113" s="262"/>
      <c r="BK113" s="263"/>
      <c r="BL113" s="263"/>
      <c r="BM113" s="264"/>
    </row>
    <row r="114" spans="1:65" s="276" customFormat="1" ht="18" x14ac:dyDescent="0.25">
      <c r="A114" s="240" t="s">
        <v>333</v>
      </c>
      <c r="B114" s="277" t="s">
        <v>881</v>
      </c>
      <c r="C114" s="262"/>
      <c r="D114" s="275">
        <f>SUM(GenFundExp2!I449+GenFundExp2!I450)</f>
        <v>0</v>
      </c>
      <c r="E114" s="259"/>
      <c r="F114" s="275">
        <f>SUM(CharterFundExp2!I449+CharterFundExp2!I450)</f>
        <v>0</v>
      </c>
      <c r="G114" s="259"/>
      <c r="H114" s="258"/>
      <c r="I114" s="259"/>
      <c r="J114" s="258"/>
      <c r="K114" s="259"/>
      <c r="L114" s="275"/>
      <c r="M114" s="259"/>
      <c r="N114" s="258"/>
      <c r="O114" s="259"/>
      <c r="P114" s="258"/>
      <c r="Q114" s="259"/>
      <c r="R114" s="258"/>
      <c r="S114" s="259"/>
      <c r="T114" s="258"/>
      <c r="U114" s="259"/>
      <c r="V114" s="258"/>
      <c r="W114" s="259"/>
      <c r="X114" s="258"/>
      <c r="Y114" s="259"/>
      <c r="Z114" s="259"/>
      <c r="AA114" s="258"/>
      <c r="AB114" s="259"/>
      <c r="AC114" s="258"/>
      <c r="AD114" s="259"/>
      <c r="AE114" s="259"/>
      <c r="AF114" s="258"/>
      <c r="AG114" s="259"/>
      <c r="AH114" s="258"/>
      <c r="AI114" s="259"/>
      <c r="AJ114" s="258"/>
      <c r="AK114" s="259"/>
      <c r="AL114" s="258"/>
      <c r="AM114" s="259"/>
      <c r="AN114" s="258"/>
      <c r="AO114" s="259"/>
      <c r="AP114" s="258"/>
      <c r="AQ114" s="259"/>
      <c r="AR114" s="258"/>
      <c r="AS114" s="259"/>
      <c r="AT114" s="259"/>
      <c r="AU114" s="258"/>
      <c r="AV114" s="259"/>
      <c r="AW114" s="258"/>
      <c r="AX114" s="259"/>
      <c r="AY114" s="258"/>
      <c r="AZ114" s="259"/>
      <c r="BA114" s="258"/>
      <c r="BB114" s="259"/>
      <c r="BC114" s="258"/>
      <c r="BD114" s="259"/>
      <c r="BE114" s="258"/>
      <c r="BF114" s="259"/>
      <c r="BG114" s="258"/>
      <c r="BH114" s="259"/>
      <c r="BI114" s="258">
        <f t="shared" si="9"/>
        <v>0</v>
      </c>
      <c r="BJ114" s="262"/>
      <c r="BK114" s="263"/>
      <c r="BL114" s="263"/>
      <c r="BM114" s="264"/>
    </row>
    <row r="115" spans="1:65" s="276" customFormat="1" ht="36" x14ac:dyDescent="0.25">
      <c r="A115" s="240" t="s">
        <v>334</v>
      </c>
      <c r="B115" s="277" t="s">
        <v>246</v>
      </c>
      <c r="C115" s="262"/>
      <c r="D115" s="275">
        <f>SUM(GenFundExp2!I451:I462)</f>
        <v>0</v>
      </c>
      <c r="E115" s="259"/>
      <c r="F115" s="275">
        <f>SUM(CharterFundExp2!I451:I462)</f>
        <v>0</v>
      </c>
      <c r="G115" s="259"/>
      <c r="H115" s="258"/>
      <c r="I115" s="259"/>
      <c r="J115" s="258"/>
      <c r="K115" s="259"/>
      <c r="L115" s="275"/>
      <c r="M115" s="259"/>
      <c r="N115" s="258"/>
      <c r="O115" s="259"/>
      <c r="P115" s="258"/>
      <c r="Q115" s="259"/>
      <c r="R115" s="258"/>
      <c r="S115" s="259"/>
      <c r="T115" s="258"/>
      <c r="U115" s="259"/>
      <c r="V115" s="258"/>
      <c r="W115" s="259"/>
      <c r="X115" s="258"/>
      <c r="Y115" s="259"/>
      <c r="Z115" s="259"/>
      <c r="AA115" s="258"/>
      <c r="AB115" s="259"/>
      <c r="AC115" s="258"/>
      <c r="AD115" s="259"/>
      <c r="AE115" s="259"/>
      <c r="AF115" s="258"/>
      <c r="AG115" s="259"/>
      <c r="AH115" s="258"/>
      <c r="AI115" s="259"/>
      <c r="AJ115" s="258"/>
      <c r="AK115" s="259"/>
      <c r="AL115" s="258"/>
      <c r="AM115" s="259"/>
      <c r="AN115" s="258"/>
      <c r="AO115" s="259"/>
      <c r="AP115" s="258"/>
      <c r="AQ115" s="259"/>
      <c r="AR115" s="258"/>
      <c r="AS115" s="259"/>
      <c r="AT115" s="259"/>
      <c r="AU115" s="258"/>
      <c r="AV115" s="259"/>
      <c r="AW115" s="258"/>
      <c r="AX115" s="259"/>
      <c r="AY115" s="258"/>
      <c r="AZ115" s="259"/>
      <c r="BA115" s="258"/>
      <c r="BB115" s="259"/>
      <c r="BC115" s="258"/>
      <c r="BD115" s="259"/>
      <c r="BE115" s="258"/>
      <c r="BF115" s="259"/>
      <c r="BG115" s="258"/>
      <c r="BH115" s="259"/>
      <c r="BI115" s="258">
        <f t="shared" si="9"/>
        <v>0</v>
      </c>
      <c r="BJ115" s="262"/>
      <c r="BK115" s="263"/>
      <c r="BL115" s="263"/>
      <c r="BM115" s="264"/>
    </row>
    <row r="116" spans="1:65" s="276" customFormat="1" ht="18" x14ac:dyDescent="0.25">
      <c r="A116" s="240" t="s">
        <v>347</v>
      </c>
      <c r="B116" s="277" t="s">
        <v>885</v>
      </c>
      <c r="C116" s="262"/>
      <c r="D116" s="275">
        <f>SUM(GenFundExp2!I463:I464)</f>
        <v>0</v>
      </c>
      <c r="E116" s="259"/>
      <c r="F116" s="275">
        <f>SUM(CharterFundExp2!I463:I464)</f>
        <v>0</v>
      </c>
      <c r="G116" s="259"/>
      <c r="H116" s="258"/>
      <c r="I116" s="259"/>
      <c r="J116" s="258"/>
      <c r="K116" s="259"/>
      <c r="L116" s="275"/>
      <c r="M116" s="259"/>
      <c r="N116" s="258"/>
      <c r="O116" s="259"/>
      <c r="P116" s="258"/>
      <c r="Q116" s="259"/>
      <c r="R116" s="258"/>
      <c r="S116" s="259"/>
      <c r="T116" s="258"/>
      <c r="U116" s="259"/>
      <c r="V116" s="258"/>
      <c r="W116" s="259"/>
      <c r="X116" s="258"/>
      <c r="Y116" s="259"/>
      <c r="Z116" s="259"/>
      <c r="AA116" s="258"/>
      <c r="AB116" s="259"/>
      <c r="AC116" s="258"/>
      <c r="AD116" s="259"/>
      <c r="AE116" s="259"/>
      <c r="AF116" s="258"/>
      <c r="AG116" s="259"/>
      <c r="AH116" s="258"/>
      <c r="AI116" s="259"/>
      <c r="AJ116" s="258"/>
      <c r="AK116" s="259"/>
      <c r="AL116" s="258"/>
      <c r="AM116" s="259"/>
      <c r="AN116" s="258"/>
      <c r="AO116" s="259"/>
      <c r="AP116" s="258"/>
      <c r="AQ116" s="259"/>
      <c r="AR116" s="258"/>
      <c r="AS116" s="259"/>
      <c r="AT116" s="259"/>
      <c r="AU116" s="258"/>
      <c r="AV116" s="259"/>
      <c r="AW116" s="258"/>
      <c r="AX116" s="259"/>
      <c r="AY116" s="258"/>
      <c r="AZ116" s="259"/>
      <c r="BA116" s="258"/>
      <c r="BB116" s="259"/>
      <c r="BC116" s="258"/>
      <c r="BD116" s="259"/>
      <c r="BE116" s="258"/>
      <c r="BF116" s="259"/>
      <c r="BG116" s="258"/>
      <c r="BH116" s="259"/>
      <c r="BI116" s="258">
        <f t="shared" si="9"/>
        <v>0</v>
      </c>
      <c r="BJ116" s="262"/>
      <c r="BK116" s="263"/>
      <c r="BL116" s="263"/>
      <c r="BM116" s="264"/>
    </row>
    <row r="117" spans="1:65" s="276" customFormat="1" ht="18" x14ac:dyDescent="0.25">
      <c r="A117" s="240" t="s">
        <v>348</v>
      </c>
      <c r="B117" s="277" t="s">
        <v>886</v>
      </c>
      <c r="C117" s="262"/>
      <c r="D117" s="275">
        <f>SUM(GenFundExp2!I465:I467)</f>
        <v>0</v>
      </c>
      <c r="E117" s="259"/>
      <c r="F117" s="275">
        <f>SUM(CharterFundExp2!I465:I467)</f>
        <v>0</v>
      </c>
      <c r="G117" s="259"/>
      <c r="H117" s="258"/>
      <c r="I117" s="259"/>
      <c r="J117" s="258"/>
      <c r="K117" s="259"/>
      <c r="L117" s="275"/>
      <c r="M117" s="259"/>
      <c r="N117" s="258"/>
      <c r="O117" s="259"/>
      <c r="P117" s="258"/>
      <c r="Q117" s="259"/>
      <c r="R117" s="258"/>
      <c r="S117" s="259"/>
      <c r="T117" s="258"/>
      <c r="U117" s="259"/>
      <c r="V117" s="258"/>
      <c r="W117" s="259"/>
      <c r="X117" s="258"/>
      <c r="Y117" s="259"/>
      <c r="Z117" s="259"/>
      <c r="AA117" s="258"/>
      <c r="AB117" s="259"/>
      <c r="AC117" s="258"/>
      <c r="AD117" s="259"/>
      <c r="AE117" s="259"/>
      <c r="AF117" s="258"/>
      <c r="AG117" s="259"/>
      <c r="AH117" s="258"/>
      <c r="AI117" s="259"/>
      <c r="AJ117" s="258"/>
      <c r="AK117" s="259"/>
      <c r="AL117" s="258"/>
      <c r="AM117" s="259"/>
      <c r="AN117" s="258"/>
      <c r="AO117" s="259"/>
      <c r="AP117" s="258"/>
      <c r="AQ117" s="259"/>
      <c r="AR117" s="258"/>
      <c r="AS117" s="259"/>
      <c r="AT117" s="259"/>
      <c r="AU117" s="258"/>
      <c r="AV117" s="259"/>
      <c r="AW117" s="258"/>
      <c r="AX117" s="259"/>
      <c r="AY117" s="258"/>
      <c r="AZ117" s="259"/>
      <c r="BA117" s="258"/>
      <c r="BB117" s="259"/>
      <c r="BC117" s="258"/>
      <c r="BD117" s="259"/>
      <c r="BE117" s="258"/>
      <c r="BF117" s="259"/>
      <c r="BG117" s="258"/>
      <c r="BH117" s="259"/>
      <c r="BI117" s="258">
        <f t="shared" si="9"/>
        <v>0</v>
      </c>
      <c r="BJ117" s="262"/>
      <c r="BK117" s="263"/>
      <c r="BL117" s="263"/>
      <c r="BM117" s="264"/>
    </row>
    <row r="118" spans="1:65" s="276" customFormat="1" ht="18.75" thickBot="1" x14ac:dyDescent="0.3">
      <c r="A118" s="240" t="s">
        <v>349</v>
      </c>
      <c r="B118" s="277" t="s">
        <v>350</v>
      </c>
      <c r="C118" s="262"/>
      <c r="D118" s="275">
        <f>SUM(GenFundExp2!I468:I473)</f>
        <v>0</v>
      </c>
      <c r="E118" s="259"/>
      <c r="F118" s="275">
        <f>SUM(CharterFundExp2!I468:I473)</f>
        <v>0</v>
      </c>
      <c r="G118" s="259"/>
      <c r="H118" s="258"/>
      <c r="I118" s="259"/>
      <c r="J118" s="258"/>
      <c r="K118" s="259"/>
      <c r="L118" s="275"/>
      <c r="M118" s="259"/>
      <c r="N118" s="258"/>
      <c r="O118" s="259"/>
      <c r="P118" s="258"/>
      <c r="Q118" s="259"/>
      <c r="R118" s="258"/>
      <c r="S118" s="259"/>
      <c r="T118" s="258"/>
      <c r="U118" s="259"/>
      <c r="V118" s="258"/>
      <c r="W118" s="259"/>
      <c r="X118" s="258"/>
      <c r="Y118" s="259"/>
      <c r="Z118" s="259"/>
      <c r="AA118" s="258"/>
      <c r="AB118" s="259"/>
      <c r="AC118" s="258"/>
      <c r="AD118" s="259"/>
      <c r="AE118" s="259"/>
      <c r="AF118" s="258"/>
      <c r="AG118" s="259"/>
      <c r="AH118" s="258"/>
      <c r="AI118" s="259"/>
      <c r="AJ118" s="258"/>
      <c r="AK118" s="259"/>
      <c r="AL118" s="258"/>
      <c r="AM118" s="259"/>
      <c r="AN118" s="258"/>
      <c r="AO118" s="259"/>
      <c r="AP118" s="258"/>
      <c r="AQ118" s="259"/>
      <c r="AR118" s="258"/>
      <c r="AS118" s="259"/>
      <c r="AT118" s="259"/>
      <c r="AU118" s="258"/>
      <c r="AV118" s="259"/>
      <c r="AW118" s="258"/>
      <c r="AX118" s="259"/>
      <c r="AY118" s="258"/>
      <c r="AZ118" s="259"/>
      <c r="BA118" s="258"/>
      <c r="BB118" s="259"/>
      <c r="BC118" s="258"/>
      <c r="BD118" s="259"/>
      <c r="BE118" s="258"/>
      <c r="BF118" s="259"/>
      <c r="BG118" s="258"/>
      <c r="BH118" s="259"/>
      <c r="BI118" s="258">
        <f t="shared" si="9"/>
        <v>0</v>
      </c>
      <c r="BJ118" s="262"/>
      <c r="BK118" s="263"/>
      <c r="BL118" s="263"/>
      <c r="BM118" s="264"/>
    </row>
    <row r="119" spans="1:65" s="276" customFormat="1" ht="18.75" thickBot="1" x14ac:dyDescent="0.3">
      <c r="A119" s="265" t="s">
        <v>249</v>
      </c>
      <c r="B119" s="273"/>
      <c r="C119" s="269"/>
      <c r="D119" s="268">
        <f>SUM(D113:D118)</f>
        <v>0</v>
      </c>
      <c r="E119" s="269"/>
      <c r="F119" s="268">
        <f>SUM(F113:F118)</f>
        <v>0</v>
      </c>
      <c r="G119" s="269"/>
      <c r="H119" s="268">
        <f>SUM(H113:H118)</f>
        <v>0</v>
      </c>
      <c r="I119" s="269"/>
      <c r="J119" s="268">
        <f>SUM(J113:J118)</f>
        <v>0</v>
      </c>
      <c r="K119" s="269"/>
      <c r="L119" s="268">
        <f>SUM(L113:L118)</f>
        <v>0</v>
      </c>
      <c r="M119" s="269"/>
      <c r="N119" s="268">
        <f>SUM(N113:N118)</f>
        <v>0</v>
      </c>
      <c r="O119" s="269"/>
      <c r="P119" s="268">
        <f>SUM(P113:P118)</f>
        <v>0</v>
      </c>
      <c r="Q119" s="269"/>
      <c r="R119" s="268">
        <f>SUM(R113:R118)</f>
        <v>0</v>
      </c>
      <c r="S119" s="269"/>
      <c r="T119" s="268">
        <f>SUM(T113:T118)</f>
        <v>0</v>
      </c>
      <c r="U119" s="269"/>
      <c r="V119" s="268">
        <f>SUM(V113:V118)</f>
        <v>0</v>
      </c>
      <c r="W119" s="269"/>
      <c r="X119" s="268">
        <f>SUM(X113:X118)</f>
        <v>0</v>
      </c>
      <c r="Y119" s="269"/>
      <c r="Z119" s="269"/>
      <c r="AA119" s="268">
        <f>SUM(AA113:AA118)</f>
        <v>0</v>
      </c>
      <c r="AB119" s="269"/>
      <c r="AC119" s="268">
        <f>SUM(AC113:AC118)</f>
        <v>0</v>
      </c>
      <c r="AD119" s="269"/>
      <c r="AE119" s="269"/>
      <c r="AF119" s="268">
        <f>SUM(AF113:AF118)</f>
        <v>0</v>
      </c>
      <c r="AG119" s="269"/>
      <c r="AH119" s="268">
        <f>SUM(AH113:AH118)</f>
        <v>0</v>
      </c>
      <c r="AI119" s="269"/>
      <c r="AJ119" s="268">
        <f>SUM(AJ113:AJ118)</f>
        <v>0</v>
      </c>
      <c r="AK119" s="269"/>
      <c r="AL119" s="268">
        <f>SUM(AL113:AL118)</f>
        <v>0</v>
      </c>
      <c r="AM119" s="269"/>
      <c r="AN119" s="268">
        <f>SUM(AN113:AN118)</f>
        <v>0</v>
      </c>
      <c r="AO119" s="269"/>
      <c r="AP119" s="268">
        <f>SUM(AP113:AP118)</f>
        <v>0</v>
      </c>
      <c r="AQ119" s="269"/>
      <c r="AR119" s="268">
        <f>SUM(AR113:AR118)</f>
        <v>0</v>
      </c>
      <c r="AS119" s="269"/>
      <c r="AT119" s="269"/>
      <c r="AU119" s="268">
        <f>SUM(AU113:AU118)</f>
        <v>0</v>
      </c>
      <c r="AV119" s="269"/>
      <c r="AW119" s="268">
        <f>SUM(AW113:AW118)</f>
        <v>0</v>
      </c>
      <c r="AX119" s="269"/>
      <c r="AY119" s="268">
        <f>SUM(AY113:AY118)</f>
        <v>0</v>
      </c>
      <c r="AZ119" s="269"/>
      <c r="BA119" s="268">
        <f>SUM(BA113:BA118)</f>
        <v>0</v>
      </c>
      <c r="BB119" s="269"/>
      <c r="BC119" s="268">
        <f>SUM(BC113:BC118)</f>
        <v>0</v>
      </c>
      <c r="BD119" s="269"/>
      <c r="BE119" s="268">
        <f>SUM(BE113:BE118)</f>
        <v>0</v>
      </c>
      <c r="BF119" s="269"/>
      <c r="BG119" s="268">
        <f>SUM(BG113:BG118)</f>
        <v>0</v>
      </c>
      <c r="BH119" s="269"/>
      <c r="BI119" s="268">
        <f>D119+F119+H119+J119+X119+N119+P119+R119+L119+T119+V119+AC119+AF119+AH119+AJ119+AL119+AN119+AP119+AR119+AU119+AW119+AY119+BA119+BC119+BG119+BE119+AA119</f>
        <v>0</v>
      </c>
      <c r="BJ119" s="269"/>
      <c r="BK119" s="270"/>
      <c r="BL119" s="270"/>
      <c r="BM119" s="264"/>
    </row>
    <row r="120" spans="1:65" s="276" customFormat="1" ht="18" x14ac:dyDescent="0.25">
      <c r="A120" s="240"/>
      <c r="B120" s="256"/>
      <c r="C120" s="262"/>
      <c r="D120" s="258"/>
      <c r="E120" s="259"/>
      <c r="F120" s="258"/>
      <c r="G120" s="259"/>
      <c r="H120" s="258"/>
      <c r="I120" s="259"/>
      <c r="J120" s="258"/>
      <c r="K120" s="259"/>
      <c r="L120" s="275"/>
      <c r="M120" s="259"/>
      <c r="N120" s="258"/>
      <c r="O120" s="259"/>
      <c r="P120" s="258"/>
      <c r="Q120" s="259"/>
      <c r="R120" s="258"/>
      <c r="S120" s="259"/>
      <c r="T120" s="258"/>
      <c r="U120" s="259"/>
      <c r="V120" s="258"/>
      <c r="W120" s="259"/>
      <c r="X120" s="258"/>
      <c r="Y120" s="259"/>
      <c r="Z120" s="259"/>
      <c r="AA120" s="258"/>
      <c r="AB120" s="259"/>
      <c r="AC120" s="258"/>
      <c r="AD120" s="259"/>
      <c r="AE120" s="259"/>
      <c r="AF120" s="258"/>
      <c r="AG120" s="259"/>
      <c r="AH120" s="258"/>
      <c r="AI120" s="259"/>
      <c r="AJ120" s="258"/>
      <c r="AK120" s="259"/>
      <c r="AL120" s="258"/>
      <c r="AM120" s="259"/>
      <c r="AN120" s="258"/>
      <c r="AO120" s="259"/>
      <c r="AP120" s="258"/>
      <c r="AQ120" s="259"/>
      <c r="AR120" s="258"/>
      <c r="AS120" s="259"/>
      <c r="AT120" s="259"/>
      <c r="AU120" s="258"/>
      <c r="AV120" s="259"/>
      <c r="AW120" s="258"/>
      <c r="AX120" s="259"/>
      <c r="AY120" s="258"/>
      <c r="AZ120" s="259"/>
      <c r="BA120" s="258"/>
      <c r="BB120" s="259"/>
      <c r="BC120" s="258"/>
      <c r="BD120" s="259"/>
      <c r="BE120" s="258"/>
      <c r="BF120" s="259"/>
      <c r="BG120" s="258"/>
      <c r="BH120" s="259"/>
      <c r="BI120" s="264"/>
      <c r="BJ120" s="262"/>
      <c r="BK120" s="263"/>
      <c r="BL120" s="263"/>
      <c r="BM120" s="264"/>
    </row>
    <row r="121" spans="1:65" s="276" customFormat="1" ht="33" customHeight="1" x14ac:dyDescent="0.25">
      <c r="A121" s="240" t="s">
        <v>250</v>
      </c>
      <c r="B121" s="256"/>
      <c r="C121" s="262"/>
      <c r="D121" s="258"/>
      <c r="E121" s="259"/>
      <c r="F121" s="258"/>
      <c r="G121" s="259"/>
      <c r="H121" s="258"/>
      <c r="I121" s="259"/>
      <c r="J121" s="258"/>
      <c r="K121" s="259"/>
      <c r="L121" s="275"/>
      <c r="M121" s="259"/>
      <c r="N121" s="258"/>
      <c r="O121" s="259"/>
      <c r="P121" s="258"/>
      <c r="Q121" s="259"/>
      <c r="R121" s="258"/>
      <c r="S121" s="259"/>
      <c r="T121" s="258"/>
      <c r="U121" s="259"/>
      <c r="V121" s="258"/>
      <c r="W121" s="259"/>
      <c r="X121" s="258"/>
      <c r="Y121" s="259"/>
      <c r="Z121" s="259"/>
      <c r="AA121" s="258"/>
      <c r="AB121" s="259"/>
      <c r="AC121" s="258"/>
      <c r="AD121" s="259"/>
      <c r="AE121" s="259"/>
      <c r="AF121" s="258"/>
      <c r="AG121" s="259"/>
      <c r="AH121" s="258"/>
      <c r="AI121" s="259"/>
      <c r="AJ121" s="258"/>
      <c r="AK121" s="259"/>
      <c r="AL121" s="258"/>
      <c r="AM121" s="259"/>
      <c r="AN121" s="258"/>
      <c r="AO121" s="259"/>
      <c r="AP121" s="258"/>
      <c r="AQ121" s="259"/>
      <c r="AR121" s="258"/>
      <c r="AS121" s="259"/>
      <c r="AT121" s="259"/>
      <c r="AU121" s="258"/>
      <c r="AV121" s="259"/>
      <c r="AW121" s="258"/>
      <c r="AX121" s="259"/>
      <c r="AY121" s="258"/>
      <c r="AZ121" s="259"/>
      <c r="BA121" s="258"/>
      <c r="BB121" s="259"/>
      <c r="BC121" s="258"/>
      <c r="BD121" s="259"/>
      <c r="BE121" s="258"/>
      <c r="BF121" s="259"/>
      <c r="BG121" s="258"/>
      <c r="BH121" s="259"/>
      <c r="BI121" s="264"/>
      <c r="BJ121" s="262"/>
      <c r="BK121" s="263"/>
      <c r="BL121" s="263"/>
      <c r="BM121" s="264"/>
    </row>
    <row r="122" spans="1:65" s="276" customFormat="1" ht="18" x14ac:dyDescent="0.25">
      <c r="A122" s="240" t="s">
        <v>332</v>
      </c>
      <c r="B122" s="277" t="s">
        <v>880</v>
      </c>
      <c r="C122" s="262"/>
      <c r="D122" s="275">
        <f>SUM(GenFundExp2!I477+GenFundExp2!I478)</f>
        <v>0</v>
      </c>
      <c r="E122" s="259"/>
      <c r="F122" s="275">
        <f>SUM(CharterFundExp2!I477+CharterFundExp2!I478)</f>
        <v>0</v>
      </c>
      <c r="G122" s="259"/>
      <c r="H122" s="258"/>
      <c r="I122" s="259"/>
      <c r="J122" s="258"/>
      <c r="K122" s="259"/>
      <c r="L122" s="275"/>
      <c r="M122" s="259"/>
      <c r="N122" s="258">
        <f>+FoodServiceSRF!I37+FoodServiceSRF!I36</f>
        <v>0</v>
      </c>
      <c r="O122" s="259"/>
      <c r="P122" s="258"/>
      <c r="Q122" s="259"/>
      <c r="R122" s="258"/>
      <c r="S122" s="259"/>
      <c r="T122" s="258"/>
      <c r="U122" s="259"/>
      <c r="V122" s="258"/>
      <c r="W122" s="259"/>
      <c r="X122" s="258"/>
      <c r="Y122" s="259"/>
      <c r="Z122" s="259"/>
      <c r="AA122" s="258"/>
      <c r="AB122" s="259"/>
      <c r="AC122" s="258"/>
      <c r="AD122" s="259"/>
      <c r="AE122" s="259"/>
      <c r="AF122" s="258"/>
      <c r="AG122" s="259"/>
      <c r="AH122" s="258"/>
      <c r="AI122" s="259"/>
      <c r="AJ122" s="258"/>
      <c r="AK122" s="259"/>
      <c r="AL122" s="258"/>
      <c r="AM122" s="259"/>
      <c r="AN122" s="258"/>
      <c r="AO122" s="259"/>
      <c r="AP122" s="258"/>
      <c r="AQ122" s="259"/>
      <c r="AR122" s="258"/>
      <c r="AS122" s="259"/>
      <c r="AT122" s="259"/>
      <c r="AU122" s="258"/>
      <c r="AV122" s="259"/>
      <c r="AW122" s="258"/>
      <c r="AX122" s="259"/>
      <c r="AY122" s="258"/>
      <c r="AZ122" s="259"/>
      <c r="BA122" s="258"/>
      <c r="BB122" s="259"/>
      <c r="BC122" s="258"/>
      <c r="BD122" s="259"/>
      <c r="BE122" s="258"/>
      <c r="BF122" s="259"/>
      <c r="BG122" s="258"/>
      <c r="BH122" s="259"/>
      <c r="BI122" s="258">
        <f t="shared" ref="BI122:BI127" si="10">D122+F122+H122+J122+X122+N122+P122+R122+L122+T122+V122+AC122+AF122+AH122+AJ122+AL122+AN122+AP122+AR122+AU122+AW122+AY122+BA122+BC122+BG122+BE122+AA122</f>
        <v>0</v>
      </c>
      <c r="BJ122" s="262"/>
      <c r="BK122" s="263"/>
      <c r="BL122" s="263"/>
      <c r="BM122" s="264"/>
    </row>
    <row r="123" spans="1:65" s="276" customFormat="1" ht="18" x14ac:dyDescent="0.25">
      <c r="A123" s="240" t="s">
        <v>333</v>
      </c>
      <c r="B123" s="277" t="s">
        <v>881</v>
      </c>
      <c r="C123" s="262"/>
      <c r="D123" s="275">
        <f>SUM(GenFundExp2!I479+GenFundExp2!I480)</f>
        <v>0</v>
      </c>
      <c r="E123" s="259"/>
      <c r="F123" s="275">
        <f>SUM(CharterFundExp2!I479+CharterFundExp2!I480)</f>
        <v>0</v>
      </c>
      <c r="G123" s="259"/>
      <c r="H123" s="258"/>
      <c r="I123" s="259"/>
      <c r="J123" s="258"/>
      <c r="K123" s="259"/>
      <c r="L123" s="275"/>
      <c r="M123" s="259"/>
      <c r="N123" s="258">
        <f>+FoodServiceSRF!I39+FoodServiceSRF!I38</f>
        <v>0</v>
      </c>
      <c r="O123" s="259"/>
      <c r="P123" s="258"/>
      <c r="Q123" s="259"/>
      <c r="R123" s="258"/>
      <c r="S123" s="259"/>
      <c r="T123" s="258"/>
      <c r="U123" s="259"/>
      <c r="V123" s="258"/>
      <c r="W123" s="259"/>
      <c r="X123" s="258"/>
      <c r="Y123" s="259"/>
      <c r="Z123" s="259"/>
      <c r="AA123" s="258"/>
      <c r="AB123" s="259"/>
      <c r="AC123" s="258"/>
      <c r="AD123" s="259"/>
      <c r="AE123" s="259"/>
      <c r="AF123" s="258"/>
      <c r="AG123" s="259"/>
      <c r="AH123" s="258"/>
      <c r="AI123" s="259"/>
      <c r="AJ123" s="258"/>
      <c r="AK123" s="259"/>
      <c r="AL123" s="258"/>
      <c r="AM123" s="259"/>
      <c r="AN123" s="258"/>
      <c r="AO123" s="259"/>
      <c r="AP123" s="258"/>
      <c r="AQ123" s="259"/>
      <c r="AR123" s="258"/>
      <c r="AS123" s="259"/>
      <c r="AT123" s="259"/>
      <c r="AU123" s="258"/>
      <c r="AV123" s="259"/>
      <c r="AW123" s="258"/>
      <c r="AX123" s="259"/>
      <c r="AY123" s="258"/>
      <c r="AZ123" s="259"/>
      <c r="BA123" s="258"/>
      <c r="BB123" s="259"/>
      <c r="BC123" s="258"/>
      <c r="BD123" s="259"/>
      <c r="BE123" s="258"/>
      <c r="BF123" s="259"/>
      <c r="BG123" s="258"/>
      <c r="BH123" s="259"/>
      <c r="BI123" s="258">
        <f t="shared" si="10"/>
        <v>0</v>
      </c>
      <c r="BJ123" s="262"/>
      <c r="BK123" s="263"/>
      <c r="BL123" s="263"/>
      <c r="BM123" s="264"/>
    </row>
    <row r="124" spans="1:65" s="276" customFormat="1" ht="36" x14ac:dyDescent="0.25">
      <c r="A124" s="240" t="s">
        <v>334</v>
      </c>
      <c r="B124" s="277" t="s">
        <v>246</v>
      </c>
      <c r="C124" s="262"/>
      <c r="D124" s="275">
        <f>SUM(GenFundExp2!I481:I492)</f>
        <v>0</v>
      </c>
      <c r="E124" s="259"/>
      <c r="F124" s="275">
        <f>SUM(CharterFundExp2!I481:I492)</f>
        <v>0</v>
      </c>
      <c r="G124" s="259"/>
      <c r="H124" s="596">
        <f>SUM(InsResv!I30)</f>
        <v>0</v>
      </c>
      <c r="I124" s="259"/>
      <c r="J124" s="258"/>
      <c r="K124" s="259"/>
      <c r="L124" s="275"/>
      <c r="M124" s="259"/>
      <c r="N124" s="258">
        <f>+FoodServiceSRF!I40</f>
        <v>0</v>
      </c>
      <c r="O124" s="259"/>
      <c r="P124" s="258"/>
      <c r="Q124" s="259"/>
      <c r="R124" s="258"/>
      <c r="S124" s="259"/>
      <c r="T124" s="258"/>
      <c r="U124" s="259"/>
      <c r="V124" s="258"/>
      <c r="W124" s="259"/>
      <c r="X124" s="258"/>
      <c r="Y124" s="259"/>
      <c r="Z124" s="259"/>
      <c r="AA124" s="258"/>
      <c r="AB124" s="259"/>
      <c r="AC124" s="258"/>
      <c r="AD124" s="259"/>
      <c r="AE124" s="259"/>
      <c r="AF124" s="258"/>
      <c r="AG124" s="259"/>
      <c r="AH124" s="258"/>
      <c r="AI124" s="259"/>
      <c r="AJ124" s="258"/>
      <c r="AK124" s="259"/>
      <c r="AL124" s="258"/>
      <c r="AM124" s="259"/>
      <c r="AN124" s="258"/>
      <c r="AO124" s="259"/>
      <c r="AP124" s="258"/>
      <c r="AQ124" s="259"/>
      <c r="AR124" s="258"/>
      <c r="AS124" s="259"/>
      <c r="AT124" s="259"/>
      <c r="AU124" s="258"/>
      <c r="AV124" s="259"/>
      <c r="AW124" s="258"/>
      <c r="AX124" s="259"/>
      <c r="AY124" s="258"/>
      <c r="AZ124" s="259"/>
      <c r="BA124" s="258"/>
      <c r="BB124" s="259"/>
      <c r="BC124" s="258"/>
      <c r="BD124" s="259"/>
      <c r="BE124" s="258"/>
      <c r="BF124" s="259"/>
      <c r="BG124" s="258"/>
      <c r="BH124" s="259"/>
      <c r="BI124" s="258">
        <f t="shared" si="10"/>
        <v>0</v>
      </c>
      <c r="BJ124" s="262"/>
      <c r="BK124" s="263"/>
      <c r="BL124" s="263"/>
      <c r="BM124" s="264"/>
    </row>
    <row r="125" spans="1:65" s="276" customFormat="1" ht="18" x14ac:dyDescent="0.25">
      <c r="A125" s="240" t="s">
        <v>347</v>
      </c>
      <c r="B125" s="277" t="s">
        <v>885</v>
      </c>
      <c r="C125" s="262"/>
      <c r="D125" s="275">
        <f>SUM(GenFundExp2!I493:I495)</f>
        <v>0</v>
      </c>
      <c r="E125" s="259"/>
      <c r="F125" s="275">
        <f>SUM(CharterFundExp2!I493:I495)</f>
        <v>0</v>
      </c>
      <c r="G125" s="259"/>
      <c r="H125" s="258"/>
      <c r="I125" s="259"/>
      <c r="J125" s="258"/>
      <c r="K125" s="259"/>
      <c r="L125" s="275"/>
      <c r="M125" s="259"/>
      <c r="N125" s="258">
        <f>+FoodServiceSRF!I41+FoodServiceSRF!I43+FoodServiceSRF!I42+FoodServiceSRF!I44</f>
        <v>0</v>
      </c>
      <c r="O125" s="259"/>
      <c r="P125" s="258"/>
      <c r="Q125" s="259"/>
      <c r="R125" s="258"/>
      <c r="S125" s="259"/>
      <c r="T125" s="258"/>
      <c r="U125" s="259"/>
      <c r="V125" s="258"/>
      <c r="W125" s="259"/>
      <c r="X125" s="258"/>
      <c r="Y125" s="259"/>
      <c r="Z125" s="259"/>
      <c r="AA125" s="258"/>
      <c r="AB125" s="259"/>
      <c r="AC125" s="258"/>
      <c r="AD125" s="259"/>
      <c r="AE125" s="259"/>
      <c r="AF125" s="258"/>
      <c r="AG125" s="259"/>
      <c r="AH125" s="258"/>
      <c r="AI125" s="259"/>
      <c r="AJ125" s="258"/>
      <c r="AK125" s="259"/>
      <c r="AL125" s="258"/>
      <c r="AM125" s="259"/>
      <c r="AN125" s="258"/>
      <c r="AO125" s="259"/>
      <c r="AP125" s="258"/>
      <c r="AQ125" s="259"/>
      <c r="AR125" s="258"/>
      <c r="AS125" s="259"/>
      <c r="AT125" s="259"/>
      <c r="AU125" s="258"/>
      <c r="AV125" s="259"/>
      <c r="AW125" s="258"/>
      <c r="AX125" s="259"/>
      <c r="AY125" s="258"/>
      <c r="AZ125" s="259"/>
      <c r="BA125" s="258"/>
      <c r="BB125" s="259"/>
      <c r="BC125" s="258"/>
      <c r="BD125" s="259"/>
      <c r="BE125" s="258"/>
      <c r="BF125" s="259"/>
      <c r="BG125" s="258"/>
      <c r="BH125" s="259"/>
      <c r="BI125" s="258">
        <f t="shared" si="10"/>
        <v>0</v>
      </c>
      <c r="BJ125" s="262"/>
      <c r="BK125" s="263"/>
      <c r="BL125" s="263"/>
      <c r="BM125" s="264"/>
    </row>
    <row r="126" spans="1:65" s="276" customFormat="1" ht="18" x14ac:dyDescent="0.25">
      <c r="A126" s="240" t="s">
        <v>348</v>
      </c>
      <c r="B126" s="277" t="s">
        <v>886</v>
      </c>
      <c r="C126" s="262"/>
      <c r="D126" s="275">
        <f>SUM(GenFundExp2!I496:I498)</f>
        <v>0</v>
      </c>
      <c r="E126" s="259"/>
      <c r="F126" s="275">
        <f>SUM(CharterFundExp2!I496:I498)</f>
        <v>0</v>
      </c>
      <c r="G126" s="259"/>
      <c r="H126" s="258"/>
      <c r="I126" s="259"/>
      <c r="J126" s="258"/>
      <c r="K126" s="259"/>
      <c r="L126" s="275"/>
      <c r="M126" s="259"/>
      <c r="N126" s="258">
        <f>+FoodServiceSRF!I45</f>
        <v>0</v>
      </c>
      <c r="O126" s="259"/>
      <c r="P126" s="258"/>
      <c r="Q126" s="259"/>
      <c r="R126" s="258"/>
      <c r="S126" s="259"/>
      <c r="T126" s="258"/>
      <c r="U126" s="259"/>
      <c r="V126" s="258"/>
      <c r="W126" s="259"/>
      <c r="X126" s="258"/>
      <c r="Y126" s="259"/>
      <c r="Z126" s="259"/>
      <c r="AA126" s="258"/>
      <c r="AB126" s="259"/>
      <c r="AC126" s="258"/>
      <c r="AD126" s="259"/>
      <c r="AE126" s="259"/>
      <c r="AF126" s="258"/>
      <c r="AG126" s="259"/>
      <c r="AH126" s="258"/>
      <c r="AI126" s="259"/>
      <c r="AJ126" s="258"/>
      <c r="AK126" s="259"/>
      <c r="AL126" s="258"/>
      <c r="AM126" s="259"/>
      <c r="AN126" s="258"/>
      <c r="AO126" s="259"/>
      <c r="AP126" s="258"/>
      <c r="AQ126" s="259"/>
      <c r="AR126" s="258"/>
      <c r="AS126" s="259"/>
      <c r="AT126" s="259"/>
      <c r="AU126" s="258"/>
      <c r="AV126" s="259"/>
      <c r="AW126" s="258"/>
      <c r="AX126" s="259"/>
      <c r="AY126" s="258"/>
      <c r="AZ126" s="259"/>
      <c r="BA126" s="258"/>
      <c r="BB126" s="259"/>
      <c r="BC126" s="258"/>
      <c r="BD126" s="259"/>
      <c r="BE126" s="258"/>
      <c r="BF126" s="259"/>
      <c r="BG126" s="258"/>
      <c r="BH126" s="259"/>
      <c r="BI126" s="258">
        <f t="shared" si="10"/>
        <v>0</v>
      </c>
      <c r="BJ126" s="262"/>
      <c r="BK126" s="263"/>
      <c r="BL126" s="263"/>
      <c r="BM126" s="264"/>
    </row>
    <row r="127" spans="1:65" s="276" customFormat="1" ht="18.75" thickBot="1" x14ac:dyDescent="0.3">
      <c r="A127" s="240" t="s">
        <v>349</v>
      </c>
      <c r="B127" s="277" t="s">
        <v>350</v>
      </c>
      <c r="C127" s="262"/>
      <c r="D127" s="275">
        <f>SUM(GenFundExp2!I499:I504)</f>
        <v>0</v>
      </c>
      <c r="E127" s="259"/>
      <c r="F127" s="275">
        <f>SUM(CharterFundExp2!I499:I504)</f>
        <v>0</v>
      </c>
      <c r="G127" s="259"/>
      <c r="H127" s="258"/>
      <c r="I127" s="259"/>
      <c r="J127" s="258"/>
      <c r="K127" s="259"/>
      <c r="L127" s="275"/>
      <c r="M127" s="259"/>
      <c r="N127" s="258">
        <f>+FoodServiceSRF!I46+FoodServiceSRF!I48</f>
        <v>0</v>
      </c>
      <c r="O127" s="259"/>
      <c r="P127" s="258"/>
      <c r="Q127" s="259"/>
      <c r="R127" s="258"/>
      <c r="S127" s="259"/>
      <c r="T127" s="258"/>
      <c r="U127" s="259"/>
      <c r="V127" s="258"/>
      <c r="W127" s="259"/>
      <c r="X127" s="258"/>
      <c r="Y127" s="259"/>
      <c r="Z127" s="259"/>
      <c r="AA127" s="258"/>
      <c r="AB127" s="259"/>
      <c r="AC127" s="258"/>
      <c r="AD127" s="259"/>
      <c r="AE127" s="259"/>
      <c r="AF127" s="258"/>
      <c r="AG127" s="259"/>
      <c r="AH127" s="258"/>
      <c r="AI127" s="259"/>
      <c r="AJ127" s="258"/>
      <c r="AK127" s="259"/>
      <c r="AL127" s="258"/>
      <c r="AM127" s="259"/>
      <c r="AN127" s="258"/>
      <c r="AO127" s="259"/>
      <c r="AP127" s="258"/>
      <c r="AQ127" s="259"/>
      <c r="AR127" s="258"/>
      <c r="AS127" s="259"/>
      <c r="AT127" s="259"/>
      <c r="AU127" s="258"/>
      <c r="AV127" s="259"/>
      <c r="AW127" s="258"/>
      <c r="AX127" s="259"/>
      <c r="AY127" s="258"/>
      <c r="AZ127" s="259"/>
      <c r="BA127" s="258"/>
      <c r="BB127" s="259"/>
      <c r="BC127" s="258"/>
      <c r="BD127" s="259"/>
      <c r="BE127" s="258"/>
      <c r="BF127" s="259"/>
      <c r="BG127" s="258"/>
      <c r="BH127" s="259"/>
      <c r="BI127" s="258">
        <f t="shared" si="10"/>
        <v>0</v>
      </c>
      <c r="BJ127" s="262"/>
      <c r="BK127" s="263"/>
      <c r="BL127" s="263"/>
      <c r="BM127" s="264"/>
    </row>
    <row r="128" spans="1:65" s="276" customFormat="1" ht="18.75" thickBot="1" x14ac:dyDescent="0.3">
      <c r="A128" s="265" t="s">
        <v>249</v>
      </c>
      <c r="B128" s="273"/>
      <c r="C128" s="269"/>
      <c r="D128" s="268">
        <f>SUM(D122:D127)</f>
        <v>0</v>
      </c>
      <c r="E128" s="269"/>
      <c r="F128" s="268">
        <f>SUM(F122:F127)</f>
        <v>0</v>
      </c>
      <c r="G128" s="269"/>
      <c r="H128" s="268">
        <f>SUM(H122:H127)</f>
        <v>0</v>
      </c>
      <c r="I128" s="269"/>
      <c r="J128" s="268">
        <f>SUM(J122:J127)</f>
        <v>0</v>
      </c>
      <c r="K128" s="269"/>
      <c r="L128" s="268">
        <f>SUM(L122:L127)</f>
        <v>0</v>
      </c>
      <c r="M128" s="269"/>
      <c r="N128" s="268">
        <f>SUM(N122:N127)</f>
        <v>0</v>
      </c>
      <c r="O128" s="269"/>
      <c r="P128" s="268">
        <f>SUM(P122:P127)</f>
        <v>0</v>
      </c>
      <c r="Q128" s="269"/>
      <c r="R128" s="268">
        <f>SUM(R122:R127)</f>
        <v>0</v>
      </c>
      <c r="S128" s="269"/>
      <c r="T128" s="268">
        <f>SUM(T122:T127)</f>
        <v>0</v>
      </c>
      <c r="U128" s="269"/>
      <c r="V128" s="268">
        <f>SUM(V122:V127)</f>
        <v>0</v>
      </c>
      <c r="W128" s="269"/>
      <c r="X128" s="268">
        <f>SUM(X122:X127)</f>
        <v>0</v>
      </c>
      <c r="Y128" s="269"/>
      <c r="Z128" s="269"/>
      <c r="AA128" s="268">
        <f>SUM(AA122:AA127)</f>
        <v>0</v>
      </c>
      <c r="AB128" s="269"/>
      <c r="AC128" s="268">
        <f>SUM(AC122:AC127)</f>
        <v>0</v>
      </c>
      <c r="AD128" s="269"/>
      <c r="AE128" s="269"/>
      <c r="AF128" s="268">
        <f>SUM(AF122:AF127)</f>
        <v>0</v>
      </c>
      <c r="AG128" s="269"/>
      <c r="AH128" s="268">
        <f>SUM(AH122:AH127)</f>
        <v>0</v>
      </c>
      <c r="AI128" s="269"/>
      <c r="AJ128" s="268">
        <f>SUM(AJ122:AJ127)</f>
        <v>0</v>
      </c>
      <c r="AK128" s="269"/>
      <c r="AL128" s="268">
        <f>SUM(AL122:AL127)</f>
        <v>0</v>
      </c>
      <c r="AM128" s="269"/>
      <c r="AN128" s="268">
        <f>SUM(AN122:AN127)</f>
        <v>0</v>
      </c>
      <c r="AO128" s="269"/>
      <c r="AP128" s="268">
        <f>SUM(AP122:AP127)</f>
        <v>0</v>
      </c>
      <c r="AQ128" s="269"/>
      <c r="AR128" s="268">
        <f>SUM(AR122:AR127)</f>
        <v>0</v>
      </c>
      <c r="AS128" s="269"/>
      <c r="AT128" s="269"/>
      <c r="AU128" s="268">
        <f>SUM(AU122:AU127)</f>
        <v>0</v>
      </c>
      <c r="AV128" s="269"/>
      <c r="AW128" s="268">
        <f>SUM(AW122:AW127)</f>
        <v>0</v>
      </c>
      <c r="AX128" s="269"/>
      <c r="AY128" s="268">
        <f>SUM(AY122:AY127)</f>
        <v>0</v>
      </c>
      <c r="AZ128" s="269"/>
      <c r="BA128" s="268">
        <f>SUM(BA122:BA127)</f>
        <v>0</v>
      </c>
      <c r="BB128" s="269"/>
      <c r="BC128" s="268">
        <f>SUM(BC122:BC127)</f>
        <v>0</v>
      </c>
      <c r="BD128" s="269"/>
      <c r="BE128" s="268">
        <f>SUM(BE122:BE127)</f>
        <v>0</v>
      </c>
      <c r="BF128" s="269"/>
      <c r="BG128" s="268">
        <f>SUM(BG122:BG127)</f>
        <v>0</v>
      </c>
      <c r="BH128" s="269"/>
      <c r="BI128" s="268">
        <f>D128+F128+H128+J128+X128+N128+P128+R128+L128+T128+V128+AC128+AF128+AH128+AJ128+AL128+AN128+AP128+AR128+AU128+AW128+AY128+BA128+BC128+BG128+BE128+AA128</f>
        <v>0</v>
      </c>
      <c r="BJ128" s="269"/>
      <c r="BK128" s="270"/>
      <c r="BL128" s="270"/>
      <c r="BM128" s="264"/>
    </row>
    <row r="129" spans="1:65" s="276" customFormat="1" ht="36" x14ac:dyDescent="0.25">
      <c r="A129" s="240" t="s">
        <v>251</v>
      </c>
      <c r="B129" s="256"/>
      <c r="C129" s="262"/>
      <c r="D129" s="258"/>
      <c r="E129" s="259"/>
      <c r="F129" s="258"/>
      <c r="G129" s="259"/>
      <c r="H129" s="258"/>
      <c r="I129" s="259"/>
      <c r="J129" s="258"/>
      <c r="K129" s="259"/>
      <c r="L129" s="275"/>
      <c r="M129" s="259"/>
      <c r="N129" s="258"/>
      <c r="O129" s="259"/>
      <c r="P129" s="258"/>
      <c r="Q129" s="259"/>
      <c r="R129" s="258"/>
      <c r="S129" s="259"/>
      <c r="T129" s="258"/>
      <c r="U129" s="259"/>
      <c r="V129" s="258"/>
      <c r="W129" s="259"/>
      <c r="X129" s="258"/>
      <c r="Y129" s="259"/>
      <c r="Z129" s="259"/>
      <c r="AA129" s="258"/>
      <c r="AB129" s="259"/>
      <c r="AC129" s="258"/>
      <c r="AD129" s="259"/>
      <c r="AE129" s="259"/>
      <c r="AF129" s="258"/>
      <c r="AG129" s="259"/>
      <c r="AH129" s="258"/>
      <c r="AI129" s="259"/>
      <c r="AJ129" s="258"/>
      <c r="AK129" s="259"/>
      <c r="AL129" s="258"/>
      <c r="AM129" s="259"/>
      <c r="AN129" s="258"/>
      <c r="AO129" s="259"/>
      <c r="AP129" s="258"/>
      <c r="AQ129" s="259"/>
      <c r="AR129" s="258"/>
      <c r="AS129" s="259"/>
      <c r="AT129" s="259"/>
      <c r="AU129" s="258"/>
      <c r="AV129" s="259"/>
      <c r="AW129" s="258"/>
      <c r="AX129" s="259"/>
      <c r="AY129" s="258"/>
      <c r="AZ129" s="259"/>
      <c r="BA129" s="258"/>
      <c r="BB129" s="259"/>
      <c r="BC129" s="258"/>
      <c r="BD129" s="259"/>
      <c r="BE129" s="258"/>
      <c r="BF129" s="259"/>
      <c r="BG129" s="258"/>
      <c r="BH129" s="259"/>
      <c r="BI129" s="264"/>
      <c r="BJ129" s="262"/>
      <c r="BK129" s="263"/>
      <c r="BL129" s="263"/>
      <c r="BM129" s="264"/>
    </row>
    <row r="130" spans="1:65" s="276" customFormat="1" ht="18" x14ac:dyDescent="0.25">
      <c r="A130" s="240" t="s">
        <v>332</v>
      </c>
      <c r="B130" s="277" t="s">
        <v>880</v>
      </c>
      <c r="C130" s="262"/>
      <c r="D130" s="275">
        <f>SUM(GenFundExp2!I508+GenFundExp2!I509+GenFundExp2!I531+GenFundExp2!I532)</f>
        <v>0</v>
      </c>
      <c r="E130" s="259"/>
      <c r="F130" s="275">
        <f>SUM(CharterFundExp2!I508+CharterFundExp2!I509+CharterFundExp2!I531+CharterFundExp2!I532)</f>
        <v>0</v>
      </c>
      <c r="G130" s="259"/>
      <c r="H130" s="258"/>
      <c r="I130" s="259"/>
      <c r="J130" s="258"/>
      <c r="K130" s="259"/>
      <c r="L130" s="275"/>
      <c r="M130" s="259"/>
      <c r="N130" s="258"/>
      <c r="O130" s="259"/>
      <c r="P130" s="258"/>
      <c r="Q130" s="259"/>
      <c r="R130" s="258"/>
      <c r="S130" s="259"/>
      <c r="T130" s="258"/>
      <c r="U130" s="259"/>
      <c r="V130" s="258"/>
      <c r="W130" s="259"/>
      <c r="X130" s="258"/>
      <c r="Y130" s="259"/>
      <c r="Z130" s="259"/>
      <c r="AA130" s="258"/>
      <c r="AB130" s="259"/>
      <c r="AC130" s="258"/>
      <c r="AD130" s="259"/>
      <c r="AE130" s="259"/>
      <c r="AF130" s="258"/>
      <c r="AG130" s="259"/>
      <c r="AH130" s="258"/>
      <c r="AI130" s="259"/>
      <c r="AJ130" s="258"/>
      <c r="AK130" s="259"/>
      <c r="AL130" s="258"/>
      <c r="AM130" s="259"/>
      <c r="AN130" s="258"/>
      <c r="AO130" s="259"/>
      <c r="AP130" s="258"/>
      <c r="AQ130" s="259"/>
      <c r="AR130" s="258"/>
      <c r="AS130" s="259"/>
      <c r="AT130" s="259"/>
      <c r="AU130" s="258"/>
      <c r="AV130" s="259"/>
      <c r="AW130" s="258"/>
      <c r="AX130" s="259"/>
      <c r="AY130" s="258"/>
      <c r="AZ130" s="259"/>
      <c r="BA130" s="258"/>
      <c r="BB130" s="259"/>
      <c r="BC130" s="258"/>
      <c r="BD130" s="259"/>
      <c r="BE130" s="258"/>
      <c r="BF130" s="259"/>
      <c r="BG130" s="258"/>
      <c r="BH130" s="259"/>
      <c r="BI130" s="258">
        <f t="shared" ref="BI130:BI135" si="11">D130+F130+H130+J130+X130+N130+P130+R130+L130+T130+V130+AC130+AF130+AH130+AJ130+AL130+AN130+AP130+AR130+AU130+AW130+AY130+BA130+BC130+BG130+BE130+AA130</f>
        <v>0</v>
      </c>
      <c r="BJ130" s="262"/>
      <c r="BK130" s="263"/>
      <c r="BL130" s="263"/>
      <c r="BM130" s="264"/>
    </row>
    <row r="131" spans="1:65" s="276" customFormat="1" ht="18" x14ac:dyDescent="0.25">
      <c r="A131" s="240" t="s">
        <v>333</v>
      </c>
      <c r="B131" s="277" t="s">
        <v>881</v>
      </c>
      <c r="C131" s="262"/>
      <c r="D131" s="275">
        <f>SUM(GenFundExp2!I510+GenFundExp2!I511+GenFundExp2!I533+GenFundExp2!I534)</f>
        <v>0</v>
      </c>
      <c r="E131" s="259"/>
      <c r="F131" s="275">
        <f>SUM(CharterFundExp2!I510+CharterFundExp2!I511+CharterFundExp2!I533+CharterFundExp2!I534)</f>
        <v>0</v>
      </c>
      <c r="G131" s="259"/>
      <c r="H131" s="258"/>
      <c r="I131" s="259"/>
      <c r="J131" s="258"/>
      <c r="K131" s="259"/>
      <c r="L131" s="275"/>
      <c r="M131" s="259"/>
      <c r="N131" s="258"/>
      <c r="O131" s="259"/>
      <c r="P131" s="258"/>
      <c r="Q131" s="259"/>
      <c r="R131" s="258"/>
      <c r="S131" s="259"/>
      <c r="T131" s="258"/>
      <c r="U131" s="259"/>
      <c r="V131" s="258"/>
      <c r="W131" s="259"/>
      <c r="X131" s="258"/>
      <c r="Y131" s="259"/>
      <c r="Z131" s="259"/>
      <c r="AA131" s="258"/>
      <c r="AB131" s="259"/>
      <c r="AC131" s="258"/>
      <c r="AD131" s="259"/>
      <c r="AE131" s="259"/>
      <c r="AF131" s="258"/>
      <c r="AG131" s="259"/>
      <c r="AH131" s="258"/>
      <c r="AI131" s="259"/>
      <c r="AJ131" s="258"/>
      <c r="AK131" s="259"/>
      <c r="AL131" s="258"/>
      <c r="AM131" s="259"/>
      <c r="AN131" s="258"/>
      <c r="AO131" s="259"/>
      <c r="AP131" s="258"/>
      <c r="AQ131" s="259"/>
      <c r="AR131" s="258"/>
      <c r="AS131" s="259"/>
      <c r="AT131" s="259"/>
      <c r="AU131" s="258"/>
      <c r="AV131" s="259"/>
      <c r="AW131" s="258"/>
      <c r="AX131" s="259"/>
      <c r="AY131" s="258"/>
      <c r="AZ131" s="259"/>
      <c r="BA131" s="258"/>
      <c r="BB131" s="259"/>
      <c r="BC131" s="258"/>
      <c r="BD131" s="259"/>
      <c r="BE131" s="258"/>
      <c r="BF131" s="259"/>
      <c r="BG131" s="258"/>
      <c r="BH131" s="259"/>
      <c r="BI131" s="258">
        <f t="shared" si="11"/>
        <v>0</v>
      </c>
      <c r="BJ131" s="262"/>
      <c r="BK131" s="263"/>
      <c r="BL131" s="263"/>
      <c r="BM131" s="264"/>
    </row>
    <row r="132" spans="1:65" s="276" customFormat="1" ht="36" x14ac:dyDescent="0.25">
      <c r="A132" s="240" t="s">
        <v>334</v>
      </c>
      <c r="B132" s="277" t="s">
        <v>246</v>
      </c>
      <c r="C132" s="262"/>
      <c r="D132" s="258">
        <f>SUM(GenFundExp2!I512+GenFundExp2!I513+GenFundExp2!I514+GenFundExp2!I515+GenFundExp2!I516+GenFundExp2!I518+GenFundExp2!I535+GenFundExp2!I536+GenFundExp2!I537+GenFundExp2!I538+GenFundExp2!I539+GenFundExp2!I541+GenFundExp2!I517+GenFundExp2!I540)</f>
        <v>0</v>
      </c>
      <c r="E132" s="259"/>
      <c r="F132" s="258">
        <f>SUM(CharterFundExp2!I512+CharterFundExp2!I513+CharterFundExp2!I514+CharterFundExp2!I515+CharterFundExp2!I516+CharterFundExp2!I517+CharterFundExp2!I518+CharterFundExp2!I535+CharterFundExp2!I536+CharterFundExp2!I537+CharterFundExp2!I538+CharterFundExp2!I539+CharterFundExp2!I540+CharterFundExp2!I541)</f>
        <v>0</v>
      </c>
      <c r="G132" s="259"/>
      <c r="H132" s="258"/>
      <c r="I132" s="259"/>
      <c r="J132" s="258"/>
      <c r="K132" s="259"/>
      <c r="L132" s="275"/>
      <c r="M132" s="259"/>
      <c r="N132" s="258"/>
      <c r="O132" s="259"/>
      <c r="P132" s="258"/>
      <c r="Q132" s="259"/>
      <c r="R132" s="258"/>
      <c r="S132" s="259"/>
      <c r="T132" s="258"/>
      <c r="U132" s="259"/>
      <c r="V132" s="258"/>
      <c r="W132" s="259"/>
      <c r="X132" s="258"/>
      <c r="Y132" s="259"/>
      <c r="Z132" s="259"/>
      <c r="AA132" s="258"/>
      <c r="AB132" s="259"/>
      <c r="AC132" s="258"/>
      <c r="AD132" s="259"/>
      <c r="AE132" s="259"/>
      <c r="AF132" s="258"/>
      <c r="AG132" s="259"/>
      <c r="AH132" s="258"/>
      <c r="AI132" s="259"/>
      <c r="AJ132" s="258"/>
      <c r="AK132" s="259"/>
      <c r="AL132" s="258"/>
      <c r="AM132" s="259"/>
      <c r="AN132" s="258"/>
      <c r="AO132" s="259"/>
      <c r="AP132" s="258"/>
      <c r="AQ132" s="259"/>
      <c r="AR132" s="258"/>
      <c r="AS132" s="259"/>
      <c r="AT132" s="259"/>
      <c r="AU132" s="258"/>
      <c r="AV132" s="259"/>
      <c r="AW132" s="258"/>
      <c r="AX132" s="259"/>
      <c r="AY132" s="258"/>
      <c r="AZ132" s="259"/>
      <c r="BA132" s="258"/>
      <c r="BB132" s="259"/>
      <c r="BC132" s="258"/>
      <c r="BD132" s="259"/>
      <c r="BE132" s="258"/>
      <c r="BF132" s="259"/>
      <c r="BG132" s="258"/>
      <c r="BH132" s="259"/>
      <c r="BI132" s="258">
        <f t="shared" si="11"/>
        <v>0</v>
      </c>
      <c r="BJ132" s="262"/>
      <c r="BK132" s="263"/>
      <c r="BL132" s="263"/>
      <c r="BM132" s="264"/>
    </row>
    <row r="133" spans="1:65" s="276" customFormat="1" ht="18" x14ac:dyDescent="0.25">
      <c r="A133" s="240" t="s">
        <v>347</v>
      </c>
      <c r="B133" s="277" t="s">
        <v>885</v>
      </c>
      <c r="C133" s="262"/>
      <c r="D133" s="258">
        <f>SUM(GenFundExp2!I519+GenFundExp2!I520+GenFundExp2!I542+GenFundExp2!I543)</f>
        <v>0</v>
      </c>
      <c r="E133" s="259"/>
      <c r="F133" s="258">
        <f>SUM(CharterFundExp2!I519+CharterFundExp2!I520+CharterFundExp2!I542+CharterFundExp2!I543)</f>
        <v>0</v>
      </c>
      <c r="G133" s="259"/>
      <c r="H133" s="258"/>
      <c r="I133" s="259"/>
      <c r="J133" s="258"/>
      <c r="K133" s="259"/>
      <c r="L133" s="275"/>
      <c r="M133" s="259"/>
      <c r="N133" s="258"/>
      <c r="O133" s="259"/>
      <c r="P133" s="258"/>
      <c r="Q133" s="259"/>
      <c r="R133" s="258"/>
      <c r="S133" s="259"/>
      <c r="T133" s="258"/>
      <c r="U133" s="259"/>
      <c r="V133" s="258"/>
      <c r="W133" s="259"/>
      <c r="X133" s="258"/>
      <c r="Y133" s="259"/>
      <c r="Z133" s="259"/>
      <c r="AA133" s="258"/>
      <c r="AB133" s="259"/>
      <c r="AC133" s="258"/>
      <c r="AD133" s="259"/>
      <c r="AE133" s="259"/>
      <c r="AF133" s="258"/>
      <c r="AG133" s="259"/>
      <c r="AH133" s="258"/>
      <c r="AI133" s="259"/>
      <c r="AJ133" s="258"/>
      <c r="AK133" s="259"/>
      <c r="AL133" s="258"/>
      <c r="AM133" s="259"/>
      <c r="AN133" s="258"/>
      <c r="AO133" s="259"/>
      <c r="AP133" s="258"/>
      <c r="AQ133" s="259"/>
      <c r="AR133" s="258"/>
      <c r="AS133" s="259"/>
      <c r="AT133" s="259"/>
      <c r="AU133" s="258"/>
      <c r="AV133" s="259"/>
      <c r="AW133" s="258"/>
      <c r="AX133" s="259"/>
      <c r="AY133" s="258"/>
      <c r="AZ133" s="259"/>
      <c r="BA133" s="258"/>
      <c r="BB133" s="259"/>
      <c r="BC133" s="258"/>
      <c r="BD133" s="259"/>
      <c r="BE133" s="258"/>
      <c r="BF133" s="259"/>
      <c r="BG133" s="258"/>
      <c r="BH133" s="259"/>
      <c r="BI133" s="258">
        <f t="shared" si="11"/>
        <v>0</v>
      </c>
      <c r="BJ133" s="262"/>
      <c r="BK133" s="263"/>
      <c r="BL133" s="263"/>
      <c r="BM133" s="264"/>
    </row>
    <row r="134" spans="1:65" s="276" customFormat="1" ht="18" x14ac:dyDescent="0.25">
      <c r="A134" s="240" t="s">
        <v>348</v>
      </c>
      <c r="B134" s="277" t="s">
        <v>886</v>
      </c>
      <c r="C134" s="262"/>
      <c r="D134" s="258">
        <f>SUM(GenFundExp2!I521+GenFundExp2!I522+GenFundExp2!I523+GenFundExp2!I544+GenFundExp2!I545+GenFundExp2!I546)</f>
        <v>0</v>
      </c>
      <c r="E134" s="259"/>
      <c r="F134" s="258">
        <f>SUM(CharterFundExp2!I521+CharterFundExp2!I522+CharterFundExp2!I523+CharterFundExp2!I544+CharterFundExp2!I545+CharterFundExp2!I546)</f>
        <v>0</v>
      </c>
      <c r="G134" s="259"/>
      <c r="H134" s="258"/>
      <c r="I134" s="259"/>
      <c r="J134" s="258"/>
      <c r="K134" s="259"/>
      <c r="L134" s="275"/>
      <c r="M134" s="259"/>
      <c r="N134" s="258"/>
      <c r="O134" s="259"/>
      <c r="P134" s="258"/>
      <c r="Q134" s="259"/>
      <c r="R134" s="258"/>
      <c r="S134" s="259"/>
      <c r="T134" s="258"/>
      <c r="U134" s="259"/>
      <c r="V134" s="258"/>
      <c r="W134" s="259"/>
      <c r="X134" s="258"/>
      <c r="Y134" s="259"/>
      <c r="Z134" s="259"/>
      <c r="AA134" s="258"/>
      <c r="AB134" s="259"/>
      <c r="AC134" s="258"/>
      <c r="AD134" s="259"/>
      <c r="AE134" s="259"/>
      <c r="AF134" s="258"/>
      <c r="AG134" s="259"/>
      <c r="AH134" s="258"/>
      <c r="AI134" s="259"/>
      <c r="AJ134" s="258"/>
      <c r="AK134" s="259"/>
      <c r="AL134" s="258"/>
      <c r="AM134" s="259"/>
      <c r="AN134" s="258"/>
      <c r="AO134" s="259"/>
      <c r="AP134" s="258"/>
      <c r="AQ134" s="259"/>
      <c r="AR134" s="258"/>
      <c r="AS134" s="259"/>
      <c r="AT134" s="259"/>
      <c r="AU134" s="258"/>
      <c r="AV134" s="259"/>
      <c r="AW134" s="258"/>
      <c r="AX134" s="259"/>
      <c r="AY134" s="258"/>
      <c r="AZ134" s="259"/>
      <c r="BA134" s="258"/>
      <c r="BB134" s="259"/>
      <c r="BC134" s="258"/>
      <c r="BD134" s="259"/>
      <c r="BE134" s="258"/>
      <c r="BF134" s="259"/>
      <c r="BG134" s="258"/>
      <c r="BH134" s="259"/>
      <c r="BI134" s="258">
        <f t="shared" si="11"/>
        <v>0</v>
      </c>
      <c r="BJ134" s="262"/>
      <c r="BK134" s="263"/>
      <c r="BL134" s="263"/>
      <c r="BM134" s="264"/>
    </row>
    <row r="135" spans="1:65" s="276" customFormat="1" ht="18.75" thickBot="1" x14ac:dyDescent="0.3">
      <c r="A135" s="240" t="s">
        <v>349</v>
      </c>
      <c r="B135" s="277" t="s">
        <v>350</v>
      </c>
      <c r="C135" s="262"/>
      <c r="D135" s="258">
        <f>SUM(GenFundExp2!I524+GenFundExp2!I525+GenFundExp2!I526+GenFundExp2!I527+GenFundExp2!I547+GenFundExp2!I548+GenFundExp2!I549+GenFundExp2!I550)</f>
        <v>0</v>
      </c>
      <c r="E135" s="259"/>
      <c r="F135" s="258">
        <f>SUM(CharterFundExp2!I524+CharterFundExp2!I525+CharterFundExp2!I526+CharterFundExp2!I527+CharterFundExp2!I547+CharterFundExp2!I548+CharterFundExp2!I549+CharterFundExp2!I550)</f>
        <v>0</v>
      </c>
      <c r="G135" s="259"/>
      <c r="H135" s="258"/>
      <c r="I135" s="259"/>
      <c r="J135" s="258"/>
      <c r="K135" s="259"/>
      <c r="L135" s="275"/>
      <c r="M135" s="259"/>
      <c r="N135" s="258"/>
      <c r="O135" s="259"/>
      <c r="P135" s="258"/>
      <c r="Q135" s="259"/>
      <c r="R135" s="258"/>
      <c r="S135" s="259"/>
      <c r="T135" s="258"/>
      <c r="U135" s="259"/>
      <c r="V135" s="258"/>
      <c r="W135" s="259"/>
      <c r="X135" s="258"/>
      <c r="Y135" s="259"/>
      <c r="Z135" s="259"/>
      <c r="AA135" s="258"/>
      <c r="AB135" s="259"/>
      <c r="AC135" s="258"/>
      <c r="AD135" s="259"/>
      <c r="AE135" s="259"/>
      <c r="AF135" s="258"/>
      <c r="AG135" s="259"/>
      <c r="AH135" s="258"/>
      <c r="AI135" s="259"/>
      <c r="AJ135" s="258"/>
      <c r="AK135" s="259"/>
      <c r="AL135" s="258"/>
      <c r="AM135" s="259"/>
      <c r="AN135" s="258"/>
      <c r="AO135" s="259"/>
      <c r="AP135" s="258"/>
      <c r="AQ135" s="259"/>
      <c r="AR135" s="258"/>
      <c r="AS135" s="259"/>
      <c r="AT135" s="259"/>
      <c r="AU135" s="258"/>
      <c r="AV135" s="259"/>
      <c r="AW135" s="258"/>
      <c r="AX135" s="259"/>
      <c r="AY135" s="258"/>
      <c r="AZ135" s="259"/>
      <c r="BA135" s="258"/>
      <c r="BB135" s="259"/>
      <c r="BC135" s="258"/>
      <c r="BD135" s="259"/>
      <c r="BE135" s="258"/>
      <c r="BF135" s="259"/>
      <c r="BG135" s="258"/>
      <c r="BH135" s="259"/>
      <c r="BI135" s="258">
        <f t="shared" si="11"/>
        <v>0</v>
      </c>
      <c r="BJ135" s="262"/>
      <c r="BK135" s="263"/>
      <c r="BL135" s="263"/>
      <c r="BM135" s="264"/>
    </row>
    <row r="136" spans="1:65" s="276" customFormat="1" ht="36.75" thickBot="1" x14ac:dyDescent="0.3">
      <c r="A136" s="265" t="s">
        <v>252</v>
      </c>
      <c r="B136" s="273"/>
      <c r="C136" s="269"/>
      <c r="D136" s="268">
        <f>SUM(D130:D135)</f>
        <v>0</v>
      </c>
      <c r="E136" s="269"/>
      <c r="F136" s="268">
        <f>SUM(F130:F135)</f>
        <v>0</v>
      </c>
      <c r="G136" s="269"/>
      <c r="H136" s="268">
        <f>SUM(H130:H135)</f>
        <v>0</v>
      </c>
      <c r="I136" s="269"/>
      <c r="J136" s="268">
        <f>SUM(J130:J135)</f>
        <v>0</v>
      </c>
      <c r="K136" s="269"/>
      <c r="L136" s="268">
        <f>SUM(L130:L135)</f>
        <v>0</v>
      </c>
      <c r="M136" s="269"/>
      <c r="N136" s="268">
        <f>SUM(N130:N135)</f>
        <v>0</v>
      </c>
      <c r="O136" s="269"/>
      <c r="P136" s="268">
        <f>SUM(P130:P135)</f>
        <v>0</v>
      </c>
      <c r="Q136" s="269"/>
      <c r="R136" s="268">
        <f>SUM(R130:R135)</f>
        <v>0</v>
      </c>
      <c r="S136" s="269"/>
      <c r="T136" s="268">
        <f>SUM(T130:T135)</f>
        <v>0</v>
      </c>
      <c r="U136" s="269"/>
      <c r="V136" s="268">
        <f>SUM(V130:V135)</f>
        <v>0</v>
      </c>
      <c r="W136" s="269"/>
      <c r="X136" s="268">
        <f>SUM(X130:X135)</f>
        <v>0</v>
      </c>
      <c r="Y136" s="269"/>
      <c r="Z136" s="269"/>
      <c r="AA136" s="268">
        <f>SUM(AA130:AA135)</f>
        <v>0</v>
      </c>
      <c r="AB136" s="269"/>
      <c r="AC136" s="268">
        <f>SUM(AC130:AC135)</f>
        <v>0</v>
      </c>
      <c r="AD136" s="269"/>
      <c r="AE136" s="269"/>
      <c r="AF136" s="268">
        <f>SUM(AF130:AF135)</f>
        <v>0</v>
      </c>
      <c r="AG136" s="269"/>
      <c r="AH136" s="268">
        <f>SUM(AH130:AH135)</f>
        <v>0</v>
      </c>
      <c r="AI136" s="269"/>
      <c r="AJ136" s="268">
        <f>SUM(AJ130:AJ135)</f>
        <v>0</v>
      </c>
      <c r="AK136" s="269"/>
      <c r="AL136" s="268">
        <f>SUM(AL130:AL135)</f>
        <v>0</v>
      </c>
      <c r="AM136" s="269"/>
      <c r="AN136" s="268">
        <f>SUM(AN130:AN135)</f>
        <v>0</v>
      </c>
      <c r="AO136" s="269"/>
      <c r="AP136" s="268">
        <f>SUM(AP130:AP135)</f>
        <v>0</v>
      </c>
      <c r="AQ136" s="269"/>
      <c r="AR136" s="268">
        <f>SUM(AR130:AR135)</f>
        <v>0</v>
      </c>
      <c r="AS136" s="269"/>
      <c r="AT136" s="269"/>
      <c r="AU136" s="268">
        <f>SUM(AU130:AU135)</f>
        <v>0</v>
      </c>
      <c r="AV136" s="269"/>
      <c r="AW136" s="268">
        <f>SUM(AW130:AW135)</f>
        <v>0</v>
      </c>
      <c r="AX136" s="269"/>
      <c r="AY136" s="268">
        <f>SUM(AY130:AY135)</f>
        <v>0</v>
      </c>
      <c r="AZ136" s="269"/>
      <c r="BA136" s="268">
        <f>SUM(BA130:BA135)</f>
        <v>0</v>
      </c>
      <c r="BB136" s="269"/>
      <c r="BC136" s="268">
        <f>SUM(BC130:BC135)</f>
        <v>0</v>
      </c>
      <c r="BD136" s="269"/>
      <c r="BE136" s="268">
        <f>SUM(BE130:BE135)</f>
        <v>0</v>
      </c>
      <c r="BF136" s="269"/>
      <c r="BG136" s="268">
        <f>SUM(BG130:BG135)</f>
        <v>0</v>
      </c>
      <c r="BH136" s="269"/>
      <c r="BI136" s="268">
        <f>D136+F136+H136+J136+X136+N136+P136+R136+L136+T136+V136+AC136+AF136+AH136+AJ136+AL136+AN136+AP136+AR136+AU136+AW136+AY136+BA136+BC136+BG136+BE136+AA136</f>
        <v>0</v>
      </c>
      <c r="BJ136" s="269"/>
      <c r="BK136" s="270"/>
      <c r="BL136" s="270"/>
      <c r="BM136" s="264"/>
    </row>
    <row r="137" spans="1:65" s="276" customFormat="1" ht="18" x14ac:dyDescent="0.25">
      <c r="A137" s="240"/>
      <c r="B137" s="256"/>
      <c r="C137" s="259"/>
      <c r="D137" s="258"/>
      <c r="E137" s="259"/>
      <c r="F137" s="258"/>
      <c r="G137" s="259"/>
      <c r="H137" s="258"/>
      <c r="I137" s="259"/>
      <c r="J137" s="258"/>
      <c r="K137" s="259"/>
      <c r="L137" s="275"/>
      <c r="M137" s="259"/>
      <c r="N137" s="258"/>
      <c r="O137" s="259"/>
      <c r="P137" s="258"/>
      <c r="Q137" s="259"/>
      <c r="R137" s="258"/>
      <c r="S137" s="259"/>
      <c r="T137" s="258"/>
      <c r="U137" s="259"/>
      <c r="V137" s="258"/>
      <c r="W137" s="259"/>
      <c r="X137" s="258"/>
      <c r="Y137" s="259"/>
      <c r="Z137" s="259"/>
      <c r="AA137" s="258"/>
      <c r="AB137" s="259"/>
      <c r="AC137" s="258"/>
      <c r="AD137" s="259"/>
      <c r="AE137" s="259"/>
      <c r="AF137" s="258"/>
      <c r="AG137" s="259"/>
      <c r="AH137" s="258"/>
      <c r="AI137" s="259"/>
      <c r="AJ137" s="258"/>
      <c r="AK137" s="259"/>
      <c r="AL137" s="258"/>
      <c r="AM137" s="259"/>
      <c r="AN137" s="258"/>
      <c r="AO137" s="259"/>
      <c r="AP137" s="258"/>
      <c r="AQ137" s="259"/>
      <c r="AR137" s="258"/>
      <c r="AS137" s="259"/>
      <c r="AT137" s="259"/>
      <c r="AU137" s="258"/>
      <c r="AV137" s="259"/>
      <c r="AW137" s="258"/>
      <c r="AX137" s="259"/>
      <c r="AY137" s="258"/>
      <c r="AZ137" s="259"/>
      <c r="BA137" s="258"/>
      <c r="BB137" s="259"/>
      <c r="BC137" s="258"/>
      <c r="BD137" s="259"/>
      <c r="BE137" s="258"/>
      <c r="BF137" s="259"/>
      <c r="BG137" s="258"/>
      <c r="BH137" s="259"/>
      <c r="BI137" s="258"/>
      <c r="BJ137" s="259"/>
      <c r="BK137" s="263"/>
      <c r="BL137" s="263"/>
      <c r="BM137" s="264"/>
    </row>
    <row r="138" spans="1:65" s="276" customFormat="1" ht="36" x14ac:dyDescent="0.25">
      <c r="A138" s="240" t="s">
        <v>369</v>
      </c>
      <c r="B138" s="256"/>
      <c r="C138" s="262"/>
      <c r="D138" s="258"/>
      <c r="E138" s="259"/>
      <c r="F138" s="258"/>
      <c r="G138" s="259"/>
      <c r="H138" s="258"/>
      <c r="I138" s="259"/>
      <c r="J138" s="258"/>
      <c r="K138" s="259"/>
      <c r="L138" s="275"/>
      <c r="M138" s="259"/>
      <c r="N138" s="258"/>
      <c r="O138" s="259"/>
      <c r="P138" s="258"/>
      <c r="Q138" s="259"/>
      <c r="R138" s="258"/>
      <c r="S138" s="259"/>
      <c r="T138" s="258"/>
      <c r="U138" s="259"/>
      <c r="V138" s="258"/>
      <c r="W138" s="259"/>
      <c r="X138" s="258"/>
      <c r="Y138" s="259"/>
      <c r="Z138" s="259"/>
      <c r="AA138" s="258"/>
      <c r="AB138" s="259"/>
      <c r="AC138" s="258"/>
      <c r="AD138" s="259"/>
      <c r="AE138" s="259"/>
      <c r="AF138" s="258"/>
      <c r="AG138" s="259"/>
      <c r="AH138" s="258"/>
      <c r="AI138" s="259"/>
      <c r="AJ138" s="258"/>
      <c r="AK138" s="259"/>
      <c r="AL138" s="258"/>
      <c r="AM138" s="259"/>
      <c r="AN138" s="258"/>
      <c r="AO138" s="259"/>
      <c r="AP138" s="258"/>
      <c r="AQ138" s="259"/>
      <c r="AR138" s="258"/>
      <c r="AS138" s="259"/>
      <c r="AT138" s="259"/>
      <c r="AU138" s="258"/>
      <c r="AV138" s="259"/>
      <c r="AW138" s="258"/>
      <c r="AX138" s="259"/>
      <c r="AY138" s="258"/>
      <c r="AZ138" s="259"/>
      <c r="BA138" s="258"/>
      <c r="BB138" s="259"/>
      <c r="BC138" s="258"/>
      <c r="BD138" s="259"/>
      <c r="BE138" s="258"/>
      <c r="BF138" s="259"/>
      <c r="BG138" s="258"/>
      <c r="BH138" s="259"/>
      <c r="BI138" s="264"/>
      <c r="BJ138" s="262"/>
      <c r="BK138" s="263"/>
      <c r="BL138" s="263"/>
      <c r="BM138" s="264"/>
    </row>
    <row r="139" spans="1:65" s="276" customFormat="1" ht="18" x14ac:dyDescent="0.25">
      <c r="A139" s="240" t="s">
        <v>332</v>
      </c>
      <c r="B139" s="277" t="s">
        <v>880</v>
      </c>
      <c r="C139" s="262"/>
      <c r="D139" s="275">
        <f>SUM(GenFundExp2!I554+GenFundExp2!I555)</f>
        <v>0</v>
      </c>
      <c r="E139" s="259"/>
      <c r="F139" s="275">
        <f>SUM(CharterFundExp2!I554+CharterFundExp2!I555)</f>
        <v>0</v>
      </c>
      <c r="G139" s="259"/>
      <c r="H139" s="258"/>
      <c r="I139" s="259"/>
      <c r="J139" s="258"/>
      <c r="K139" s="259"/>
      <c r="L139" s="275"/>
      <c r="M139" s="259"/>
      <c r="N139" s="258"/>
      <c r="O139" s="259"/>
      <c r="P139" s="258"/>
      <c r="Q139" s="259"/>
      <c r="R139" s="258"/>
      <c r="S139" s="259"/>
      <c r="T139" s="258"/>
      <c r="U139" s="259"/>
      <c r="V139" s="258"/>
      <c r="W139" s="259"/>
      <c r="X139" s="258"/>
      <c r="Y139" s="259"/>
      <c r="Z139" s="259"/>
      <c r="AA139" s="258"/>
      <c r="AB139" s="259"/>
      <c r="AC139" s="258"/>
      <c r="AD139" s="259"/>
      <c r="AE139" s="259"/>
      <c r="AF139" s="258"/>
      <c r="AG139" s="259"/>
      <c r="AH139" s="258"/>
      <c r="AI139" s="259"/>
      <c r="AJ139" s="258"/>
      <c r="AK139" s="259"/>
      <c r="AL139" s="258"/>
      <c r="AM139" s="259"/>
      <c r="AN139" s="258"/>
      <c r="AO139" s="259"/>
      <c r="AP139" s="258"/>
      <c r="AQ139" s="259"/>
      <c r="AR139" s="258"/>
      <c r="AS139" s="259"/>
      <c r="AT139" s="259"/>
      <c r="AU139" s="258"/>
      <c r="AV139" s="259"/>
      <c r="AW139" s="258"/>
      <c r="AX139" s="259"/>
      <c r="AY139" s="258"/>
      <c r="AZ139" s="259"/>
      <c r="BA139" s="258"/>
      <c r="BB139" s="259"/>
      <c r="BC139" s="258"/>
      <c r="BD139" s="259"/>
      <c r="BE139" s="258"/>
      <c r="BF139" s="259"/>
      <c r="BG139" s="258"/>
      <c r="BH139" s="259"/>
      <c r="BI139" s="258">
        <f t="shared" ref="BI139:BI144" si="12">D139+F139+H139+J139+X139+N139+P139+R139+L139+T139+V139+AC139+AF139+AH139+AJ139+AL139+AN139+AP139+AR139+AU139+AW139+AY139+BA139+BC139+BG139+BE139+AA139</f>
        <v>0</v>
      </c>
      <c r="BJ139" s="262"/>
      <c r="BK139" s="263"/>
      <c r="BL139" s="263"/>
      <c r="BM139" s="264"/>
    </row>
    <row r="140" spans="1:65" s="276" customFormat="1" ht="18" x14ac:dyDescent="0.25">
      <c r="A140" s="240" t="s">
        <v>333</v>
      </c>
      <c r="B140" s="277" t="s">
        <v>881</v>
      </c>
      <c r="C140" s="262"/>
      <c r="D140" s="275">
        <f>SUM(GenFundExp2!I556+GenFundExp2!I557)</f>
        <v>0</v>
      </c>
      <c r="E140" s="259"/>
      <c r="F140" s="275">
        <f>SUM(CharterFundExp2!I556+CharterFundExp2!I557)</f>
        <v>0</v>
      </c>
      <c r="G140" s="259"/>
      <c r="H140" s="258"/>
      <c r="I140" s="259"/>
      <c r="J140" s="258"/>
      <c r="K140" s="259"/>
      <c r="L140" s="275"/>
      <c r="M140" s="259"/>
      <c r="N140" s="258"/>
      <c r="O140" s="259"/>
      <c r="P140" s="258"/>
      <c r="Q140" s="259"/>
      <c r="R140" s="258"/>
      <c r="S140" s="259"/>
      <c r="T140" s="258"/>
      <c r="U140" s="259"/>
      <c r="V140" s="258"/>
      <c r="W140" s="259"/>
      <c r="X140" s="258"/>
      <c r="Y140" s="259"/>
      <c r="Z140" s="259"/>
      <c r="AA140" s="258"/>
      <c r="AB140" s="259"/>
      <c r="AC140" s="258"/>
      <c r="AD140" s="259"/>
      <c r="AE140" s="259"/>
      <c r="AF140" s="258"/>
      <c r="AG140" s="259"/>
      <c r="AH140" s="258"/>
      <c r="AI140" s="259"/>
      <c r="AJ140" s="258"/>
      <c r="AK140" s="259"/>
      <c r="AL140" s="258"/>
      <c r="AM140" s="259"/>
      <c r="AN140" s="258"/>
      <c r="AO140" s="259"/>
      <c r="AP140" s="258"/>
      <c r="AQ140" s="259"/>
      <c r="AR140" s="258"/>
      <c r="AS140" s="259"/>
      <c r="AT140" s="259"/>
      <c r="AU140" s="258"/>
      <c r="AV140" s="259"/>
      <c r="AW140" s="258"/>
      <c r="AX140" s="259"/>
      <c r="AY140" s="258"/>
      <c r="AZ140" s="259"/>
      <c r="BA140" s="258"/>
      <c r="BB140" s="259"/>
      <c r="BC140" s="258"/>
      <c r="BD140" s="259"/>
      <c r="BE140" s="258"/>
      <c r="BF140" s="259"/>
      <c r="BG140" s="258"/>
      <c r="BH140" s="259"/>
      <c r="BI140" s="258">
        <f t="shared" si="12"/>
        <v>0</v>
      </c>
      <c r="BJ140" s="262"/>
      <c r="BK140" s="263"/>
      <c r="BL140" s="263"/>
      <c r="BM140" s="264"/>
    </row>
    <row r="141" spans="1:65" s="276" customFormat="1" ht="36" x14ac:dyDescent="0.25">
      <c r="A141" s="240" t="s">
        <v>334</v>
      </c>
      <c r="B141" s="277" t="s">
        <v>246</v>
      </c>
      <c r="C141" s="262"/>
      <c r="D141" s="258">
        <f>SUM(GenFundExp2!I558:I569)</f>
        <v>0</v>
      </c>
      <c r="E141" s="259"/>
      <c r="F141" s="258">
        <f>SUM(CharterFundExp2!I558:I569)</f>
        <v>0</v>
      </c>
      <c r="G141" s="259"/>
      <c r="H141" s="258"/>
      <c r="I141" s="259"/>
      <c r="J141" s="258"/>
      <c r="K141" s="259"/>
      <c r="L141" s="275"/>
      <c r="M141" s="259"/>
      <c r="N141" s="258"/>
      <c r="O141" s="259"/>
      <c r="P141" s="258"/>
      <c r="Q141" s="259"/>
      <c r="R141" s="258"/>
      <c r="S141" s="259"/>
      <c r="T141" s="258"/>
      <c r="U141" s="259"/>
      <c r="V141" s="258"/>
      <c r="W141" s="259"/>
      <c r="X141" s="258"/>
      <c r="Y141" s="259"/>
      <c r="Z141" s="259"/>
      <c r="AA141" s="258"/>
      <c r="AB141" s="259"/>
      <c r="AC141" s="258"/>
      <c r="AD141" s="259"/>
      <c r="AE141" s="259"/>
      <c r="AF141" s="258"/>
      <c r="AG141" s="259"/>
      <c r="AH141" s="258"/>
      <c r="AI141" s="259"/>
      <c r="AJ141" s="258"/>
      <c r="AK141" s="259"/>
      <c r="AL141" s="258"/>
      <c r="AM141" s="259"/>
      <c r="AN141" s="258"/>
      <c r="AO141" s="259"/>
      <c r="AP141" s="258"/>
      <c r="AQ141" s="259"/>
      <c r="AR141" s="258"/>
      <c r="AS141" s="259"/>
      <c r="AT141" s="259"/>
      <c r="AU141" s="258"/>
      <c r="AV141" s="259"/>
      <c r="AW141" s="258"/>
      <c r="AX141" s="259"/>
      <c r="AY141" s="258"/>
      <c r="AZ141" s="259"/>
      <c r="BA141" s="258"/>
      <c r="BB141" s="259"/>
      <c r="BC141" s="258"/>
      <c r="BD141" s="259"/>
      <c r="BE141" s="258"/>
      <c r="BF141" s="259"/>
      <c r="BG141" s="258"/>
      <c r="BH141" s="259"/>
      <c r="BI141" s="258">
        <f t="shared" si="12"/>
        <v>0</v>
      </c>
      <c r="BJ141" s="262"/>
      <c r="BK141" s="263"/>
      <c r="BL141" s="263"/>
      <c r="BM141" s="264"/>
    </row>
    <row r="142" spans="1:65" s="276" customFormat="1" ht="18" x14ac:dyDescent="0.25">
      <c r="A142" s="240" t="s">
        <v>347</v>
      </c>
      <c r="B142" s="277" t="s">
        <v>885</v>
      </c>
      <c r="C142" s="262"/>
      <c r="D142" s="258">
        <f>SUM(GenFundExp2!I570:I571)</f>
        <v>0</v>
      </c>
      <c r="E142" s="259"/>
      <c r="F142" s="258">
        <f>SUM(CharterFundExp2!I570:I571)</f>
        <v>0</v>
      </c>
      <c r="G142" s="259"/>
      <c r="H142" s="258"/>
      <c r="I142" s="259"/>
      <c r="J142" s="258"/>
      <c r="K142" s="259"/>
      <c r="L142" s="275"/>
      <c r="M142" s="259"/>
      <c r="N142" s="258"/>
      <c r="O142" s="259"/>
      <c r="P142" s="258"/>
      <c r="Q142" s="259"/>
      <c r="R142" s="258"/>
      <c r="S142" s="259"/>
      <c r="T142" s="258"/>
      <c r="U142" s="259"/>
      <c r="V142" s="258"/>
      <c r="W142" s="259"/>
      <c r="X142" s="258"/>
      <c r="Y142" s="259"/>
      <c r="Z142" s="259"/>
      <c r="AA142" s="258"/>
      <c r="AB142" s="259"/>
      <c r="AC142" s="258"/>
      <c r="AD142" s="259"/>
      <c r="AE142" s="259"/>
      <c r="AF142" s="258"/>
      <c r="AG142" s="259"/>
      <c r="AH142" s="258"/>
      <c r="AI142" s="259"/>
      <c r="AJ142" s="258"/>
      <c r="AK142" s="259"/>
      <c r="AL142" s="258"/>
      <c r="AM142" s="259"/>
      <c r="AN142" s="258"/>
      <c r="AO142" s="259"/>
      <c r="AP142" s="258"/>
      <c r="AQ142" s="259"/>
      <c r="AR142" s="258"/>
      <c r="AS142" s="259"/>
      <c r="AT142" s="259"/>
      <c r="AU142" s="258"/>
      <c r="AV142" s="259"/>
      <c r="AW142" s="258"/>
      <c r="AX142" s="259"/>
      <c r="AY142" s="258"/>
      <c r="AZ142" s="259"/>
      <c r="BA142" s="258"/>
      <c r="BB142" s="259"/>
      <c r="BC142" s="258"/>
      <c r="BD142" s="259"/>
      <c r="BE142" s="258"/>
      <c r="BF142" s="259"/>
      <c r="BG142" s="258"/>
      <c r="BH142" s="259"/>
      <c r="BI142" s="258">
        <f t="shared" si="12"/>
        <v>0</v>
      </c>
      <c r="BJ142" s="262"/>
      <c r="BK142" s="263"/>
      <c r="BL142" s="263"/>
      <c r="BM142" s="264"/>
    </row>
    <row r="143" spans="1:65" s="276" customFormat="1" ht="18" x14ac:dyDescent="0.25">
      <c r="A143" s="240" t="s">
        <v>359</v>
      </c>
      <c r="B143" s="277" t="s">
        <v>886</v>
      </c>
      <c r="C143" s="262"/>
      <c r="D143" s="258">
        <f>SUM(GenFundExp2!I572:I575)</f>
        <v>0</v>
      </c>
      <c r="E143" s="259"/>
      <c r="F143" s="258">
        <f>SUM(CharterFundExp2!I572:I575)</f>
        <v>0</v>
      </c>
      <c r="G143" s="259"/>
      <c r="H143" s="258"/>
      <c r="I143" s="259"/>
      <c r="J143" s="258"/>
      <c r="K143" s="259"/>
      <c r="L143" s="275"/>
      <c r="M143" s="259"/>
      <c r="N143" s="258"/>
      <c r="O143" s="259"/>
      <c r="P143" s="258"/>
      <c r="Q143" s="259"/>
      <c r="R143" s="258"/>
      <c r="S143" s="259"/>
      <c r="T143" s="258"/>
      <c r="U143" s="259"/>
      <c r="V143" s="258"/>
      <c r="W143" s="259"/>
      <c r="X143" s="258"/>
      <c r="Y143" s="259"/>
      <c r="Z143" s="259"/>
      <c r="AA143" s="258"/>
      <c r="AB143" s="259"/>
      <c r="AC143" s="258"/>
      <c r="AD143" s="259"/>
      <c r="AE143" s="259"/>
      <c r="AF143" s="258"/>
      <c r="AG143" s="259"/>
      <c r="AH143" s="258"/>
      <c r="AI143" s="259"/>
      <c r="AJ143" s="258"/>
      <c r="AK143" s="259"/>
      <c r="AL143" s="258"/>
      <c r="AM143" s="259"/>
      <c r="AN143" s="258"/>
      <c r="AO143" s="259"/>
      <c r="AP143" s="258"/>
      <c r="AQ143" s="259"/>
      <c r="AR143" s="258"/>
      <c r="AS143" s="259"/>
      <c r="AT143" s="259"/>
      <c r="AU143" s="258"/>
      <c r="AV143" s="259"/>
      <c r="AW143" s="258"/>
      <c r="AX143" s="259"/>
      <c r="AY143" s="258"/>
      <c r="AZ143" s="259"/>
      <c r="BA143" s="258"/>
      <c r="BB143" s="259"/>
      <c r="BC143" s="258"/>
      <c r="BD143" s="259"/>
      <c r="BE143" s="258"/>
      <c r="BF143" s="259"/>
      <c r="BG143" s="258"/>
      <c r="BH143" s="259"/>
      <c r="BI143" s="258">
        <f t="shared" si="12"/>
        <v>0</v>
      </c>
      <c r="BJ143" s="262"/>
      <c r="BK143" s="263"/>
      <c r="BL143" s="263"/>
      <c r="BM143" s="264"/>
    </row>
    <row r="144" spans="1:65" s="276" customFormat="1" ht="18.75" thickBot="1" x14ac:dyDescent="0.3">
      <c r="A144" s="240" t="s">
        <v>349</v>
      </c>
      <c r="B144" s="277" t="s">
        <v>350</v>
      </c>
      <c r="C144" s="262"/>
      <c r="D144" s="258">
        <f>SUM(GenFundExp2!I576:I581)</f>
        <v>0</v>
      </c>
      <c r="E144" s="259"/>
      <c r="F144" s="258">
        <f>SUM(CharterFundExp2!I576:I581)</f>
        <v>0</v>
      </c>
      <c r="G144" s="259"/>
      <c r="H144" s="258"/>
      <c r="I144" s="259"/>
      <c r="J144" s="258"/>
      <c r="K144" s="259"/>
      <c r="L144" s="275"/>
      <c r="M144" s="259"/>
      <c r="N144" s="258"/>
      <c r="O144" s="259"/>
      <c r="P144" s="258"/>
      <c r="Q144" s="259"/>
      <c r="R144" s="258"/>
      <c r="S144" s="259"/>
      <c r="T144" s="258"/>
      <c r="U144" s="259"/>
      <c r="V144" s="258"/>
      <c r="W144" s="259"/>
      <c r="X144" s="258"/>
      <c r="Y144" s="259"/>
      <c r="Z144" s="259"/>
      <c r="AA144" s="258"/>
      <c r="AB144" s="259"/>
      <c r="AC144" s="258"/>
      <c r="AD144" s="259"/>
      <c r="AE144" s="259"/>
      <c r="AF144" s="258"/>
      <c r="AG144" s="259"/>
      <c r="AH144" s="258"/>
      <c r="AI144" s="259"/>
      <c r="AJ144" s="258"/>
      <c r="AK144" s="259"/>
      <c r="AL144" s="258"/>
      <c r="AM144" s="259"/>
      <c r="AN144" s="258"/>
      <c r="AO144" s="259"/>
      <c r="AP144" s="258"/>
      <c r="AQ144" s="259"/>
      <c r="AR144" s="258"/>
      <c r="AS144" s="259"/>
      <c r="AT144" s="259"/>
      <c r="AU144" s="258"/>
      <c r="AV144" s="259"/>
      <c r="AW144" s="258"/>
      <c r="AX144" s="259"/>
      <c r="AY144" s="258"/>
      <c r="AZ144" s="259"/>
      <c r="BA144" s="258"/>
      <c r="BB144" s="259"/>
      <c r="BC144" s="258"/>
      <c r="BD144" s="259"/>
      <c r="BE144" s="258"/>
      <c r="BF144" s="259"/>
      <c r="BG144" s="258"/>
      <c r="BH144" s="259"/>
      <c r="BI144" s="258">
        <f t="shared" si="12"/>
        <v>0</v>
      </c>
      <c r="BJ144" s="262"/>
      <c r="BK144" s="263"/>
      <c r="BL144" s="263"/>
      <c r="BM144" s="264"/>
    </row>
    <row r="145" spans="1:65" s="276" customFormat="1" ht="18.75" thickBot="1" x14ac:dyDescent="0.3">
      <c r="A145" s="265" t="s">
        <v>370</v>
      </c>
      <c r="B145" s="273"/>
      <c r="C145" s="269"/>
      <c r="D145" s="268">
        <f>SUM(D139:D144)</f>
        <v>0</v>
      </c>
      <c r="E145" s="269"/>
      <c r="F145" s="268">
        <f>SUM(F139:F144)</f>
        <v>0</v>
      </c>
      <c r="G145" s="269"/>
      <c r="H145" s="268">
        <f>SUM(H139:H144)</f>
        <v>0</v>
      </c>
      <c r="I145" s="269"/>
      <c r="J145" s="268">
        <f>SUM(J139:J144)</f>
        <v>0</v>
      </c>
      <c r="K145" s="269"/>
      <c r="L145" s="268">
        <f>SUM(L139:L144)</f>
        <v>0</v>
      </c>
      <c r="M145" s="269"/>
      <c r="N145" s="268">
        <f>SUM(N139:N144)</f>
        <v>0</v>
      </c>
      <c r="O145" s="269"/>
      <c r="P145" s="268">
        <f>SUM(P139:P144)</f>
        <v>0</v>
      </c>
      <c r="Q145" s="269"/>
      <c r="R145" s="268">
        <f>SUM(R139:R144)</f>
        <v>0</v>
      </c>
      <c r="S145" s="269"/>
      <c r="T145" s="268">
        <f>SUM(T139:T144)</f>
        <v>0</v>
      </c>
      <c r="U145" s="269"/>
      <c r="V145" s="268">
        <f>SUM(V139:V144)</f>
        <v>0</v>
      </c>
      <c r="W145" s="269"/>
      <c r="X145" s="268">
        <f>SUM(X139:X144)</f>
        <v>0</v>
      </c>
      <c r="Y145" s="269"/>
      <c r="Z145" s="269"/>
      <c r="AA145" s="268">
        <f>SUM(AA139:AA144)</f>
        <v>0</v>
      </c>
      <c r="AB145" s="269"/>
      <c r="AC145" s="268">
        <f>SUM(AC139:AC144)</f>
        <v>0</v>
      </c>
      <c r="AD145" s="269"/>
      <c r="AE145" s="269"/>
      <c r="AF145" s="268">
        <f>SUM(AF139:AF144)</f>
        <v>0</v>
      </c>
      <c r="AG145" s="269"/>
      <c r="AH145" s="268">
        <f>SUM(AH139:AH144)</f>
        <v>0</v>
      </c>
      <c r="AI145" s="269"/>
      <c r="AJ145" s="268">
        <f>SUM(AJ139:AJ144)</f>
        <v>0</v>
      </c>
      <c r="AK145" s="269"/>
      <c r="AL145" s="268">
        <f>SUM(AL139:AL144)</f>
        <v>0</v>
      </c>
      <c r="AM145" s="269"/>
      <c r="AN145" s="268">
        <f>SUM(AN139:AN144)</f>
        <v>0</v>
      </c>
      <c r="AO145" s="269"/>
      <c r="AP145" s="268">
        <f>SUM(AP139:AP144)</f>
        <v>0</v>
      </c>
      <c r="AQ145" s="269"/>
      <c r="AR145" s="268">
        <f>SUM(AR139:AR144)</f>
        <v>0</v>
      </c>
      <c r="AS145" s="269"/>
      <c r="AT145" s="269"/>
      <c r="AU145" s="268">
        <f>SUM(AU139:AU144)</f>
        <v>0</v>
      </c>
      <c r="AV145" s="269"/>
      <c r="AW145" s="268">
        <f>SUM(AW139:AW144)</f>
        <v>0</v>
      </c>
      <c r="AX145" s="269"/>
      <c r="AY145" s="268">
        <f>SUM(AY139:AY144)</f>
        <v>0</v>
      </c>
      <c r="AZ145" s="269"/>
      <c r="BA145" s="268">
        <f>SUM(BA139:BA144)</f>
        <v>0</v>
      </c>
      <c r="BB145" s="269"/>
      <c r="BC145" s="268">
        <f>SUM(BC139:BC144)</f>
        <v>0</v>
      </c>
      <c r="BD145" s="269"/>
      <c r="BE145" s="268">
        <f>SUM(BE139:BE144)</f>
        <v>0</v>
      </c>
      <c r="BF145" s="269"/>
      <c r="BG145" s="268">
        <f>SUM(BG139:BG144)</f>
        <v>0</v>
      </c>
      <c r="BH145" s="269"/>
      <c r="BI145" s="268">
        <f>D145+F145+H145+J145+X145+N145+P145+R145+L145+T145+V145+AC145+AF145+AH145+AJ145+AL145+AN145+AP145+AR145+AU145+AW145+AY145+BA145+BC145+BG145+BE145+AA145</f>
        <v>0</v>
      </c>
      <c r="BJ145" s="269"/>
      <c r="BK145" s="270"/>
      <c r="BL145" s="270"/>
      <c r="BM145" s="264"/>
    </row>
    <row r="146" spans="1:65" s="276" customFormat="1" ht="18" x14ac:dyDescent="0.25">
      <c r="A146" s="240"/>
      <c r="B146" s="256"/>
      <c r="C146" s="260"/>
      <c r="D146" s="258"/>
      <c r="E146" s="259"/>
      <c r="F146" s="258"/>
      <c r="G146" s="259"/>
      <c r="H146" s="258"/>
      <c r="I146" s="259"/>
      <c r="J146" s="258"/>
      <c r="K146" s="259"/>
      <c r="L146" s="275"/>
      <c r="M146" s="259"/>
      <c r="N146" s="258"/>
      <c r="O146" s="259"/>
      <c r="P146" s="258"/>
      <c r="Q146" s="259"/>
      <c r="R146" s="258"/>
      <c r="S146" s="259"/>
      <c r="T146" s="258"/>
      <c r="U146" s="259"/>
      <c r="V146" s="258"/>
      <c r="W146" s="259"/>
      <c r="X146" s="258"/>
      <c r="Y146" s="259"/>
      <c r="Z146" s="259"/>
      <c r="AA146" s="258"/>
      <c r="AB146" s="259"/>
      <c r="AC146" s="258"/>
      <c r="AD146" s="259"/>
      <c r="AE146" s="259"/>
      <c r="AF146" s="258"/>
      <c r="AG146" s="259"/>
      <c r="AH146" s="258"/>
      <c r="AI146" s="259"/>
      <c r="AJ146" s="258"/>
      <c r="AK146" s="259"/>
      <c r="AL146" s="258"/>
      <c r="AM146" s="259"/>
      <c r="AN146" s="258"/>
      <c r="AO146" s="259"/>
      <c r="AP146" s="258"/>
      <c r="AQ146" s="259"/>
      <c r="AR146" s="258"/>
      <c r="AS146" s="259"/>
      <c r="AT146" s="259"/>
      <c r="AU146" s="258"/>
      <c r="AV146" s="259"/>
      <c r="AW146" s="258"/>
      <c r="AX146" s="259"/>
      <c r="AY146" s="258"/>
      <c r="AZ146" s="259"/>
      <c r="BA146" s="258"/>
      <c r="BB146" s="259"/>
      <c r="BC146" s="258"/>
      <c r="BD146" s="259"/>
      <c r="BE146" s="258"/>
      <c r="BF146" s="259"/>
      <c r="BG146" s="258"/>
      <c r="BH146" s="259"/>
      <c r="BI146" s="258"/>
      <c r="BJ146" s="260"/>
      <c r="BK146" s="263"/>
      <c r="BL146" s="263"/>
      <c r="BM146" s="264"/>
    </row>
    <row r="147" spans="1:65" s="276" customFormat="1" ht="36" x14ac:dyDescent="0.25">
      <c r="A147" s="240" t="s">
        <v>1298</v>
      </c>
      <c r="B147" s="256"/>
      <c r="C147" s="259"/>
      <c r="D147" s="258"/>
      <c r="E147" s="259"/>
      <c r="F147" s="258"/>
      <c r="G147" s="259"/>
      <c r="H147" s="258"/>
      <c r="I147" s="259"/>
      <c r="J147" s="258"/>
      <c r="K147" s="259"/>
      <c r="L147" s="275"/>
      <c r="M147" s="259"/>
      <c r="N147" s="258"/>
      <c r="O147" s="259"/>
      <c r="P147" s="258"/>
      <c r="Q147" s="259"/>
      <c r="R147" s="258"/>
      <c r="S147" s="259"/>
      <c r="T147" s="258"/>
      <c r="U147" s="259"/>
      <c r="V147" s="258"/>
      <c r="W147" s="259"/>
      <c r="X147" s="258"/>
      <c r="Y147" s="259"/>
      <c r="Z147" s="259"/>
      <c r="AA147" s="258"/>
      <c r="AB147" s="259"/>
      <c r="AC147" s="258"/>
      <c r="AD147" s="259"/>
      <c r="AE147" s="259"/>
      <c r="AF147" s="258"/>
      <c r="AG147" s="259"/>
      <c r="AH147" s="258"/>
      <c r="AI147" s="259"/>
      <c r="AJ147" s="258"/>
      <c r="AK147" s="259"/>
      <c r="AL147" s="258"/>
      <c r="AM147" s="259"/>
      <c r="AN147" s="258"/>
      <c r="AO147" s="259"/>
      <c r="AP147" s="258"/>
      <c r="AQ147" s="259"/>
      <c r="AR147" s="258"/>
      <c r="AS147" s="259"/>
      <c r="AT147" s="259"/>
      <c r="AU147" s="258"/>
      <c r="AV147" s="259"/>
      <c r="AW147" s="258"/>
      <c r="AX147" s="259"/>
      <c r="AY147" s="258"/>
      <c r="AZ147" s="259"/>
      <c r="BA147" s="258"/>
      <c r="BB147" s="259"/>
      <c r="BC147" s="258"/>
      <c r="BD147" s="259"/>
      <c r="BE147" s="258"/>
      <c r="BF147" s="259"/>
      <c r="BG147" s="258"/>
      <c r="BH147" s="259"/>
      <c r="BI147" s="258"/>
      <c r="BJ147" s="259"/>
      <c r="BK147" s="263"/>
      <c r="BL147" s="263"/>
      <c r="BM147" s="264"/>
    </row>
    <row r="148" spans="1:65" s="276" customFormat="1" ht="18" x14ac:dyDescent="0.25">
      <c r="A148" s="240" t="s">
        <v>332</v>
      </c>
      <c r="B148" s="277" t="s">
        <v>880</v>
      </c>
      <c r="C148" s="259"/>
      <c r="D148" s="275">
        <f>SUM(GenFundExp2!I585+GenFundExp2!I586)</f>
        <v>0</v>
      </c>
      <c r="E148" s="259"/>
      <c r="F148" s="275">
        <f>SUM(CharterFundExp2!I585+CharterFundExp2!I586)</f>
        <v>0</v>
      </c>
      <c r="G148" s="259"/>
      <c r="H148" s="258"/>
      <c r="I148" s="259"/>
      <c r="J148" s="258"/>
      <c r="K148" s="259"/>
      <c r="L148" s="275"/>
      <c r="M148" s="259"/>
      <c r="N148" s="258"/>
      <c r="O148" s="259"/>
      <c r="P148" s="258"/>
      <c r="Q148" s="259"/>
      <c r="R148" s="258"/>
      <c r="S148" s="259"/>
      <c r="T148" s="258"/>
      <c r="U148" s="259"/>
      <c r="V148" s="258"/>
      <c r="W148" s="259"/>
      <c r="X148" s="258"/>
      <c r="Y148" s="259"/>
      <c r="Z148" s="259"/>
      <c r="AA148" s="258"/>
      <c r="AB148" s="259"/>
      <c r="AC148" s="258"/>
      <c r="AD148" s="259"/>
      <c r="AE148" s="259"/>
      <c r="AF148" s="258"/>
      <c r="AG148" s="259"/>
      <c r="AH148" s="258"/>
      <c r="AI148" s="259"/>
      <c r="AJ148" s="258"/>
      <c r="AK148" s="259"/>
      <c r="AL148" s="258"/>
      <c r="AM148" s="259"/>
      <c r="AN148" s="258"/>
      <c r="AO148" s="259"/>
      <c r="AP148" s="258"/>
      <c r="AQ148" s="259"/>
      <c r="AR148" s="258"/>
      <c r="AS148" s="259"/>
      <c r="AT148" s="259"/>
      <c r="AU148" s="258"/>
      <c r="AV148" s="259"/>
      <c r="AW148" s="258"/>
      <c r="AX148" s="259"/>
      <c r="AY148" s="258"/>
      <c r="AZ148" s="259"/>
      <c r="BA148" s="258"/>
      <c r="BB148" s="259"/>
      <c r="BC148" s="258"/>
      <c r="BD148" s="259"/>
      <c r="BE148" s="258"/>
      <c r="BF148" s="259"/>
      <c r="BG148" s="258"/>
      <c r="BH148" s="259"/>
      <c r="BI148" s="258">
        <f t="shared" ref="BI148:BI153" si="13">D148+F148+H148+J148+X148+N148+P148+R148+L148+T148+V148+AC148+AF148+AH148+AJ148+AL148+AN148+AP148+AR148+AU148+AW148+AY148+BA148+BC148+BG148+BE148+AA148</f>
        <v>0</v>
      </c>
      <c r="BJ148" s="259"/>
      <c r="BK148" s="263"/>
      <c r="BL148" s="263"/>
      <c r="BM148" s="264"/>
    </row>
    <row r="149" spans="1:65" s="276" customFormat="1" ht="18" x14ac:dyDescent="0.25">
      <c r="A149" s="240" t="s">
        <v>333</v>
      </c>
      <c r="B149" s="277" t="s">
        <v>881</v>
      </c>
      <c r="C149" s="259"/>
      <c r="D149" s="275">
        <f>SUM(GenFundExp2!I587+GenFundExp2!I588)</f>
        <v>0</v>
      </c>
      <c r="E149" s="259"/>
      <c r="F149" s="275">
        <f>SUM(CharterFundExp2!I587+CharterFundExp2!I588)</f>
        <v>0</v>
      </c>
      <c r="G149" s="259"/>
      <c r="H149" s="258"/>
      <c r="I149" s="259"/>
      <c r="J149" s="258"/>
      <c r="K149" s="259"/>
      <c r="L149" s="275"/>
      <c r="M149" s="259"/>
      <c r="N149" s="258"/>
      <c r="O149" s="259"/>
      <c r="P149" s="258"/>
      <c r="Q149" s="259"/>
      <c r="R149" s="258"/>
      <c r="S149" s="259"/>
      <c r="T149" s="258"/>
      <c r="U149" s="259"/>
      <c r="V149" s="258"/>
      <c r="W149" s="259"/>
      <c r="X149" s="258"/>
      <c r="Y149" s="259"/>
      <c r="Z149" s="259"/>
      <c r="AA149" s="258"/>
      <c r="AB149" s="259"/>
      <c r="AC149" s="258"/>
      <c r="AD149" s="259"/>
      <c r="AE149" s="259"/>
      <c r="AF149" s="258"/>
      <c r="AG149" s="259"/>
      <c r="AH149" s="258"/>
      <c r="AI149" s="259"/>
      <c r="AJ149" s="258"/>
      <c r="AK149" s="259"/>
      <c r="AL149" s="258"/>
      <c r="AM149" s="259"/>
      <c r="AN149" s="258"/>
      <c r="AO149" s="259"/>
      <c r="AP149" s="258"/>
      <c r="AQ149" s="259"/>
      <c r="AR149" s="258"/>
      <c r="AS149" s="259"/>
      <c r="AT149" s="259"/>
      <c r="AU149" s="258"/>
      <c r="AV149" s="259"/>
      <c r="AW149" s="258"/>
      <c r="AX149" s="259"/>
      <c r="AY149" s="258"/>
      <c r="AZ149" s="259"/>
      <c r="BA149" s="258"/>
      <c r="BB149" s="259"/>
      <c r="BC149" s="258"/>
      <c r="BD149" s="259"/>
      <c r="BE149" s="258"/>
      <c r="BF149" s="259"/>
      <c r="BG149" s="258"/>
      <c r="BH149" s="259"/>
      <c r="BI149" s="258">
        <f t="shared" si="13"/>
        <v>0</v>
      </c>
      <c r="BJ149" s="259"/>
      <c r="BK149" s="263"/>
      <c r="BL149" s="263"/>
      <c r="BM149" s="264"/>
    </row>
    <row r="150" spans="1:65" s="276" customFormat="1" ht="36" x14ac:dyDescent="0.25">
      <c r="A150" s="240" t="s">
        <v>334</v>
      </c>
      <c r="B150" s="277" t="s">
        <v>246</v>
      </c>
      <c r="C150" s="259"/>
      <c r="D150" s="258">
        <f>SUM(GenFundExp2!I589:I601)</f>
        <v>0</v>
      </c>
      <c r="E150" s="259"/>
      <c r="F150" s="258">
        <f>SUM(CharterFundExp2!I589:I601)</f>
        <v>0</v>
      </c>
      <c r="G150" s="259"/>
      <c r="H150" s="258"/>
      <c r="I150" s="259"/>
      <c r="J150" s="258"/>
      <c r="K150" s="259"/>
      <c r="L150" s="275"/>
      <c r="M150" s="259"/>
      <c r="N150" s="258"/>
      <c r="O150" s="259"/>
      <c r="P150" s="258"/>
      <c r="Q150" s="259"/>
      <c r="R150" s="258"/>
      <c r="S150" s="259"/>
      <c r="T150" s="258"/>
      <c r="U150" s="259"/>
      <c r="V150" s="258"/>
      <c r="W150" s="259"/>
      <c r="X150" s="258"/>
      <c r="Y150" s="259"/>
      <c r="Z150" s="259"/>
      <c r="AA150" s="258"/>
      <c r="AB150" s="259"/>
      <c r="AC150" s="258"/>
      <c r="AD150" s="259"/>
      <c r="AE150" s="259"/>
      <c r="AF150" s="258"/>
      <c r="AG150" s="259"/>
      <c r="AH150" s="258"/>
      <c r="AI150" s="259"/>
      <c r="AJ150" s="258"/>
      <c r="AK150" s="259"/>
      <c r="AL150" s="258"/>
      <c r="AM150" s="259"/>
      <c r="AN150" s="258"/>
      <c r="AO150" s="259"/>
      <c r="AP150" s="258"/>
      <c r="AQ150" s="259"/>
      <c r="AR150" s="258"/>
      <c r="AS150" s="259"/>
      <c r="AT150" s="259"/>
      <c r="AU150" s="258"/>
      <c r="AV150" s="259"/>
      <c r="AW150" s="258"/>
      <c r="AX150" s="259"/>
      <c r="AY150" s="258"/>
      <c r="AZ150" s="259"/>
      <c r="BA150" s="258"/>
      <c r="BB150" s="259"/>
      <c r="BC150" s="258"/>
      <c r="BD150" s="259"/>
      <c r="BE150" s="258"/>
      <c r="BF150" s="259"/>
      <c r="BG150" s="258"/>
      <c r="BH150" s="259"/>
      <c r="BI150" s="258">
        <f t="shared" si="13"/>
        <v>0</v>
      </c>
      <c r="BJ150" s="259"/>
      <c r="BK150" s="263"/>
      <c r="BL150" s="263"/>
      <c r="BM150" s="264"/>
    </row>
    <row r="151" spans="1:65" s="276" customFormat="1" ht="18" x14ac:dyDescent="0.25">
      <c r="A151" s="240" t="s">
        <v>347</v>
      </c>
      <c r="B151" s="277" t="s">
        <v>885</v>
      </c>
      <c r="C151" s="259"/>
      <c r="D151" s="258">
        <f>SUM(GenFundExp2!I602:I603)</f>
        <v>0</v>
      </c>
      <c r="E151" s="259"/>
      <c r="F151" s="258">
        <f>SUM(CharterFundExp2!I602:I603)</f>
        <v>0</v>
      </c>
      <c r="G151" s="259"/>
      <c r="H151" s="258"/>
      <c r="I151" s="259"/>
      <c r="J151" s="258"/>
      <c r="K151" s="259"/>
      <c r="L151" s="275"/>
      <c r="M151" s="259"/>
      <c r="N151" s="258"/>
      <c r="O151" s="259"/>
      <c r="P151" s="258"/>
      <c r="Q151" s="259"/>
      <c r="R151" s="258"/>
      <c r="S151" s="259"/>
      <c r="T151" s="258"/>
      <c r="U151" s="259"/>
      <c r="V151" s="258"/>
      <c r="W151" s="259"/>
      <c r="X151" s="258"/>
      <c r="Y151" s="259"/>
      <c r="Z151" s="259"/>
      <c r="AA151" s="258"/>
      <c r="AB151" s="259"/>
      <c r="AC151" s="258"/>
      <c r="AD151" s="259"/>
      <c r="AE151" s="259"/>
      <c r="AF151" s="258"/>
      <c r="AG151" s="259"/>
      <c r="AH151" s="258"/>
      <c r="AI151" s="259"/>
      <c r="AJ151" s="258"/>
      <c r="AK151" s="259"/>
      <c r="AL151" s="258"/>
      <c r="AM151" s="259"/>
      <c r="AN151" s="258"/>
      <c r="AO151" s="259"/>
      <c r="AP151" s="258"/>
      <c r="AQ151" s="259"/>
      <c r="AR151" s="258"/>
      <c r="AS151" s="259"/>
      <c r="AT151" s="259"/>
      <c r="AU151" s="258"/>
      <c r="AV151" s="259"/>
      <c r="AW151" s="258"/>
      <c r="AX151" s="259"/>
      <c r="AY151" s="258"/>
      <c r="AZ151" s="259"/>
      <c r="BA151" s="258"/>
      <c r="BB151" s="259"/>
      <c r="BC151" s="258"/>
      <c r="BD151" s="259"/>
      <c r="BE151" s="258"/>
      <c r="BF151" s="259"/>
      <c r="BG151" s="258"/>
      <c r="BH151" s="259"/>
      <c r="BI151" s="258">
        <f t="shared" si="13"/>
        <v>0</v>
      </c>
      <c r="BJ151" s="259"/>
      <c r="BK151" s="263"/>
      <c r="BL151" s="263"/>
      <c r="BM151" s="264"/>
    </row>
    <row r="152" spans="1:65" s="276" customFormat="1" ht="18" x14ac:dyDescent="0.25">
      <c r="A152" s="240" t="s">
        <v>359</v>
      </c>
      <c r="B152" s="277" t="s">
        <v>886</v>
      </c>
      <c r="C152" s="259"/>
      <c r="D152" s="258">
        <f>SUM(GenFundExp2!I604:I606)</f>
        <v>0</v>
      </c>
      <c r="E152" s="259"/>
      <c r="F152" s="258">
        <f>SUM(CharterFundExp2!I604:I606)</f>
        <v>0</v>
      </c>
      <c r="G152" s="259"/>
      <c r="H152" s="258"/>
      <c r="I152" s="259"/>
      <c r="J152" s="258"/>
      <c r="K152" s="259"/>
      <c r="L152" s="275"/>
      <c r="M152" s="259"/>
      <c r="N152" s="258"/>
      <c r="O152" s="259"/>
      <c r="P152" s="258"/>
      <c r="Q152" s="259"/>
      <c r="R152" s="258"/>
      <c r="S152" s="259"/>
      <c r="T152" s="258"/>
      <c r="U152" s="259"/>
      <c r="V152" s="258"/>
      <c r="W152" s="259"/>
      <c r="X152" s="258"/>
      <c r="Y152" s="259"/>
      <c r="Z152" s="259"/>
      <c r="AA152" s="258"/>
      <c r="AB152" s="259"/>
      <c r="AC152" s="258"/>
      <c r="AD152" s="259"/>
      <c r="AE152" s="259"/>
      <c r="AF152" s="258"/>
      <c r="AG152" s="259"/>
      <c r="AH152" s="258"/>
      <c r="AI152" s="259"/>
      <c r="AJ152" s="258"/>
      <c r="AK152" s="259"/>
      <c r="AL152" s="258"/>
      <c r="AM152" s="259"/>
      <c r="AN152" s="258"/>
      <c r="AO152" s="259"/>
      <c r="AP152" s="258"/>
      <c r="AQ152" s="259"/>
      <c r="AR152" s="258"/>
      <c r="AS152" s="259"/>
      <c r="AT152" s="259"/>
      <c r="AU152" s="258"/>
      <c r="AV152" s="259"/>
      <c r="AW152" s="258"/>
      <c r="AX152" s="259"/>
      <c r="AY152" s="258"/>
      <c r="AZ152" s="259"/>
      <c r="BA152" s="258"/>
      <c r="BB152" s="259"/>
      <c r="BC152" s="258"/>
      <c r="BD152" s="259"/>
      <c r="BE152" s="258"/>
      <c r="BF152" s="259"/>
      <c r="BG152" s="258"/>
      <c r="BH152" s="259"/>
      <c r="BI152" s="258">
        <f t="shared" si="13"/>
        <v>0</v>
      </c>
      <c r="BJ152" s="259"/>
      <c r="BK152" s="263"/>
      <c r="BL152" s="263"/>
      <c r="BM152" s="264"/>
    </row>
    <row r="153" spans="1:65" s="276" customFormat="1" ht="18.75" thickBot="1" x14ac:dyDescent="0.3">
      <c r="A153" s="240" t="s">
        <v>349</v>
      </c>
      <c r="B153" s="277" t="s">
        <v>350</v>
      </c>
      <c r="C153" s="259"/>
      <c r="D153" s="258">
        <f>SUM(GenFundExp2!I607:I612)</f>
        <v>0</v>
      </c>
      <c r="E153" s="259"/>
      <c r="F153" s="258">
        <f>SUM(CharterFundExp2!I607:I612)</f>
        <v>0</v>
      </c>
      <c r="G153" s="259"/>
      <c r="H153" s="258"/>
      <c r="I153" s="259"/>
      <c r="J153" s="258"/>
      <c r="K153" s="259"/>
      <c r="L153" s="275"/>
      <c r="M153" s="259"/>
      <c r="N153" s="258"/>
      <c r="O153" s="259"/>
      <c r="P153" s="258"/>
      <c r="Q153" s="259"/>
      <c r="R153" s="258"/>
      <c r="S153" s="259"/>
      <c r="T153" s="258"/>
      <c r="U153" s="259"/>
      <c r="V153" s="258"/>
      <c r="W153" s="259"/>
      <c r="X153" s="258"/>
      <c r="Y153" s="259"/>
      <c r="Z153" s="259"/>
      <c r="AA153" s="258"/>
      <c r="AB153" s="259"/>
      <c r="AC153" s="258"/>
      <c r="AD153" s="259"/>
      <c r="AE153" s="259"/>
      <c r="AF153" s="258"/>
      <c r="AG153" s="259"/>
      <c r="AH153" s="258"/>
      <c r="AI153" s="259"/>
      <c r="AJ153" s="258"/>
      <c r="AK153" s="259"/>
      <c r="AL153" s="258"/>
      <c r="AM153" s="259"/>
      <c r="AN153" s="258"/>
      <c r="AO153" s="259"/>
      <c r="AP153" s="258"/>
      <c r="AQ153" s="259"/>
      <c r="AR153" s="258"/>
      <c r="AS153" s="259"/>
      <c r="AT153" s="259"/>
      <c r="AU153" s="258"/>
      <c r="AV153" s="259"/>
      <c r="AW153" s="258"/>
      <c r="AX153" s="259"/>
      <c r="AY153" s="258"/>
      <c r="AZ153" s="259"/>
      <c r="BA153" s="258"/>
      <c r="BB153" s="259"/>
      <c r="BC153" s="258"/>
      <c r="BD153" s="259"/>
      <c r="BE153" s="258"/>
      <c r="BF153" s="259"/>
      <c r="BG153" s="258"/>
      <c r="BH153" s="259"/>
      <c r="BI153" s="258">
        <f t="shared" si="13"/>
        <v>0</v>
      </c>
      <c r="BJ153" s="259"/>
      <c r="BK153" s="263"/>
      <c r="BL153" s="263"/>
      <c r="BM153" s="264"/>
    </row>
    <row r="154" spans="1:65" s="276" customFormat="1" ht="36.75" thickBot="1" x14ac:dyDescent="0.3">
      <c r="A154" s="265" t="s">
        <v>34</v>
      </c>
      <c r="B154" s="273"/>
      <c r="C154" s="259"/>
      <c r="D154" s="268">
        <f>SUM(D148:D153)</f>
        <v>0</v>
      </c>
      <c r="E154" s="269"/>
      <c r="F154" s="268">
        <f>SUM(F148:F153)</f>
        <v>0</v>
      </c>
      <c r="G154" s="269"/>
      <c r="H154" s="268">
        <f>SUM(H148:H153)</f>
        <v>0</v>
      </c>
      <c r="I154" s="269"/>
      <c r="J154" s="268">
        <f>SUM(J148:J153)</f>
        <v>0</v>
      </c>
      <c r="K154" s="269"/>
      <c r="L154" s="268">
        <f>SUM(L148:L153)</f>
        <v>0</v>
      </c>
      <c r="M154" s="269"/>
      <c r="N154" s="268">
        <f>SUM(N148:N153)</f>
        <v>0</v>
      </c>
      <c r="O154" s="269"/>
      <c r="P154" s="268">
        <f>SUM(P148:P153)</f>
        <v>0</v>
      </c>
      <c r="Q154" s="269"/>
      <c r="R154" s="268">
        <f>SUM(R148:R153)</f>
        <v>0</v>
      </c>
      <c r="S154" s="269"/>
      <c r="T154" s="268">
        <f>SUM(T148:T153)</f>
        <v>0</v>
      </c>
      <c r="U154" s="269"/>
      <c r="V154" s="268">
        <f>SUM(V148:V153)</f>
        <v>0</v>
      </c>
      <c r="W154" s="269"/>
      <c r="X154" s="268">
        <f>SUM(X148:X153)</f>
        <v>0</v>
      </c>
      <c r="Y154" s="269"/>
      <c r="Z154" s="269"/>
      <c r="AA154" s="268">
        <f>SUM(AA148:AA153)</f>
        <v>0</v>
      </c>
      <c r="AB154" s="269"/>
      <c r="AC154" s="268">
        <f>SUM(AC148:AC153)</f>
        <v>0</v>
      </c>
      <c r="AD154" s="269"/>
      <c r="AE154" s="269"/>
      <c r="AF154" s="268">
        <f>SUM(AF148:AF153)</f>
        <v>0</v>
      </c>
      <c r="AG154" s="269"/>
      <c r="AH154" s="268">
        <f>SUM(AH148:AH153)</f>
        <v>0</v>
      </c>
      <c r="AI154" s="269"/>
      <c r="AJ154" s="268">
        <f>SUM(AJ148:AJ153)</f>
        <v>0</v>
      </c>
      <c r="AK154" s="269"/>
      <c r="AL154" s="268">
        <f>SUM(AL148:AL153)</f>
        <v>0</v>
      </c>
      <c r="AM154" s="269"/>
      <c r="AN154" s="268">
        <f>SUM(AN148:AN153)</f>
        <v>0</v>
      </c>
      <c r="AO154" s="269"/>
      <c r="AP154" s="268">
        <f>SUM(AP148:AP153)</f>
        <v>0</v>
      </c>
      <c r="AQ154" s="269"/>
      <c r="AR154" s="268">
        <f>SUM(AR148:AR153)</f>
        <v>0</v>
      </c>
      <c r="AS154" s="269"/>
      <c r="AT154" s="269"/>
      <c r="AU154" s="268">
        <f>SUM(AU148:AU153)</f>
        <v>0</v>
      </c>
      <c r="AV154" s="269"/>
      <c r="AW154" s="268">
        <f>SUM(AW148:AW153)</f>
        <v>0</v>
      </c>
      <c r="AX154" s="269"/>
      <c r="AY154" s="268">
        <f>SUM(AY148:AY153)</f>
        <v>0</v>
      </c>
      <c r="AZ154" s="269"/>
      <c r="BA154" s="268">
        <f>SUM(BA148:BA153)</f>
        <v>0</v>
      </c>
      <c r="BB154" s="269"/>
      <c r="BC154" s="268">
        <f>SUM(BC148:BC153)</f>
        <v>0</v>
      </c>
      <c r="BD154" s="269"/>
      <c r="BE154" s="268">
        <f>SUM(BE148:BE153)</f>
        <v>0</v>
      </c>
      <c r="BF154" s="269"/>
      <c r="BG154" s="268">
        <f>SUM(BG148:BG153)</f>
        <v>0</v>
      </c>
      <c r="BH154" s="269"/>
      <c r="BI154" s="268">
        <f>D154+F154+H154+J154+X154+N154+P154+R154+L154+T154+V154+AC154+AF154+AH154+AJ154+AL154+AN154+AP154+AR154+AU154+AW154+AY154+BA154+BC154+BG154+BE154+AA154</f>
        <v>0</v>
      </c>
      <c r="BJ154" s="259"/>
      <c r="BK154" s="263"/>
      <c r="BL154" s="263"/>
      <c r="BM154" s="264"/>
    </row>
    <row r="155" spans="1:65" s="276" customFormat="1" ht="18.75" thickBot="1" x14ac:dyDescent="0.3">
      <c r="A155" s="240"/>
      <c r="B155" s="256"/>
      <c r="C155" s="259"/>
      <c r="D155" s="258"/>
      <c r="E155" s="259"/>
      <c r="F155" s="258"/>
      <c r="G155" s="259"/>
      <c r="H155" s="258"/>
      <c r="I155" s="259"/>
      <c r="J155" s="258"/>
      <c r="K155" s="259"/>
      <c r="L155" s="275"/>
      <c r="M155" s="259"/>
      <c r="N155" s="258"/>
      <c r="O155" s="259"/>
      <c r="P155" s="258"/>
      <c r="Q155" s="259"/>
      <c r="R155" s="258"/>
      <c r="S155" s="259"/>
      <c r="T155" s="258"/>
      <c r="U155" s="259"/>
      <c r="V155" s="258"/>
      <c r="W155" s="259"/>
      <c r="X155" s="258"/>
      <c r="Y155" s="259"/>
      <c r="Z155" s="259"/>
      <c r="AA155" s="258"/>
      <c r="AB155" s="259"/>
      <c r="AC155" s="258"/>
      <c r="AD155" s="259"/>
      <c r="AE155" s="259"/>
      <c r="AF155" s="258"/>
      <c r="AG155" s="259"/>
      <c r="AH155" s="258"/>
      <c r="AI155" s="259"/>
      <c r="AJ155" s="258"/>
      <c r="AK155" s="259"/>
      <c r="AL155" s="258"/>
      <c r="AM155" s="259"/>
      <c r="AN155" s="258"/>
      <c r="AO155" s="259"/>
      <c r="AP155" s="258"/>
      <c r="AQ155" s="259"/>
      <c r="AR155" s="258"/>
      <c r="AS155" s="259"/>
      <c r="AT155" s="259"/>
      <c r="AU155" s="258"/>
      <c r="AV155" s="259"/>
      <c r="AW155" s="258"/>
      <c r="AX155" s="259"/>
      <c r="AY155" s="258"/>
      <c r="AZ155" s="259"/>
      <c r="BA155" s="258"/>
      <c r="BB155" s="259"/>
      <c r="BC155" s="258"/>
      <c r="BD155" s="259"/>
      <c r="BE155" s="258"/>
      <c r="BF155" s="259"/>
      <c r="BG155" s="258"/>
      <c r="BH155" s="259"/>
      <c r="BI155" s="258"/>
      <c r="BJ155" s="259"/>
      <c r="BK155" s="263"/>
      <c r="BL155" s="263"/>
      <c r="BM155" s="264"/>
    </row>
    <row r="156" spans="1:65" s="276" customFormat="1" ht="18.75" thickBot="1" x14ac:dyDescent="0.3">
      <c r="A156" s="265" t="s">
        <v>371</v>
      </c>
      <c r="B156" s="273"/>
      <c r="C156" s="269"/>
      <c r="D156" s="268">
        <f>SUM(D145+D136+D128+D119+D110+D101+D92+D84+D75+D66+D57+D48+D154)</f>
        <v>0</v>
      </c>
      <c r="E156" s="269"/>
      <c r="F156" s="268">
        <f>SUM(F145+F136+F128+F119+F110+F101+F92+F84+F75+F66+F57+F48+F154)</f>
        <v>0</v>
      </c>
      <c r="G156" s="269"/>
      <c r="H156" s="268">
        <f>SUM(H145+H136+H128+H119+H110+H101+H92+H84+H75+H66+H57+H48+H154)</f>
        <v>0</v>
      </c>
      <c r="I156" s="269"/>
      <c r="J156" s="268">
        <f>SUM(J145+J136+J128+J119+J110+J101+J92+J84+J75+J66+J57+J48+J154)</f>
        <v>0</v>
      </c>
      <c r="K156" s="269"/>
      <c r="L156" s="268">
        <f>SUM(L145+L136+L128+L119+L110+L101+L92+L84+L75+L66+L57+L48+L154)</f>
        <v>0</v>
      </c>
      <c r="M156" s="269"/>
      <c r="N156" s="268">
        <f>SUM(N145+N136+N128+N119+N110+N101+N92+N84+N75+N66+N57+N48+N154)</f>
        <v>0</v>
      </c>
      <c r="O156" s="269"/>
      <c r="P156" s="268">
        <f>SUM(P145+P136+P128+P119+P110+P101+P92+P84+P75+P66+P57+P48+P154)</f>
        <v>0</v>
      </c>
      <c r="Q156" s="269"/>
      <c r="R156" s="268">
        <f>SUM(R145+R136+R128+R119+R110+R101+R92+R84+R75+R66+R57+R48+R154)</f>
        <v>0</v>
      </c>
      <c r="S156" s="269"/>
      <c r="T156" s="268">
        <f>SUM(T145+T136+T128+T119+T110+T101+T92+T84+T75+T66+T57+T48+T154)</f>
        <v>0</v>
      </c>
      <c r="U156" s="269"/>
      <c r="V156" s="268">
        <f>SUM(V145+V136+V128+V119+V110+V101+V92+V84+V75+V66+V57+V48+V154)</f>
        <v>0</v>
      </c>
      <c r="W156" s="269"/>
      <c r="X156" s="268">
        <f>SUM(X145+X136+X128+X119+X110+X101+X92+X84+X75+X66+X57+X48+X154)</f>
        <v>0</v>
      </c>
      <c r="Y156" s="269"/>
      <c r="Z156" s="269"/>
      <c r="AA156" s="268">
        <f>SUM(AA145+AA136+AA128+AA119+AA110+AA101+AA92+AA84+AA75+AA66+AA57+AA48+AA154)</f>
        <v>0</v>
      </c>
      <c r="AB156" s="269"/>
      <c r="AC156" s="268">
        <f>SUM(AC145+AC136+AC128+AC119+AC110+AC101+AC92+AC84+AC75+AC66+AC57+AC48+AC154)</f>
        <v>0</v>
      </c>
      <c r="AD156" s="269"/>
      <c r="AE156" s="269"/>
      <c r="AF156" s="268">
        <f>SUM(AF145+AF136+AF128+AF119+AF110+AF101+AF92+AF84+AF75+AF66+AF57+AF48+AF154)</f>
        <v>0</v>
      </c>
      <c r="AG156" s="269"/>
      <c r="AH156" s="268">
        <f>SUM(AH145+AH136+AH128+AH119+AH110+AH101+AH92+AH84+AH75+AH66+AH57+AH48+AH154)</f>
        <v>0</v>
      </c>
      <c r="AI156" s="269"/>
      <c r="AJ156" s="268">
        <f>SUM(AJ145+AJ136+AJ128+AJ119+AJ110+AJ101+AJ92+AJ84+AJ75+AJ66+AJ57+AJ48+AJ154)</f>
        <v>0</v>
      </c>
      <c r="AK156" s="269"/>
      <c r="AL156" s="268">
        <f>SUM(AL145+AL136+AL128+AL119+AL110+AL101+AL92+AL84+AL75+AL66+AL57+AL48+AL154)</f>
        <v>0</v>
      </c>
      <c r="AM156" s="269"/>
      <c r="AN156" s="268">
        <f>SUM(AN145+AN136+AN128+AN119+AN110+AN101+AN92+AN84+AN75+AN66+AN57+AN48+AN154)</f>
        <v>0</v>
      </c>
      <c r="AO156" s="269"/>
      <c r="AP156" s="268">
        <f>SUM(AP145+AP136+AP128+AP119+AP110+AP101+AP92+AP84+AP75+AP66+AP57+AP48+AP154)</f>
        <v>0</v>
      </c>
      <c r="AQ156" s="269"/>
      <c r="AR156" s="268">
        <f>SUM(AR145+AR136+AR128+AR119+AR110+AR101+AR92+AR84+AR75+AR66+AR57+AR48+AR154)</f>
        <v>0</v>
      </c>
      <c r="AS156" s="269"/>
      <c r="AT156" s="269"/>
      <c r="AU156" s="268">
        <f>SUM(AU145+AU136+AU128+AU119+AU110+AU101+AU92+AU84+AU75+AU66+AU57+AU48+AU154)</f>
        <v>0</v>
      </c>
      <c r="AV156" s="269"/>
      <c r="AW156" s="268">
        <f>SUM(AW145+AW136+AW128+AW119+AW110+AW101+AW92+AW84+AW75+AW66+AW57+AW48+AW154)</f>
        <v>0</v>
      </c>
      <c r="AX156" s="269"/>
      <c r="AY156" s="268">
        <f>SUM(AY145+AY136+AY128+AY119+AY110+AY101+AY92+AY84+AY75+AY66+AY57+AY48+AY154)</f>
        <v>0</v>
      </c>
      <c r="AZ156" s="269"/>
      <c r="BA156" s="268">
        <f>SUM(BA145+BA136+BA128+BA119+BA110+BA101+BA92+BA84+BA75+BA66+BA57+BA48+BA154)</f>
        <v>0</v>
      </c>
      <c r="BB156" s="269"/>
      <c r="BC156" s="268">
        <f>SUM(BC145+BC136+BC128+BC119+BC110+BC101+BC92+BC84+BC75+BC66+BC57+BC48+BC154)</f>
        <v>0</v>
      </c>
      <c r="BD156" s="269"/>
      <c r="BE156" s="268">
        <f>SUM(BE145+BE136+BE128+BE119+BE110+BE101+BE92+BE84+BE75+BE66+BE57+BE48+BE154)</f>
        <v>0</v>
      </c>
      <c r="BF156" s="269"/>
      <c r="BG156" s="268">
        <f>SUM(BG145+BG136+BG128+BG119+BG110+BG101+BG92+BG84+BG75+BG66+BG57+BG48+BG154)</f>
        <v>0</v>
      </c>
      <c r="BH156" s="269"/>
      <c r="BI156" s="268">
        <f>D156+F156+H156+J156+X156+N156+P156+R156+L156+T156+V156+AC156+AF156+AH156+AJ156+AL156+AN156+AP156+AR156+AU156+AW156+AY156+BA156+BC156+BG156+BE156+AA156</f>
        <v>0</v>
      </c>
      <c r="BJ156" s="269"/>
      <c r="BK156" s="270"/>
      <c r="BL156" s="270"/>
      <c r="BM156" s="264"/>
    </row>
    <row r="157" spans="1:65" s="276" customFormat="1" ht="18" x14ac:dyDescent="0.25">
      <c r="A157" s="240"/>
      <c r="B157" s="256"/>
      <c r="C157" s="262"/>
      <c r="D157" s="258"/>
      <c r="E157" s="259"/>
      <c r="F157" s="258"/>
      <c r="G157" s="259"/>
      <c r="H157" s="258"/>
      <c r="I157" s="259"/>
      <c r="J157" s="258"/>
      <c r="K157" s="259"/>
      <c r="L157" s="275"/>
      <c r="M157" s="259"/>
      <c r="N157" s="258"/>
      <c r="O157" s="259"/>
      <c r="P157" s="258"/>
      <c r="Q157" s="259"/>
      <c r="R157" s="258"/>
      <c r="S157" s="259"/>
      <c r="T157" s="258"/>
      <c r="U157" s="259"/>
      <c r="V157" s="258"/>
      <c r="W157" s="259"/>
      <c r="X157" s="258"/>
      <c r="Y157" s="259"/>
      <c r="Z157" s="259"/>
      <c r="AA157" s="258"/>
      <c r="AB157" s="259"/>
      <c r="AC157" s="258"/>
      <c r="AD157" s="259"/>
      <c r="AE157" s="259"/>
      <c r="AF157" s="258"/>
      <c r="AG157" s="259"/>
      <c r="AH157" s="258"/>
      <c r="AI157" s="259"/>
      <c r="AJ157" s="258"/>
      <c r="AK157" s="259"/>
      <c r="AL157" s="258"/>
      <c r="AM157" s="259"/>
      <c r="AN157" s="258"/>
      <c r="AO157" s="259"/>
      <c r="AP157" s="258"/>
      <c r="AQ157" s="259"/>
      <c r="AR157" s="258"/>
      <c r="AS157" s="259"/>
      <c r="AT157" s="259"/>
      <c r="AU157" s="258"/>
      <c r="AV157" s="259"/>
      <c r="AW157" s="258"/>
      <c r="AX157" s="259"/>
      <c r="AY157" s="258"/>
      <c r="AZ157" s="259"/>
      <c r="BA157" s="258"/>
      <c r="BB157" s="259"/>
      <c r="BC157" s="258"/>
      <c r="BD157" s="259"/>
      <c r="BE157" s="258"/>
      <c r="BF157" s="259"/>
      <c r="BG157" s="258"/>
      <c r="BH157" s="259"/>
      <c r="BI157" s="264"/>
      <c r="BJ157" s="262"/>
      <c r="BK157" s="263"/>
      <c r="BL157" s="263"/>
      <c r="BM157" s="264"/>
    </row>
    <row r="158" spans="1:65" s="276" customFormat="1" ht="18" x14ac:dyDescent="0.25">
      <c r="A158" s="240" t="s">
        <v>372</v>
      </c>
      <c r="B158" s="256"/>
      <c r="C158" s="262"/>
      <c r="D158" s="258"/>
      <c r="E158" s="259"/>
      <c r="F158" s="258"/>
      <c r="G158" s="259"/>
      <c r="H158" s="258"/>
      <c r="I158" s="259"/>
      <c r="J158" s="258"/>
      <c r="K158" s="259"/>
      <c r="L158" s="275"/>
      <c r="M158" s="259"/>
      <c r="N158" s="258"/>
      <c r="O158" s="259"/>
      <c r="P158" s="258"/>
      <c r="Q158" s="259"/>
      <c r="R158" s="258"/>
      <c r="S158" s="259"/>
      <c r="T158" s="258"/>
      <c r="U158" s="259"/>
      <c r="V158" s="258"/>
      <c r="W158" s="259"/>
      <c r="X158" s="258"/>
      <c r="Y158" s="259"/>
      <c r="Z158" s="259"/>
      <c r="AA158" s="258"/>
      <c r="AB158" s="259"/>
      <c r="AC158" s="258"/>
      <c r="AD158" s="259"/>
      <c r="AE158" s="259"/>
      <c r="AF158" s="258"/>
      <c r="AG158" s="259"/>
      <c r="AH158" s="258"/>
      <c r="AI158" s="259"/>
      <c r="AJ158" s="258"/>
      <c r="AK158" s="259"/>
      <c r="AL158" s="258"/>
      <c r="AM158" s="259"/>
      <c r="AN158" s="258"/>
      <c r="AO158" s="259"/>
      <c r="AP158" s="258"/>
      <c r="AQ158" s="259"/>
      <c r="AR158" s="258"/>
      <c r="AS158" s="259"/>
      <c r="AT158" s="259"/>
      <c r="AU158" s="258"/>
      <c r="AV158" s="259"/>
      <c r="AW158" s="258"/>
      <c r="AX158" s="259"/>
      <c r="AY158" s="258"/>
      <c r="AZ158" s="259"/>
      <c r="BA158" s="258"/>
      <c r="BB158" s="259"/>
      <c r="BC158" s="258"/>
      <c r="BD158" s="259"/>
      <c r="BE158" s="258"/>
      <c r="BF158" s="259"/>
      <c r="BG158" s="258"/>
      <c r="BH158" s="259"/>
      <c r="BI158" s="264"/>
      <c r="BJ158" s="262"/>
      <c r="BK158" s="263"/>
      <c r="BL158" s="263"/>
      <c r="BM158" s="264"/>
    </row>
    <row r="159" spans="1:65" s="276" customFormat="1" ht="18" x14ac:dyDescent="0.25">
      <c r="A159" s="240" t="s">
        <v>332</v>
      </c>
      <c r="B159" s="277" t="s">
        <v>880</v>
      </c>
      <c r="C159" s="262"/>
      <c r="D159" s="275">
        <f>SUM(GenFundExp2!I616+GenFundExp2!I617)</f>
        <v>0</v>
      </c>
      <c r="E159" s="259"/>
      <c r="F159" s="275">
        <f>SUM(CharterFundExp2!I616+CharterFundExp2!I617)</f>
        <v>0</v>
      </c>
      <c r="G159" s="259"/>
      <c r="H159" s="258"/>
      <c r="I159" s="259"/>
      <c r="J159" s="258"/>
      <c r="K159" s="259"/>
      <c r="L159" s="275"/>
      <c r="M159" s="259"/>
      <c r="N159" s="258"/>
      <c r="O159" s="259"/>
      <c r="P159" s="258"/>
      <c r="Q159" s="259"/>
      <c r="R159" s="258"/>
      <c r="S159" s="259"/>
      <c r="T159" s="258"/>
      <c r="U159" s="259"/>
      <c r="V159" s="258"/>
      <c r="W159" s="259"/>
      <c r="X159" s="258"/>
      <c r="Y159" s="259"/>
      <c r="Z159" s="259"/>
      <c r="AA159" s="258"/>
      <c r="AB159" s="259"/>
      <c r="AC159" s="258"/>
      <c r="AD159" s="259"/>
      <c r="AE159" s="259"/>
      <c r="AF159" s="258">
        <f>BuildFund!I27</f>
        <v>0</v>
      </c>
      <c r="AG159" s="259"/>
      <c r="AH159" s="258"/>
      <c r="AI159" s="259"/>
      <c r="AJ159" s="258"/>
      <c r="AK159" s="259"/>
      <c r="AL159" s="258"/>
      <c r="AM159" s="259"/>
      <c r="AN159" s="258"/>
      <c r="AO159" s="259"/>
      <c r="AP159" s="258"/>
      <c r="AQ159" s="259"/>
      <c r="AR159" s="258"/>
      <c r="AS159" s="259"/>
      <c r="AT159" s="259"/>
      <c r="AU159" s="258"/>
      <c r="AV159" s="259"/>
      <c r="AW159" s="258"/>
      <c r="AX159" s="259"/>
      <c r="AY159" s="258"/>
      <c r="AZ159" s="259"/>
      <c r="BA159" s="258"/>
      <c r="BB159" s="259"/>
      <c r="BC159" s="258"/>
      <c r="BD159" s="259"/>
      <c r="BE159" s="258"/>
      <c r="BF159" s="259"/>
      <c r="BG159" s="258"/>
      <c r="BH159" s="259"/>
      <c r="BI159" s="258">
        <f t="shared" ref="BI159:BI164" si="14">D159+F159+H159+J159+X159+N159+P159+R159+L159+T159+V159+AC159+AF159+AH159+AJ159+AL159+AN159+AP159+AR159+AU159+AW159+AY159+BA159+BC159+BG159+BE159+AA159</f>
        <v>0</v>
      </c>
      <c r="BJ159" s="262"/>
      <c r="BK159" s="263"/>
      <c r="BL159" s="263"/>
      <c r="BM159" s="264"/>
    </row>
    <row r="160" spans="1:65" s="276" customFormat="1" ht="18" x14ac:dyDescent="0.25">
      <c r="A160" s="240" t="s">
        <v>333</v>
      </c>
      <c r="B160" s="277" t="s">
        <v>881</v>
      </c>
      <c r="C160" s="262"/>
      <c r="D160" s="275">
        <f>SUM(GenFundExp2!I618+GenFundExp2!I619)</f>
        <v>0</v>
      </c>
      <c r="E160" s="259"/>
      <c r="F160" s="275">
        <f>SUM(CharterFundExp2!I618+CharterFundExp2!I619)</f>
        <v>0</v>
      </c>
      <c r="G160" s="259"/>
      <c r="H160" s="258"/>
      <c r="I160" s="259"/>
      <c r="J160" s="258"/>
      <c r="K160" s="259"/>
      <c r="L160" s="275"/>
      <c r="M160" s="259"/>
      <c r="N160" s="258"/>
      <c r="O160" s="259"/>
      <c r="P160" s="258"/>
      <c r="Q160" s="259"/>
      <c r="R160" s="258"/>
      <c r="S160" s="259"/>
      <c r="T160" s="258"/>
      <c r="U160" s="259"/>
      <c r="V160" s="258"/>
      <c r="W160" s="259"/>
      <c r="X160" s="258"/>
      <c r="Y160" s="259"/>
      <c r="Z160" s="259"/>
      <c r="AA160" s="258"/>
      <c r="AB160" s="259"/>
      <c r="AC160" s="258"/>
      <c r="AD160" s="259"/>
      <c r="AE160" s="259"/>
      <c r="AF160" s="258"/>
      <c r="AG160" s="259"/>
      <c r="AH160" s="258"/>
      <c r="AI160" s="259"/>
      <c r="AJ160" s="258"/>
      <c r="AK160" s="259"/>
      <c r="AL160" s="258"/>
      <c r="AM160" s="259"/>
      <c r="AN160" s="258"/>
      <c r="AO160" s="259"/>
      <c r="AP160" s="258"/>
      <c r="AQ160" s="259"/>
      <c r="AR160" s="258"/>
      <c r="AS160" s="259"/>
      <c r="AT160" s="259"/>
      <c r="AU160" s="258"/>
      <c r="AV160" s="259"/>
      <c r="AW160" s="258"/>
      <c r="AX160" s="259"/>
      <c r="AY160" s="258"/>
      <c r="AZ160" s="259"/>
      <c r="BA160" s="258"/>
      <c r="BB160" s="259"/>
      <c r="BC160" s="258"/>
      <c r="BD160" s="259"/>
      <c r="BE160" s="258"/>
      <c r="BF160" s="259"/>
      <c r="BG160" s="258"/>
      <c r="BH160" s="259"/>
      <c r="BI160" s="258">
        <f t="shared" si="14"/>
        <v>0</v>
      </c>
      <c r="BJ160" s="262"/>
      <c r="BK160" s="263"/>
      <c r="BL160" s="263"/>
      <c r="BM160" s="264"/>
    </row>
    <row r="161" spans="1:65" s="276" customFormat="1" ht="36" x14ac:dyDescent="0.25">
      <c r="A161" s="240" t="s">
        <v>334</v>
      </c>
      <c r="B161" s="277" t="s">
        <v>246</v>
      </c>
      <c r="C161" s="262"/>
      <c r="D161" s="258">
        <f>SUM(GenFundExp2!I620:I630)</f>
        <v>0</v>
      </c>
      <c r="E161" s="259"/>
      <c r="F161" s="258">
        <f>SUM(CharterFundExp2!I620:I630)</f>
        <v>0</v>
      </c>
      <c r="G161" s="259"/>
      <c r="H161" s="258"/>
      <c r="I161" s="259"/>
      <c r="J161" s="258"/>
      <c r="K161" s="259"/>
      <c r="L161" s="275"/>
      <c r="M161" s="259"/>
      <c r="N161" s="258"/>
      <c r="O161" s="259"/>
      <c r="P161" s="258"/>
      <c r="Q161" s="259"/>
      <c r="R161" s="258"/>
      <c r="S161" s="259"/>
      <c r="T161" s="258"/>
      <c r="U161" s="259"/>
      <c r="V161" s="258"/>
      <c r="W161" s="259"/>
      <c r="X161" s="258"/>
      <c r="Y161" s="259"/>
      <c r="Z161" s="259"/>
      <c r="AA161" s="258"/>
      <c r="AB161" s="259"/>
      <c r="AC161" s="258"/>
      <c r="AD161" s="259"/>
      <c r="AE161" s="259"/>
      <c r="AF161" s="258">
        <f>SUM(BuildFund!I28)</f>
        <v>0</v>
      </c>
      <c r="AG161" s="259"/>
      <c r="AH161" s="258"/>
      <c r="AI161" s="259"/>
      <c r="AJ161" s="258"/>
      <c r="AK161" s="259"/>
      <c r="AL161" s="258"/>
      <c r="AM161" s="259"/>
      <c r="AN161" s="258"/>
      <c r="AO161" s="259"/>
      <c r="AP161" s="258"/>
      <c r="AQ161" s="259"/>
      <c r="AR161" s="258"/>
      <c r="AS161" s="259"/>
      <c r="AT161" s="259"/>
      <c r="AU161" s="258"/>
      <c r="AV161" s="259"/>
      <c r="AW161" s="258"/>
      <c r="AX161" s="259"/>
      <c r="AY161" s="258"/>
      <c r="AZ161" s="259"/>
      <c r="BA161" s="258"/>
      <c r="BB161" s="259"/>
      <c r="BC161" s="258"/>
      <c r="BD161" s="259"/>
      <c r="BE161" s="258"/>
      <c r="BF161" s="259"/>
      <c r="BG161" s="258"/>
      <c r="BH161" s="259"/>
      <c r="BI161" s="258">
        <f t="shared" si="14"/>
        <v>0</v>
      </c>
      <c r="BJ161" s="262"/>
      <c r="BK161" s="263"/>
      <c r="BL161" s="263"/>
      <c r="BM161" s="264"/>
    </row>
    <row r="162" spans="1:65" s="276" customFormat="1" ht="18" x14ac:dyDescent="0.25">
      <c r="A162" s="240" t="s">
        <v>347</v>
      </c>
      <c r="B162" s="277" t="s">
        <v>885</v>
      </c>
      <c r="C162" s="262"/>
      <c r="D162" s="258">
        <f>SUM(GenFundExp2!I631:I632)</f>
        <v>0</v>
      </c>
      <c r="E162" s="259"/>
      <c r="F162" s="258">
        <f>SUM(CharterFundExp2!I631:I632)</f>
        <v>0</v>
      </c>
      <c r="G162" s="259"/>
      <c r="H162" s="258"/>
      <c r="I162" s="259"/>
      <c r="J162" s="258"/>
      <c r="K162" s="259"/>
      <c r="L162" s="275"/>
      <c r="M162" s="259"/>
      <c r="N162" s="258"/>
      <c r="O162" s="259"/>
      <c r="P162" s="258"/>
      <c r="Q162" s="259"/>
      <c r="R162" s="258"/>
      <c r="S162" s="259"/>
      <c r="T162" s="258"/>
      <c r="U162" s="259"/>
      <c r="V162" s="258"/>
      <c r="W162" s="259"/>
      <c r="X162" s="258"/>
      <c r="Y162" s="259"/>
      <c r="Z162" s="259"/>
      <c r="AA162" s="258"/>
      <c r="AB162" s="259"/>
      <c r="AC162" s="258"/>
      <c r="AD162" s="259"/>
      <c r="AE162" s="259"/>
      <c r="AF162" s="258">
        <f>BuildFund!I29</f>
        <v>0</v>
      </c>
      <c r="AG162" s="259"/>
      <c r="AH162" s="258"/>
      <c r="AI162" s="259"/>
      <c r="AJ162" s="258"/>
      <c r="AK162" s="259"/>
      <c r="AL162" s="258"/>
      <c r="AM162" s="259"/>
      <c r="AN162" s="258"/>
      <c r="AO162" s="259"/>
      <c r="AP162" s="258"/>
      <c r="AQ162" s="259"/>
      <c r="AR162" s="258"/>
      <c r="AS162" s="259"/>
      <c r="AT162" s="259"/>
      <c r="AU162" s="258"/>
      <c r="AV162" s="259"/>
      <c r="AW162" s="258"/>
      <c r="AX162" s="259"/>
      <c r="AY162" s="258"/>
      <c r="AZ162" s="259"/>
      <c r="BA162" s="258"/>
      <c r="BB162" s="259"/>
      <c r="BC162" s="258"/>
      <c r="BD162" s="259"/>
      <c r="BE162" s="258"/>
      <c r="BF162" s="259"/>
      <c r="BG162" s="258"/>
      <c r="BH162" s="259"/>
      <c r="BI162" s="258">
        <f t="shared" si="14"/>
        <v>0</v>
      </c>
      <c r="BJ162" s="262"/>
      <c r="BK162" s="263"/>
      <c r="BL162" s="263"/>
      <c r="BM162" s="264"/>
    </row>
    <row r="163" spans="1:65" s="276" customFormat="1" ht="18" x14ac:dyDescent="0.25">
      <c r="A163" s="240" t="s">
        <v>348</v>
      </c>
      <c r="B163" s="277" t="s">
        <v>886</v>
      </c>
      <c r="C163" s="262"/>
      <c r="D163" s="258">
        <f>SUM(GenFundExp2!I633:I641)</f>
        <v>0</v>
      </c>
      <c r="E163" s="259"/>
      <c r="F163" s="258">
        <f>SUM(CharterFundExp2!I633:I641)</f>
        <v>0</v>
      </c>
      <c r="G163" s="259"/>
      <c r="H163" s="258"/>
      <c r="I163" s="259"/>
      <c r="J163" s="258"/>
      <c r="K163" s="259"/>
      <c r="L163" s="275"/>
      <c r="M163" s="259"/>
      <c r="N163" s="258"/>
      <c r="O163" s="259"/>
      <c r="P163" s="258"/>
      <c r="Q163" s="259"/>
      <c r="R163" s="258"/>
      <c r="S163" s="259"/>
      <c r="T163" s="258"/>
      <c r="U163" s="259"/>
      <c r="V163" s="258"/>
      <c r="W163" s="259"/>
      <c r="X163" s="258"/>
      <c r="Y163" s="259"/>
      <c r="Z163" s="259"/>
      <c r="AA163" s="258"/>
      <c r="AB163" s="259"/>
      <c r="AC163" s="258"/>
      <c r="AD163" s="259"/>
      <c r="AE163" s="259"/>
      <c r="AF163" s="258">
        <f>SUM(BuildFund!I30:I37)</f>
        <v>0</v>
      </c>
      <c r="AG163" s="259"/>
      <c r="AH163" s="258"/>
      <c r="AI163" s="259"/>
      <c r="AJ163" s="258"/>
      <c r="AK163" s="259"/>
      <c r="AL163" s="258"/>
      <c r="AM163" s="259"/>
      <c r="AN163" s="258"/>
      <c r="AO163" s="259"/>
      <c r="AP163" s="258"/>
      <c r="AQ163" s="259"/>
      <c r="AR163" s="258"/>
      <c r="AS163" s="259"/>
      <c r="AT163" s="259"/>
      <c r="AU163" s="258"/>
      <c r="AV163" s="259"/>
      <c r="AW163" s="258"/>
      <c r="AX163" s="259"/>
      <c r="AY163" s="258"/>
      <c r="AZ163" s="259"/>
      <c r="BA163" s="258"/>
      <c r="BB163" s="259"/>
      <c r="BC163" s="258"/>
      <c r="BD163" s="259"/>
      <c r="BE163" s="258"/>
      <c r="BF163" s="259"/>
      <c r="BG163" s="258"/>
      <c r="BH163" s="259"/>
      <c r="BI163" s="258">
        <f t="shared" si="14"/>
        <v>0</v>
      </c>
      <c r="BJ163" s="262"/>
      <c r="BK163" s="263"/>
      <c r="BL163" s="263"/>
      <c r="BM163" s="264"/>
    </row>
    <row r="164" spans="1:65" s="276" customFormat="1" ht="18.75" thickBot="1" x14ac:dyDescent="0.3">
      <c r="A164" s="240" t="s">
        <v>349</v>
      </c>
      <c r="B164" s="277" t="s">
        <v>350</v>
      </c>
      <c r="C164" s="259"/>
      <c r="D164" s="258">
        <f>SUM(GenFundExp2!I642:I645)</f>
        <v>0</v>
      </c>
      <c r="E164" s="259"/>
      <c r="F164" s="258">
        <f>SUM(CharterFundExp2!I642:I645)</f>
        <v>0</v>
      </c>
      <c r="G164" s="259"/>
      <c r="H164" s="258"/>
      <c r="I164" s="259"/>
      <c r="J164" s="258"/>
      <c r="K164" s="259"/>
      <c r="L164" s="275"/>
      <c r="M164" s="259"/>
      <c r="N164" s="258"/>
      <c r="O164" s="259"/>
      <c r="P164" s="258"/>
      <c r="Q164" s="259"/>
      <c r="R164" s="258"/>
      <c r="S164" s="259"/>
      <c r="T164" s="258"/>
      <c r="U164" s="259"/>
      <c r="V164" s="258"/>
      <c r="W164" s="259"/>
      <c r="X164" s="258"/>
      <c r="Y164" s="259"/>
      <c r="Z164" s="259"/>
      <c r="AA164" s="258"/>
      <c r="AB164" s="259"/>
      <c r="AC164" s="258"/>
      <c r="AD164" s="259"/>
      <c r="AE164" s="259"/>
      <c r="AF164" s="258">
        <f>SUM(BuildFund!I38+BuildFund!I39+BuildFund!I40)</f>
        <v>0</v>
      </c>
      <c r="AG164" s="259"/>
      <c r="AH164" s="258"/>
      <c r="AI164" s="259"/>
      <c r="AJ164" s="258"/>
      <c r="AK164" s="259"/>
      <c r="AL164" s="258"/>
      <c r="AM164" s="259"/>
      <c r="AN164" s="258"/>
      <c r="AO164" s="259"/>
      <c r="AP164" s="258"/>
      <c r="AQ164" s="259"/>
      <c r="AR164" s="258"/>
      <c r="AS164" s="259"/>
      <c r="AT164" s="259"/>
      <c r="AU164" s="258"/>
      <c r="AV164" s="259"/>
      <c r="AW164" s="258"/>
      <c r="AX164" s="259"/>
      <c r="AY164" s="258"/>
      <c r="AZ164" s="259"/>
      <c r="BA164" s="258"/>
      <c r="BB164" s="259"/>
      <c r="BC164" s="258"/>
      <c r="BD164" s="259"/>
      <c r="BE164" s="258"/>
      <c r="BF164" s="259"/>
      <c r="BG164" s="258"/>
      <c r="BH164" s="259"/>
      <c r="BI164" s="258">
        <f t="shared" si="14"/>
        <v>0</v>
      </c>
      <c r="BJ164" s="259"/>
      <c r="BK164" s="263"/>
      <c r="BL164" s="263"/>
      <c r="BM164" s="264"/>
    </row>
    <row r="165" spans="1:65" s="276" customFormat="1" ht="18.75" thickBot="1" x14ac:dyDescent="0.3">
      <c r="A165" s="265" t="s">
        <v>373</v>
      </c>
      <c r="B165" s="273"/>
      <c r="C165" s="269"/>
      <c r="D165" s="268">
        <f>SUM(D159:D164)</f>
        <v>0</v>
      </c>
      <c r="E165" s="269"/>
      <c r="F165" s="268">
        <f>SUM(F159:F164)</f>
        <v>0</v>
      </c>
      <c r="G165" s="269"/>
      <c r="H165" s="268">
        <f>SUM(H159:H164)</f>
        <v>0</v>
      </c>
      <c r="I165" s="269"/>
      <c r="J165" s="268">
        <f>SUM(J159:J164)</f>
        <v>0</v>
      </c>
      <c r="K165" s="269"/>
      <c r="L165" s="268">
        <f>SUM(L159:L164)</f>
        <v>0</v>
      </c>
      <c r="M165" s="269"/>
      <c r="N165" s="268">
        <f>SUM(N159:N164)</f>
        <v>0</v>
      </c>
      <c r="O165" s="269"/>
      <c r="P165" s="268">
        <f>SUM(P159:P164)</f>
        <v>0</v>
      </c>
      <c r="Q165" s="269"/>
      <c r="R165" s="268">
        <f>SUM(R159:R164)</f>
        <v>0</v>
      </c>
      <c r="S165" s="269"/>
      <c r="T165" s="268">
        <f>SUM(T159:T164)</f>
        <v>0</v>
      </c>
      <c r="U165" s="269"/>
      <c r="V165" s="268">
        <f>SUM(V159:V164)</f>
        <v>0</v>
      </c>
      <c r="W165" s="269"/>
      <c r="X165" s="268">
        <f>SUM(X159:X164)</f>
        <v>0</v>
      </c>
      <c r="Y165" s="269"/>
      <c r="Z165" s="269"/>
      <c r="AA165" s="268">
        <f>SUM(AA159:AA164)</f>
        <v>0</v>
      </c>
      <c r="AB165" s="269"/>
      <c r="AC165" s="268">
        <f>SUM(AC159:AC164)</f>
        <v>0</v>
      </c>
      <c r="AD165" s="269"/>
      <c r="AE165" s="269"/>
      <c r="AF165" s="268">
        <f>SUM(AF159:AF164)</f>
        <v>0</v>
      </c>
      <c r="AG165" s="269"/>
      <c r="AH165" s="268">
        <f>SUM(AH159:AH164)</f>
        <v>0</v>
      </c>
      <c r="AI165" s="269"/>
      <c r="AJ165" s="268">
        <f>SUM(AJ159:AJ164)</f>
        <v>0</v>
      </c>
      <c r="AK165" s="269"/>
      <c r="AL165" s="268">
        <f>SUM(AL159:AL164)</f>
        <v>0</v>
      </c>
      <c r="AM165" s="269"/>
      <c r="AN165" s="268">
        <f>SUM(AN159:AN164)</f>
        <v>0</v>
      </c>
      <c r="AO165" s="269"/>
      <c r="AP165" s="268">
        <f>SUM(AP159:AP164)</f>
        <v>0</v>
      </c>
      <c r="AQ165" s="269"/>
      <c r="AR165" s="268">
        <f>SUM(AR159:AR164)</f>
        <v>0</v>
      </c>
      <c r="AS165" s="269"/>
      <c r="AT165" s="269"/>
      <c r="AU165" s="268">
        <f>SUM(AU159:AU164)</f>
        <v>0</v>
      </c>
      <c r="AV165" s="269"/>
      <c r="AW165" s="268">
        <f>SUM(AW159:AW164)</f>
        <v>0</v>
      </c>
      <c r="AX165" s="269"/>
      <c r="AY165" s="268">
        <f>SUM(AY159:AY164)</f>
        <v>0</v>
      </c>
      <c r="AZ165" s="269"/>
      <c r="BA165" s="268">
        <f>SUM(BA159:BA164)</f>
        <v>0</v>
      </c>
      <c r="BB165" s="269"/>
      <c r="BC165" s="268">
        <f>SUM(BC159:BC164)</f>
        <v>0</v>
      </c>
      <c r="BD165" s="269"/>
      <c r="BE165" s="268">
        <f>SUM(BE159:BE164)</f>
        <v>0</v>
      </c>
      <c r="BF165" s="269"/>
      <c r="BG165" s="268">
        <f>SUM(BG159:BG164)</f>
        <v>0</v>
      </c>
      <c r="BH165" s="269"/>
      <c r="BI165" s="268">
        <f>D165+F165+H165+J165+X165+N165+P165+R165+L165+T165+V165+AC165+AF165+AH165+AJ165+AL165+AN165+AP165+AR165+AU165+AW165+AY165+BA165+BC165+BG165+BE165+AA165</f>
        <v>0</v>
      </c>
      <c r="BJ165" s="269"/>
      <c r="BK165" s="270"/>
      <c r="BL165" s="270"/>
      <c r="BM165" s="264"/>
    </row>
    <row r="166" spans="1:65" s="276" customFormat="1" ht="18" x14ac:dyDescent="0.25">
      <c r="A166" s="240"/>
      <c r="B166" s="256"/>
      <c r="C166" s="262"/>
      <c r="D166" s="258"/>
      <c r="E166" s="259"/>
      <c r="F166" s="258"/>
      <c r="G166" s="259"/>
      <c r="H166" s="258"/>
      <c r="I166" s="259"/>
      <c r="J166" s="258"/>
      <c r="K166" s="259"/>
      <c r="L166" s="275"/>
      <c r="M166" s="259"/>
      <c r="N166" s="258"/>
      <c r="O166" s="259"/>
      <c r="P166" s="258"/>
      <c r="Q166" s="259"/>
      <c r="R166" s="258"/>
      <c r="S166" s="259"/>
      <c r="T166" s="258"/>
      <c r="U166" s="259"/>
      <c r="V166" s="258"/>
      <c r="W166" s="259"/>
      <c r="X166" s="258"/>
      <c r="Y166" s="259"/>
      <c r="Z166" s="259"/>
      <c r="AA166" s="258"/>
      <c r="AB166" s="259"/>
      <c r="AC166" s="258"/>
      <c r="AD166" s="259"/>
      <c r="AE166" s="259"/>
      <c r="AF166" s="258"/>
      <c r="AG166" s="259"/>
      <c r="AH166" s="258"/>
      <c r="AI166" s="259"/>
      <c r="AJ166" s="258"/>
      <c r="AK166" s="259"/>
      <c r="AL166" s="258"/>
      <c r="AM166" s="259"/>
      <c r="AN166" s="258"/>
      <c r="AO166" s="259"/>
      <c r="AP166" s="258"/>
      <c r="AQ166" s="259"/>
      <c r="AR166" s="258"/>
      <c r="AS166" s="259"/>
      <c r="AT166" s="259"/>
      <c r="AU166" s="258"/>
      <c r="AV166" s="259"/>
      <c r="AW166" s="258"/>
      <c r="AX166" s="259"/>
      <c r="AY166" s="258"/>
      <c r="AZ166" s="259"/>
      <c r="BA166" s="258"/>
      <c r="BB166" s="259"/>
      <c r="BC166" s="258"/>
      <c r="BD166" s="259"/>
      <c r="BE166" s="258"/>
      <c r="BF166" s="259"/>
      <c r="BG166" s="258"/>
      <c r="BH166" s="259"/>
      <c r="BI166" s="264"/>
      <c r="BJ166" s="262"/>
      <c r="BK166" s="263"/>
      <c r="BL166" s="263"/>
      <c r="BM166" s="264"/>
    </row>
    <row r="167" spans="1:65" s="276" customFormat="1" ht="72" x14ac:dyDescent="0.25">
      <c r="A167" s="240" t="s">
        <v>305</v>
      </c>
      <c r="B167" s="256"/>
      <c r="C167" s="262"/>
      <c r="D167" s="258"/>
      <c r="E167" s="259"/>
      <c r="F167" s="258"/>
      <c r="G167" s="259"/>
      <c r="H167" s="258"/>
      <c r="I167" s="259"/>
      <c r="J167" s="258"/>
      <c r="K167" s="259"/>
      <c r="L167" s="275"/>
      <c r="M167" s="259"/>
      <c r="N167" s="258"/>
      <c r="O167" s="259"/>
      <c r="P167" s="258"/>
      <c r="Q167" s="259"/>
      <c r="R167" s="258"/>
      <c r="S167" s="259"/>
      <c r="T167" s="258"/>
      <c r="U167" s="259"/>
      <c r="V167" s="258"/>
      <c r="W167" s="259"/>
      <c r="X167" s="258"/>
      <c r="Y167" s="259"/>
      <c r="Z167" s="259"/>
      <c r="AA167" s="258"/>
      <c r="AB167" s="259"/>
      <c r="AC167" s="258"/>
      <c r="AD167" s="259"/>
      <c r="AE167" s="259"/>
      <c r="AF167" s="258"/>
      <c r="AG167" s="259"/>
      <c r="AH167" s="258"/>
      <c r="AI167" s="259"/>
      <c r="AJ167" s="258"/>
      <c r="AK167" s="259"/>
      <c r="AL167" s="258"/>
      <c r="AM167" s="259"/>
      <c r="AN167" s="258"/>
      <c r="AO167" s="259"/>
      <c r="AP167" s="258"/>
      <c r="AQ167" s="259"/>
      <c r="AR167" s="258"/>
      <c r="AS167" s="259"/>
      <c r="AT167" s="259"/>
      <c r="AU167" s="258"/>
      <c r="AV167" s="259"/>
      <c r="AW167" s="258"/>
      <c r="AX167" s="259"/>
      <c r="AY167" s="258"/>
      <c r="AZ167" s="259"/>
      <c r="BA167" s="258"/>
      <c r="BB167" s="259"/>
      <c r="BC167" s="258"/>
      <c r="BD167" s="259"/>
      <c r="BE167" s="258"/>
      <c r="BF167" s="259"/>
      <c r="BG167" s="258"/>
      <c r="BH167" s="259"/>
      <c r="BI167" s="264"/>
      <c r="BJ167" s="262"/>
      <c r="BK167" s="263"/>
      <c r="BL167" s="263"/>
      <c r="BM167" s="264"/>
    </row>
    <row r="168" spans="1:65" s="276" customFormat="1" ht="18" x14ac:dyDescent="0.25">
      <c r="A168" s="240" t="s">
        <v>332</v>
      </c>
      <c r="B168" s="277" t="s">
        <v>880</v>
      </c>
      <c r="C168" s="262"/>
      <c r="D168" s="258"/>
      <c r="E168" s="259"/>
      <c r="F168" s="258"/>
      <c r="G168" s="259"/>
      <c r="H168" s="258"/>
      <c r="I168" s="259"/>
      <c r="J168" s="258"/>
      <c r="K168" s="259"/>
      <c r="L168" s="275"/>
      <c r="M168" s="259"/>
      <c r="N168" s="258"/>
      <c r="O168" s="259"/>
      <c r="P168" s="258"/>
      <c r="Q168" s="259"/>
      <c r="R168" s="258"/>
      <c r="S168" s="259"/>
      <c r="T168" s="258"/>
      <c r="U168" s="259"/>
      <c r="V168" s="258"/>
      <c r="W168" s="259"/>
      <c r="X168" s="258"/>
      <c r="Y168" s="259"/>
      <c r="Z168" s="259"/>
      <c r="AA168" s="258"/>
      <c r="AB168" s="259"/>
      <c r="AC168" s="258"/>
      <c r="AD168" s="259"/>
      <c r="AE168" s="259"/>
      <c r="AF168" s="258"/>
      <c r="AG168" s="259"/>
      <c r="AH168" s="258"/>
      <c r="AI168" s="259"/>
      <c r="AJ168" s="258"/>
      <c r="AK168" s="259"/>
      <c r="AL168" s="258"/>
      <c r="AM168" s="259"/>
      <c r="AN168" s="258"/>
      <c r="AO168" s="259"/>
      <c r="AP168" s="258"/>
      <c r="AQ168" s="259"/>
      <c r="AR168" s="258"/>
      <c r="AS168" s="259"/>
      <c r="AT168" s="259"/>
      <c r="AU168" s="258"/>
      <c r="AV168" s="259"/>
      <c r="AW168" s="258"/>
      <c r="AX168" s="259"/>
      <c r="AY168" s="258"/>
      <c r="AZ168" s="259"/>
      <c r="BA168" s="258"/>
      <c r="BB168" s="259"/>
      <c r="BC168" s="258"/>
      <c r="BD168" s="259"/>
      <c r="BE168" s="258"/>
      <c r="BF168" s="259"/>
      <c r="BG168" s="258"/>
      <c r="BH168" s="259"/>
      <c r="BI168" s="258">
        <f t="shared" ref="BI168:BI173" si="15">D168+F168+H168+J168+X168+N168+P168+R168+L168+T168+V168+AC168+AF168+AH168+AJ168+AL168+AN168+AP168+AR168+AU168+AW168+AY168+BA168+BC168+BG168+BE168+AA168</f>
        <v>0</v>
      </c>
      <c r="BJ168" s="262"/>
      <c r="BK168" s="263"/>
      <c r="BL168" s="263"/>
      <c r="BM168" s="264"/>
    </row>
    <row r="169" spans="1:65" s="276" customFormat="1" ht="18" x14ac:dyDescent="0.25">
      <c r="A169" s="240" t="s">
        <v>333</v>
      </c>
      <c r="B169" s="277" t="s">
        <v>881</v>
      </c>
      <c r="C169" s="262"/>
      <c r="D169" s="258"/>
      <c r="E169" s="259"/>
      <c r="F169" s="258"/>
      <c r="G169" s="259"/>
      <c r="H169" s="258"/>
      <c r="I169" s="259"/>
      <c r="J169" s="258"/>
      <c r="K169" s="259"/>
      <c r="L169" s="275"/>
      <c r="M169" s="259"/>
      <c r="N169" s="258"/>
      <c r="O169" s="259"/>
      <c r="P169" s="258"/>
      <c r="Q169" s="259"/>
      <c r="R169" s="258"/>
      <c r="S169" s="259"/>
      <c r="T169" s="258"/>
      <c r="U169" s="259"/>
      <c r="V169" s="258"/>
      <c r="W169" s="259"/>
      <c r="X169" s="258"/>
      <c r="Y169" s="259"/>
      <c r="Z169" s="259"/>
      <c r="AA169" s="258"/>
      <c r="AB169" s="259"/>
      <c r="AC169" s="258"/>
      <c r="AD169" s="259"/>
      <c r="AE169" s="259"/>
      <c r="AF169" s="258"/>
      <c r="AG169" s="259"/>
      <c r="AH169" s="258"/>
      <c r="AI169" s="259"/>
      <c r="AJ169" s="258"/>
      <c r="AK169" s="259"/>
      <c r="AL169" s="258"/>
      <c r="AM169" s="259"/>
      <c r="AN169" s="258"/>
      <c r="AO169" s="259"/>
      <c r="AP169" s="258"/>
      <c r="AQ169" s="259"/>
      <c r="AR169" s="258"/>
      <c r="AS169" s="259"/>
      <c r="AT169" s="259"/>
      <c r="AU169" s="258"/>
      <c r="AV169" s="259"/>
      <c r="AW169" s="258"/>
      <c r="AX169" s="259"/>
      <c r="AY169" s="258"/>
      <c r="AZ169" s="259"/>
      <c r="BA169" s="258"/>
      <c r="BB169" s="259"/>
      <c r="BC169" s="258"/>
      <c r="BD169" s="259"/>
      <c r="BE169" s="258"/>
      <c r="BF169" s="259"/>
      <c r="BG169" s="258"/>
      <c r="BH169" s="259"/>
      <c r="BI169" s="258">
        <f t="shared" si="15"/>
        <v>0</v>
      </c>
      <c r="BJ169" s="262"/>
      <c r="BK169" s="263"/>
      <c r="BL169" s="263"/>
      <c r="BM169" s="264"/>
    </row>
    <row r="170" spans="1:65" s="276" customFormat="1" ht="36" x14ac:dyDescent="0.25">
      <c r="A170" s="240" t="s">
        <v>334</v>
      </c>
      <c r="B170" s="277" t="s">
        <v>246</v>
      </c>
      <c r="C170" s="262"/>
      <c r="D170" s="258"/>
      <c r="E170" s="259"/>
      <c r="F170" s="258"/>
      <c r="G170" s="259"/>
      <c r="H170" s="258"/>
      <c r="I170" s="259"/>
      <c r="J170" s="258"/>
      <c r="K170" s="259"/>
      <c r="L170" s="275"/>
      <c r="M170" s="259"/>
      <c r="N170" s="258"/>
      <c r="O170" s="259"/>
      <c r="P170" s="258"/>
      <c r="Q170" s="259"/>
      <c r="R170" s="258"/>
      <c r="S170" s="259"/>
      <c r="T170" s="258"/>
      <c r="U170" s="259"/>
      <c r="V170" s="258"/>
      <c r="W170" s="259"/>
      <c r="X170" s="258"/>
      <c r="Y170" s="259"/>
      <c r="Z170" s="259"/>
      <c r="AA170" s="258"/>
      <c r="AB170" s="259"/>
      <c r="AC170" s="258"/>
      <c r="AD170" s="259"/>
      <c r="AE170" s="259"/>
      <c r="AF170" s="258"/>
      <c r="AG170" s="259"/>
      <c r="AH170" s="258"/>
      <c r="AI170" s="259"/>
      <c r="AJ170" s="258"/>
      <c r="AK170" s="259"/>
      <c r="AL170" s="258"/>
      <c r="AM170" s="259"/>
      <c r="AN170" s="258"/>
      <c r="AO170" s="259"/>
      <c r="AP170" s="258"/>
      <c r="AQ170" s="259"/>
      <c r="AR170" s="258"/>
      <c r="AS170" s="259"/>
      <c r="AT170" s="259"/>
      <c r="AU170" s="258"/>
      <c r="AV170" s="259"/>
      <c r="AW170" s="258"/>
      <c r="AX170" s="259"/>
      <c r="AY170" s="258"/>
      <c r="AZ170" s="259"/>
      <c r="BA170" s="258"/>
      <c r="BB170" s="259"/>
      <c r="BC170" s="258"/>
      <c r="BD170" s="259"/>
      <c r="BE170" s="258"/>
      <c r="BF170" s="259"/>
      <c r="BG170" s="258"/>
      <c r="BH170" s="259"/>
      <c r="BI170" s="258">
        <f t="shared" si="15"/>
        <v>0</v>
      </c>
      <c r="BJ170" s="262"/>
      <c r="BK170" s="263"/>
      <c r="BL170" s="263"/>
      <c r="BM170" s="264"/>
    </row>
    <row r="171" spans="1:65" s="276" customFormat="1" ht="18" x14ac:dyDescent="0.25">
      <c r="A171" s="240" t="s">
        <v>347</v>
      </c>
      <c r="B171" s="277" t="s">
        <v>885</v>
      </c>
      <c r="C171" s="262"/>
      <c r="D171" s="258"/>
      <c r="E171" s="259"/>
      <c r="F171" s="258"/>
      <c r="G171" s="259"/>
      <c r="H171" s="258"/>
      <c r="I171" s="259"/>
      <c r="J171" s="258"/>
      <c r="K171" s="259"/>
      <c r="L171" s="275"/>
      <c r="M171" s="259"/>
      <c r="N171" s="258"/>
      <c r="O171" s="259"/>
      <c r="P171" s="258"/>
      <c r="Q171" s="259"/>
      <c r="R171" s="258"/>
      <c r="S171" s="259"/>
      <c r="T171" s="258"/>
      <c r="U171" s="259"/>
      <c r="V171" s="258"/>
      <c r="W171" s="259"/>
      <c r="X171" s="258"/>
      <c r="Y171" s="259"/>
      <c r="Z171" s="259"/>
      <c r="AA171" s="258"/>
      <c r="AB171" s="259"/>
      <c r="AC171" s="258"/>
      <c r="AD171" s="259"/>
      <c r="AE171" s="259"/>
      <c r="AF171" s="258"/>
      <c r="AG171" s="259"/>
      <c r="AH171" s="258"/>
      <c r="AI171" s="259"/>
      <c r="AJ171" s="258"/>
      <c r="AK171" s="259"/>
      <c r="AL171" s="258"/>
      <c r="AM171" s="259"/>
      <c r="AN171" s="258"/>
      <c r="AO171" s="259"/>
      <c r="AP171" s="258"/>
      <c r="AQ171" s="259"/>
      <c r="AR171" s="258"/>
      <c r="AS171" s="259"/>
      <c r="AT171" s="259"/>
      <c r="AU171" s="258"/>
      <c r="AV171" s="259"/>
      <c r="AW171" s="258"/>
      <c r="AX171" s="259"/>
      <c r="AY171" s="258"/>
      <c r="AZ171" s="259"/>
      <c r="BA171" s="258"/>
      <c r="BB171" s="259"/>
      <c r="BC171" s="258"/>
      <c r="BD171" s="259"/>
      <c r="BE171" s="258"/>
      <c r="BF171" s="259"/>
      <c r="BG171" s="258"/>
      <c r="BH171" s="259"/>
      <c r="BI171" s="258">
        <f t="shared" si="15"/>
        <v>0</v>
      </c>
      <c r="BJ171" s="262"/>
      <c r="BK171" s="263"/>
      <c r="BL171" s="263"/>
      <c r="BM171" s="264"/>
    </row>
    <row r="172" spans="1:65" s="276" customFormat="1" ht="18" x14ac:dyDescent="0.25">
      <c r="A172" s="240" t="s">
        <v>348</v>
      </c>
      <c r="B172" s="277" t="s">
        <v>886</v>
      </c>
      <c r="C172" s="262"/>
      <c r="D172" s="258"/>
      <c r="E172" s="259"/>
      <c r="F172" s="258"/>
      <c r="G172" s="259"/>
      <c r="H172" s="258"/>
      <c r="I172" s="259"/>
      <c r="J172" s="258"/>
      <c r="K172" s="259"/>
      <c r="L172" s="275"/>
      <c r="M172" s="259"/>
      <c r="N172" s="258"/>
      <c r="O172" s="259"/>
      <c r="P172" s="258"/>
      <c r="Q172" s="259"/>
      <c r="R172" s="258"/>
      <c r="S172" s="259"/>
      <c r="T172" s="258"/>
      <c r="U172" s="259"/>
      <c r="V172" s="258"/>
      <c r="W172" s="259"/>
      <c r="X172" s="258"/>
      <c r="Y172" s="259"/>
      <c r="Z172" s="259"/>
      <c r="AA172" s="258"/>
      <c r="AB172" s="259"/>
      <c r="AC172" s="258"/>
      <c r="AD172" s="259"/>
      <c r="AE172" s="259"/>
      <c r="AF172" s="258"/>
      <c r="AG172" s="259"/>
      <c r="AH172" s="258"/>
      <c r="AI172" s="259"/>
      <c r="AJ172" s="258"/>
      <c r="AK172" s="259"/>
      <c r="AL172" s="258"/>
      <c r="AM172" s="259"/>
      <c r="AN172" s="258"/>
      <c r="AO172" s="259"/>
      <c r="AP172" s="258"/>
      <c r="AQ172" s="259"/>
      <c r="AR172" s="258"/>
      <c r="AS172" s="259"/>
      <c r="AT172" s="259"/>
      <c r="AU172" s="258"/>
      <c r="AV172" s="259"/>
      <c r="AW172" s="258"/>
      <c r="AX172" s="259"/>
      <c r="AY172" s="258"/>
      <c r="AZ172" s="259"/>
      <c r="BA172" s="258"/>
      <c r="BB172" s="259"/>
      <c r="BC172" s="258"/>
      <c r="BD172" s="259"/>
      <c r="BE172" s="258"/>
      <c r="BF172" s="259"/>
      <c r="BG172" s="258"/>
      <c r="BH172" s="259"/>
      <c r="BI172" s="258">
        <f t="shared" si="15"/>
        <v>0</v>
      </c>
      <c r="BJ172" s="262"/>
      <c r="BK172" s="263"/>
      <c r="BL172" s="263"/>
      <c r="BM172" s="264"/>
    </row>
    <row r="173" spans="1:65" s="276" customFormat="1" ht="18.75" thickBot="1" x14ac:dyDescent="0.3">
      <c r="A173" s="240" t="s">
        <v>349</v>
      </c>
      <c r="B173" s="277" t="s">
        <v>350</v>
      </c>
      <c r="C173" s="259"/>
      <c r="D173" s="258">
        <f>SUM(GenFundExp2!I653+GenFundExp2!I655+GenFundExp2!I656+GenFundExp2!I658)</f>
        <v>0</v>
      </c>
      <c r="E173" s="259"/>
      <c r="F173" s="258">
        <f>SUM(CharterFundExp2!I653+CharterFundExp2!I655+CharterFundExp2!I656+CharterFundExp2!I658)</f>
        <v>0</v>
      </c>
      <c r="G173" s="259"/>
      <c r="H173" s="258">
        <f>+InsResv!I36</f>
        <v>0</v>
      </c>
      <c r="I173" s="259"/>
      <c r="J173" s="258">
        <f>'CPP Fund'!I115+'CPP Fund'!I116</f>
        <v>0</v>
      </c>
      <c r="K173" s="259"/>
      <c r="L173" s="275"/>
      <c r="M173" s="259"/>
      <c r="N173" s="258">
        <f>SUM(FoodServiceSRF!I47)</f>
        <v>0</v>
      </c>
      <c r="O173" s="259"/>
      <c r="P173" s="258">
        <f>+GovGrants!J166</f>
        <v>0</v>
      </c>
      <c r="Q173" s="259"/>
      <c r="R173" s="258">
        <f>+PupActiv!I50</f>
        <v>0</v>
      </c>
      <c r="S173" s="259"/>
      <c r="T173" s="258"/>
      <c r="U173" s="259"/>
      <c r="V173" s="258"/>
      <c r="W173" s="259"/>
      <c r="X173" s="258">
        <f>SUM(OthSpecRev!I50:I53)</f>
        <v>0</v>
      </c>
      <c r="Y173" s="259"/>
      <c r="Z173" s="259"/>
      <c r="AA173" s="258">
        <f>SUM(BondRedm!I32:I35)</f>
        <v>0</v>
      </c>
      <c r="AB173" s="259"/>
      <c r="AC173" s="258">
        <f>SUM(COPDebt!I32:I35)</f>
        <v>0</v>
      </c>
      <c r="AD173" s="259"/>
      <c r="AE173" s="259"/>
      <c r="AF173" s="258"/>
      <c r="AG173" s="259"/>
      <c r="AH173" s="258"/>
      <c r="AI173" s="259"/>
      <c r="AJ173" s="258">
        <f>SUM(CapResCapPrj!I71:I74)</f>
        <v>0</v>
      </c>
      <c r="AK173" s="259"/>
      <c r="AL173" s="258"/>
      <c r="AM173" s="259"/>
      <c r="AN173" s="258">
        <f>SUM('DO NOT USE'!I32:I45)</f>
        <v>0</v>
      </c>
      <c r="AO173" s="259"/>
      <c r="AP173" s="258"/>
      <c r="AQ173" s="259"/>
      <c r="AR173" s="258"/>
      <c r="AS173" s="259"/>
      <c r="AT173" s="259"/>
      <c r="AU173" s="258"/>
      <c r="AV173" s="259"/>
      <c r="AW173" s="258"/>
      <c r="AX173" s="259"/>
      <c r="AY173" s="258"/>
      <c r="AZ173" s="259"/>
      <c r="BA173" s="258"/>
      <c r="BB173" s="259"/>
      <c r="BC173" s="258"/>
      <c r="BD173" s="259"/>
      <c r="BE173" s="258"/>
      <c r="BF173" s="259"/>
      <c r="BG173" s="258"/>
      <c r="BH173" s="259"/>
      <c r="BI173" s="258">
        <f t="shared" si="15"/>
        <v>0</v>
      </c>
      <c r="BJ173" s="259"/>
      <c r="BK173" s="263"/>
      <c r="BL173" s="263"/>
      <c r="BM173" s="264"/>
    </row>
    <row r="174" spans="1:65" s="276" customFormat="1" ht="18.75" thickBot="1" x14ac:dyDescent="0.3">
      <c r="A174" s="265" t="s">
        <v>302</v>
      </c>
      <c r="B174" s="273"/>
      <c r="C174" s="269"/>
      <c r="D174" s="268">
        <f>SUM(D168:D173)</f>
        <v>0</v>
      </c>
      <c r="E174" s="269"/>
      <c r="F174" s="268">
        <f>SUM(F168:F173)</f>
        <v>0</v>
      </c>
      <c r="G174" s="269"/>
      <c r="H174" s="268">
        <f>SUM(H168:H173)</f>
        <v>0</v>
      </c>
      <c r="I174" s="269"/>
      <c r="J174" s="268">
        <f>SUM(J168:J173)</f>
        <v>0</v>
      </c>
      <c r="K174" s="269"/>
      <c r="L174" s="268">
        <f>SUM(L168:L173)</f>
        <v>0</v>
      </c>
      <c r="M174" s="269"/>
      <c r="N174" s="268">
        <f>SUM(N168:N173)</f>
        <v>0</v>
      </c>
      <c r="O174" s="269"/>
      <c r="P174" s="268">
        <f>SUM(P168:P173)</f>
        <v>0</v>
      </c>
      <c r="Q174" s="269"/>
      <c r="R174" s="268">
        <f>SUM(R168:R173)</f>
        <v>0</v>
      </c>
      <c r="S174" s="269"/>
      <c r="T174" s="268">
        <f>SUM(T168:T173)</f>
        <v>0</v>
      </c>
      <c r="U174" s="269"/>
      <c r="V174" s="268">
        <f>SUM(V168:V173)</f>
        <v>0</v>
      </c>
      <c r="W174" s="269"/>
      <c r="X174" s="268">
        <f>SUM(X168:X173)</f>
        <v>0</v>
      </c>
      <c r="Y174" s="269"/>
      <c r="Z174" s="269"/>
      <c r="AA174" s="268">
        <f>SUM(AA168:AA173)</f>
        <v>0</v>
      </c>
      <c r="AB174" s="269"/>
      <c r="AC174" s="268">
        <f>SUM(AC168:AC173)</f>
        <v>0</v>
      </c>
      <c r="AD174" s="269"/>
      <c r="AE174" s="269"/>
      <c r="AF174" s="268">
        <f>SUM(AF168:AF173)</f>
        <v>0</v>
      </c>
      <c r="AG174" s="269"/>
      <c r="AH174" s="268">
        <f>SUM(AH168:AH173)</f>
        <v>0</v>
      </c>
      <c r="AI174" s="269"/>
      <c r="AJ174" s="268">
        <f>SUM(AJ168:AJ173)</f>
        <v>0</v>
      </c>
      <c r="AK174" s="269"/>
      <c r="AL174" s="268">
        <f>SUM(AL168:AL173)</f>
        <v>0</v>
      </c>
      <c r="AM174" s="269"/>
      <c r="AN174" s="268">
        <f>SUM(AN168:AN173)</f>
        <v>0</v>
      </c>
      <c r="AO174" s="269"/>
      <c r="AP174" s="268">
        <f>SUM(AP168:AP173)</f>
        <v>0</v>
      </c>
      <c r="AQ174" s="269"/>
      <c r="AR174" s="268">
        <f>SUM(AR168:AR173)</f>
        <v>0</v>
      </c>
      <c r="AS174" s="269"/>
      <c r="AT174" s="269"/>
      <c r="AU174" s="268">
        <f>SUM(AU168:AU173)</f>
        <v>0</v>
      </c>
      <c r="AV174" s="269"/>
      <c r="AW174" s="268">
        <f>SUM(AW168:AW173)</f>
        <v>0</v>
      </c>
      <c r="AX174" s="269"/>
      <c r="AY174" s="268">
        <f>SUM(AY168:AY173)</f>
        <v>0</v>
      </c>
      <c r="AZ174" s="269"/>
      <c r="BA174" s="268">
        <f>SUM(BA168:BA173)</f>
        <v>0</v>
      </c>
      <c r="BB174" s="269"/>
      <c r="BC174" s="268">
        <f>SUM(BC168:BC173)</f>
        <v>0</v>
      </c>
      <c r="BD174" s="269"/>
      <c r="BE174" s="268">
        <f>SUM(BE168:BE173)</f>
        <v>0</v>
      </c>
      <c r="BF174" s="269"/>
      <c r="BG174" s="268">
        <f>SUM(BG168:BG173)</f>
        <v>0</v>
      </c>
      <c r="BH174" s="269"/>
      <c r="BI174" s="268">
        <f>D174+F174+H174+J174+X174+N174+P174+R174+L174+T174+V174+AC174+AF174+AH174+AJ174+AL174+AN174+AP174+AR174+AU174+AW174+AY174+BA174+BC174+BG174+BE174+AA174</f>
        <v>0</v>
      </c>
      <c r="BJ174" s="269"/>
      <c r="BK174" s="270"/>
      <c r="BL174" s="270"/>
      <c r="BM174" s="264"/>
    </row>
    <row r="175" spans="1:65" s="276" customFormat="1" ht="18.75" thickBot="1" x14ac:dyDescent="0.3">
      <c r="A175" s="240"/>
      <c r="B175" s="256"/>
      <c r="C175" s="278"/>
      <c r="D175" s="258"/>
      <c r="E175" s="259"/>
      <c r="F175" s="258"/>
      <c r="G175" s="259"/>
      <c r="H175" s="258"/>
      <c r="I175" s="259"/>
      <c r="J175" s="258"/>
      <c r="K175" s="259"/>
      <c r="L175" s="275"/>
      <c r="M175" s="259"/>
      <c r="N175" s="258"/>
      <c r="O175" s="259"/>
      <c r="P175" s="258"/>
      <c r="Q175" s="259"/>
      <c r="R175" s="258"/>
      <c r="S175" s="259"/>
      <c r="T175" s="258"/>
      <c r="U175" s="259"/>
      <c r="V175" s="258"/>
      <c r="W175" s="259"/>
      <c r="X175" s="258"/>
      <c r="Y175" s="259"/>
      <c r="Z175" s="259"/>
      <c r="AA175" s="258"/>
      <c r="AB175" s="259"/>
      <c r="AC175" s="258"/>
      <c r="AD175" s="259"/>
      <c r="AE175" s="259"/>
      <c r="AF175" s="258"/>
      <c r="AG175" s="259"/>
      <c r="AH175" s="258"/>
      <c r="AI175" s="259"/>
      <c r="AJ175" s="258"/>
      <c r="AK175" s="259"/>
      <c r="AL175" s="258"/>
      <c r="AM175" s="259"/>
      <c r="AN175" s="258"/>
      <c r="AO175" s="259"/>
      <c r="AP175" s="258"/>
      <c r="AQ175" s="259"/>
      <c r="AR175" s="258"/>
      <c r="AS175" s="259"/>
      <c r="AT175" s="259"/>
      <c r="AU175" s="258"/>
      <c r="AV175" s="259"/>
      <c r="AW175" s="258"/>
      <c r="AX175" s="259"/>
      <c r="AY175" s="258"/>
      <c r="AZ175" s="259"/>
      <c r="BA175" s="258"/>
      <c r="BB175" s="259"/>
      <c r="BC175" s="258"/>
      <c r="BD175" s="259"/>
      <c r="BE175" s="258"/>
      <c r="BF175" s="259"/>
      <c r="BG175" s="258"/>
      <c r="BH175" s="259"/>
      <c r="BI175" s="258"/>
      <c r="BJ175" s="278"/>
      <c r="BK175" s="263"/>
      <c r="BL175" s="263"/>
      <c r="BM175" s="264"/>
    </row>
    <row r="176" spans="1:65" s="276" customFormat="1" ht="18.75" thickBot="1" x14ac:dyDescent="0.3">
      <c r="A176" s="265" t="s">
        <v>374</v>
      </c>
      <c r="B176" s="273"/>
      <c r="C176" s="269"/>
      <c r="D176" s="268">
        <f>SUM(D156+D39+D174+D165)</f>
        <v>0</v>
      </c>
      <c r="E176" s="269"/>
      <c r="F176" s="268">
        <f>SUM(F156+F39+F174+F165)</f>
        <v>0</v>
      </c>
      <c r="G176" s="269"/>
      <c r="H176" s="268">
        <f>SUM(H156+H39+H174+H165)</f>
        <v>0</v>
      </c>
      <c r="I176" s="269"/>
      <c r="J176" s="268">
        <f>SUM(J156+J39+J174+J165)</f>
        <v>0</v>
      </c>
      <c r="K176" s="269"/>
      <c r="L176" s="268">
        <f>SUM(L156+L39+L174+L165)</f>
        <v>0</v>
      </c>
      <c r="M176" s="269"/>
      <c r="N176" s="268">
        <f>SUM(N156+N39+N174+N165)</f>
        <v>0</v>
      </c>
      <c r="O176" s="269"/>
      <c r="P176" s="268">
        <f>SUM(P156+P39+P174+P165)</f>
        <v>0</v>
      </c>
      <c r="Q176" s="269"/>
      <c r="R176" s="268">
        <f>SUM(R156+R39+R174+R165)</f>
        <v>0</v>
      </c>
      <c r="S176" s="269"/>
      <c r="T176" s="268">
        <f>SUM(T156+T39+T174+T165)</f>
        <v>0</v>
      </c>
      <c r="U176" s="269"/>
      <c r="V176" s="268">
        <f>SUM(V156+V39+V174+V165)</f>
        <v>0</v>
      </c>
      <c r="W176" s="269"/>
      <c r="X176" s="268">
        <f>SUM(X156+X39+X174+X165)</f>
        <v>0</v>
      </c>
      <c r="Y176" s="269"/>
      <c r="Z176" s="269"/>
      <c r="AA176" s="268">
        <f>SUM(AA156+AA39+AA174+AA165)</f>
        <v>0</v>
      </c>
      <c r="AB176" s="269"/>
      <c r="AC176" s="268">
        <f>SUM(AC156+AC39+AC174+AC165)</f>
        <v>0</v>
      </c>
      <c r="AD176" s="269"/>
      <c r="AE176" s="269"/>
      <c r="AF176" s="268">
        <f>SUM(AF156+AF39+AF174+AF165)</f>
        <v>0</v>
      </c>
      <c r="AG176" s="269"/>
      <c r="AH176" s="268">
        <f>SUM(AH156+AH39+AH174+AH165)</f>
        <v>0</v>
      </c>
      <c r="AI176" s="269"/>
      <c r="AJ176" s="268">
        <f>SUM(AJ156+AJ39+AJ174+AJ165)</f>
        <v>0</v>
      </c>
      <c r="AK176" s="269"/>
      <c r="AL176" s="268">
        <f>SUM(AL156+AL39+AL174+AL165)</f>
        <v>0</v>
      </c>
      <c r="AM176" s="269"/>
      <c r="AN176" s="268">
        <f>SUM(AN156+AN39+AN174+AN165)</f>
        <v>0</v>
      </c>
      <c r="AO176" s="269"/>
      <c r="AP176" s="268">
        <f>SUM(AP156+AP39+AP174+AP165)</f>
        <v>0</v>
      </c>
      <c r="AQ176" s="269"/>
      <c r="AR176" s="268">
        <f>SUM(AR156+AR39+AR174+AR165)</f>
        <v>0</v>
      </c>
      <c r="AS176" s="269"/>
      <c r="AT176" s="269"/>
      <c r="AU176" s="268">
        <f>SUM(AU156+AU39+AU174+AU165)</f>
        <v>0</v>
      </c>
      <c r="AV176" s="269"/>
      <c r="AW176" s="268">
        <f>SUM(AW156+AW39+AW174+AW165)</f>
        <v>0</v>
      </c>
      <c r="AX176" s="269"/>
      <c r="AY176" s="268">
        <f>SUM(AY156+AY39+AY174+AY165)</f>
        <v>0</v>
      </c>
      <c r="AZ176" s="269"/>
      <c r="BA176" s="268">
        <f>SUM(BA156+BA39+BA174+BA165)</f>
        <v>0</v>
      </c>
      <c r="BB176" s="269"/>
      <c r="BC176" s="268">
        <f>SUM(BC156+BC39+BC174+BC165)</f>
        <v>0</v>
      </c>
      <c r="BD176" s="269"/>
      <c r="BE176" s="268">
        <f>SUM(BE156+BE39+BE174+BE165)</f>
        <v>0</v>
      </c>
      <c r="BF176" s="269"/>
      <c r="BG176" s="268">
        <f>SUM(BG156+BG39+BG174+BG165)</f>
        <v>0</v>
      </c>
      <c r="BH176" s="269"/>
      <c r="BI176" s="268">
        <f>D176+F176+H176+J176+X176+N176+P176+R176+L176+T176+V176+AC176+AF176+AH176+AJ176+AL176+AN176+AP176+AR176+AU176+AW176+AY176+BA176+BC176+BG176+BE176+AA176</f>
        <v>0</v>
      </c>
      <c r="BJ176" s="269"/>
      <c r="BK176" s="270"/>
      <c r="BL176" s="270"/>
      <c r="BM176" s="264"/>
    </row>
    <row r="177" spans="1:74" s="276" customFormat="1" ht="18" x14ac:dyDescent="0.25">
      <c r="A177" s="240"/>
      <c r="B177" s="256"/>
      <c r="C177" s="262"/>
      <c r="D177" s="258"/>
      <c r="E177" s="259"/>
      <c r="F177" s="258"/>
      <c r="G177" s="259"/>
      <c r="H177" s="258"/>
      <c r="I177" s="259"/>
      <c r="J177" s="258"/>
      <c r="K177" s="259"/>
      <c r="L177" s="275"/>
      <c r="M177" s="259"/>
      <c r="N177" s="258"/>
      <c r="O177" s="259"/>
      <c r="P177" s="258"/>
      <c r="Q177" s="259"/>
      <c r="R177" s="258"/>
      <c r="S177" s="259"/>
      <c r="T177" s="258"/>
      <c r="U177" s="259"/>
      <c r="V177" s="258"/>
      <c r="W177" s="259"/>
      <c r="X177" s="258"/>
      <c r="Y177" s="259"/>
      <c r="Z177" s="259"/>
      <c r="AA177" s="258"/>
      <c r="AB177" s="259"/>
      <c r="AC177" s="258"/>
      <c r="AD177" s="259"/>
      <c r="AE177" s="259"/>
      <c r="AF177" s="258"/>
      <c r="AG177" s="259"/>
      <c r="AH177" s="258"/>
      <c r="AI177" s="259"/>
      <c r="AJ177" s="258"/>
      <c r="AK177" s="259"/>
      <c r="AL177" s="258"/>
      <c r="AM177" s="259"/>
      <c r="AN177" s="258"/>
      <c r="AO177" s="259"/>
      <c r="AP177" s="258"/>
      <c r="AQ177" s="259"/>
      <c r="AR177" s="258"/>
      <c r="AS177" s="259"/>
      <c r="AT177" s="259"/>
      <c r="AU177" s="258"/>
      <c r="AV177" s="259"/>
      <c r="AW177" s="258"/>
      <c r="AX177" s="259"/>
      <c r="AY177" s="258"/>
      <c r="AZ177" s="259"/>
      <c r="BA177" s="258"/>
      <c r="BB177" s="259"/>
      <c r="BC177" s="258"/>
      <c r="BD177" s="259"/>
      <c r="BE177" s="258"/>
      <c r="BF177" s="259"/>
      <c r="BG177" s="258"/>
      <c r="BH177" s="259"/>
      <c r="BI177" s="258"/>
      <c r="BJ177" s="262"/>
      <c r="BK177" s="263"/>
      <c r="BL177" s="263"/>
      <c r="BM177" s="264"/>
    </row>
    <row r="178" spans="1:74" s="276" customFormat="1" ht="18" x14ac:dyDescent="0.25">
      <c r="A178" s="240" t="s">
        <v>1295</v>
      </c>
      <c r="B178" s="256"/>
      <c r="C178" s="262"/>
      <c r="D178" s="258"/>
      <c r="E178" s="259"/>
      <c r="F178" s="258"/>
      <c r="G178" s="259"/>
      <c r="H178" s="258"/>
      <c r="I178" s="259"/>
      <c r="J178" s="258"/>
      <c r="K178" s="259"/>
      <c r="L178" s="275"/>
      <c r="M178" s="259"/>
      <c r="N178" s="258"/>
      <c r="O178" s="259"/>
      <c r="P178" s="258"/>
      <c r="Q178" s="259"/>
      <c r="R178" s="258"/>
      <c r="S178" s="259"/>
      <c r="T178" s="258"/>
      <c r="U178" s="259"/>
      <c r="V178" s="258"/>
      <c r="W178" s="259"/>
      <c r="X178" s="258"/>
      <c r="Y178" s="259"/>
      <c r="Z178" s="259"/>
      <c r="AA178" s="258"/>
      <c r="AB178" s="259"/>
      <c r="AC178" s="258"/>
      <c r="AD178" s="259"/>
      <c r="AE178" s="259"/>
      <c r="AF178" s="258"/>
      <c r="AG178" s="259"/>
      <c r="AH178" s="258"/>
      <c r="AI178" s="259"/>
      <c r="AJ178" s="258"/>
      <c r="AK178" s="259"/>
      <c r="AL178" s="258"/>
      <c r="AM178" s="259"/>
      <c r="AN178" s="258"/>
      <c r="AO178" s="259"/>
      <c r="AP178" s="258"/>
      <c r="AQ178" s="259"/>
      <c r="AR178" s="258"/>
      <c r="AS178" s="259"/>
      <c r="AT178" s="259"/>
      <c r="AU178" s="258"/>
      <c r="AV178" s="259"/>
      <c r="AW178" s="258"/>
      <c r="AX178" s="259"/>
      <c r="AY178" s="258"/>
      <c r="AZ178" s="259"/>
      <c r="BA178" s="258"/>
      <c r="BB178" s="259"/>
      <c r="BC178" s="258"/>
      <c r="BD178" s="259"/>
      <c r="BE178" s="258"/>
      <c r="BF178" s="259"/>
      <c r="BG178" s="258"/>
      <c r="BH178" s="259"/>
      <c r="BI178" s="258"/>
      <c r="BJ178" s="262"/>
      <c r="BK178" s="263"/>
      <c r="BL178" s="263"/>
      <c r="BM178" s="264"/>
    </row>
    <row r="179" spans="1:74" s="276" customFormat="1" ht="37.5" x14ac:dyDescent="0.35">
      <c r="A179" s="252" t="s">
        <v>375</v>
      </c>
      <c r="B179" s="277" t="s">
        <v>376</v>
      </c>
      <c r="C179" s="262"/>
      <c r="D179" s="275">
        <f>GenFundExp2!I669</f>
        <v>0</v>
      </c>
      <c r="E179" s="259"/>
      <c r="F179" s="275">
        <f>CharterFundExp2!I668</f>
        <v>0</v>
      </c>
      <c r="G179" s="259"/>
      <c r="H179" s="258">
        <f>InsResv!I46</f>
        <v>0</v>
      </c>
      <c r="I179" s="259"/>
      <c r="J179" s="258">
        <f>'CPP Fund'!I126</f>
        <v>0</v>
      </c>
      <c r="K179" s="259"/>
      <c r="L179" s="275">
        <f>ARRAGrants!J178</f>
        <v>0</v>
      </c>
      <c r="M179" s="259"/>
      <c r="N179" s="258">
        <f>FoodServiceSRF!I79</f>
        <v>0</v>
      </c>
      <c r="O179" s="259"/>
      <c r="P179" s="258">
        <f>GovGrants!J178</f>
        <v>0</v>
      </c>
      <c r="Q179" s="259"/>
      <c r="R179" s="258">
        <f>PupActiv!I62</f>
        <v>0</v>
      </c>
      <c r="S179" s="259"/>
      <c r="T179" s="258">
        <f>FullDayKOverride!I44</f>
        <v>0</v>
      </c>
      <c r="U179" s="259"/>
      <c r="V179" s="258">
        <f>Transp!I45</f>
        <v>0</v>
      </c>
      <c r="W179" s="259"/>
      <c r="X179" s="258">
        <f>OthSpecRev!I64</f>
        <v>0</v>
      </c>
      <c r="Y179" s="259"/>
      <c r="Z179" s="259"/>
      <c r="AA179" s="258">
        <f>BondRedm!I43</f>
        <v>0</v>
      </c>
      <c r="AB179" s="259"/>
      <c r="AC179" s="258">
        <f>COPDebt!I43</f>
        <v>0</v>
      </c>
      <c r="AD179" s="259"/>
      <c r="AE179" s="259"/>
      <c r="AF179" s="258">
        <f>BuildFund!I49</f>
        <v>0</v>
      </c>
      <c r="AG179" s="259"/>
      <c r="AH179" s="258">
        <f>SpecBuild!I37</f>
        <v>0</v>
      </c>
      <c r="AI179" s="259"/>
      <c r="AJ179" s="258">
        <f>CapResCapPrj!I85</f>
        <v>0</v>
      </c>
      <c r="AK179" s="259"/>
      <c r="AL179" s="258">
        <f>OtherEnterprise!I44</f>
        <v>0</v>
      </c>
      <c r="AM179" s="259"/>
      <c r="AN179" s="258">
        <f>'DO NOT USE'!I54</f>
        <v>0</v>
      </c>
      <c r="AO179" s="259"/>
      <c r="AP179" s="258">
        <f>OtherInternal!I46</f>
        <v>0</v>
      </c>
      <c r="AQ179" s="259"/>
      <c r="AR179" s="258"/>
      <c r="AS179" s="259"/>
      <c r="AT179" s="259"/>
      <c r="AU179" s="258">
        <f>RiskRelated!I42</f>
        <v>0</v>
      </c>
      <c r="AV179" s="259"/>
      <c r="AW179" s="258">
        <f>'Trust&amp;Agency'!I55</f>
        <v>0</v>
      </c>
      <c r="AX179" s="259"/>
      <c r="AY179" s="258"/>
      <c r="AZ179" s="259"/>
      <c r="BA179" s="258"/>
      <c r="BB179" s="259"/>
      <c r="BC179" s="258">
        <f>PupilActAgency!I56</f>
        <v>0</v>
      </c>
      <c r="BD179" s="259"/>
      <c r="BE179" s="258">
        <f>'Foundation Fund'!I55</f>
        <v>0</v>
      </c>
      <c r="BF179" s="259"/>
      <c r="BG179" s="559">
        <f>Arbitrage!G32</f>
        <v>0</v>
      </c>
      <c r="BH179" s="259"/>
      <c r="BI179" s="258">
        <f t="shared" ref="BI179:BI184" si="16">D179+F179+H179+J179+X179+N179+P179+R179+L179+T179+V179+AC179+AF179+AH179+AJ179+AL179+AN179+AP179+AR179+AU179+AW179+AY179+BA179+BC179+BG179+BE179+AA179</f>
        <v>0</v>
      </c>
      <c r="BJ179" s="262"/>
      <c r="BK179" s="263"/>
      <c r="BL179" s="263"/>
      <c r="BM179" s="264"/>
      <c r="BS179" s="629"/>
      <c r="BT179" s="630"/>
      <c r="BU179" s="631"/>
      <c r="BV179" s="632"/>
    </row>
    <row r="180" spans="1:74" s="276" customFormat="1" ht="37.5" x14ac:dyDescent="0.35">
      <c r="A180" s="252" t="s">
        <v>1408</v>
      </c>
      <c r="B180" s="277" t="s">
        <v>376</v>
      </c>
      <c r="C180" s="262"/>
      <c r="D180" s="275">
        <f>GenFundExp2!I668</f>
        <v>0</v>
      </c>
      <c r="E180" s="259"/>
      <c r="F180" s="275">
        <f>CharterFundExp2!I667</f>
        <v>0</v>
      </c>
      <c r="G180" s="259"/>
      <c r="H180" s="258">
        <f>InsResv!I45</f>
        <v>0</v>
      </c>
      <c r="I180" s="259"/>
      <c r="J180" s="258">
        <f>'CPP Fund'!I125</f>
        <v>0</v>
      </c>
      <c r="K180" s="259"/>
      <c r="L180" s="275">
        <f>ARRAGrants!J177</f>
        <v>0</v>
      </c>
      <c r="M180" s="259"/>
      <c r="N180" s="258">
        <f>FoodServiceSRF!I78</f>
        <v>0</v>
      </c>
      <c r="O180" s="259"/>
      <c r="P180" s="258">
        <f>GovGrants!J177</f>
        <v>0</v>
      </c>
      <c r="Q180" s="259"/>
      <c r="R180" s="258">
        <f>PupActiv!I61</f>
        <v>0</v>
      </c>
      <c r="S180" s="259"/>
      <c r="T180" s="258">
        <f>FullDayKOverride!I43</f>
        <v>0</v>
      </c>
      <c r="U180" s="259"/>
      <c r="V180" s="258">
        <f>Transp!I44</f>
        <v>0</v>
      </c>
      <c r="W180" s="259"/>
      <c r="X180" s="258">
        <f>OthSpecRev!I63</f>
        <v>0</v>
      </c>
      <c r="Y180" s="259"/>
      <c r="Z180" s="259"/>
      <c r="AA180" s="258">
        <f>BondRedm!I42</f>
        <v>0</v>
      </c>
      <c r="AB180" s="259"/>
      <c r="AC180" s="258">
        <f>COPDebt!I42</f>
        <v>0</v>
      </c>
      <c r="AD180" s="259"/>
      <c r="AE180" s="259"/>
      <c r="AF180" s="258">
        <f>BuildFund!I48</f>
        <v>0</v>
      </c>
      <c r="AG180" s="259"/>
      <c r="AH180" s="258">
        <f>SpecBuild!I36</f>
        <v>0</v>
      </c>
      <c r="AI180" s="259"/>
      <c r="AJ180" s="258">
        <f>CapResCapPrj!I84</f>
        <v>0</v>
      </c>
      <c r="AK180" s="259"/>
      <c r="AL180" s="258">
        <f>OtherEnterprise!I43</f>
        <v>0</v>
      </c>
      <c r="AM180" s="259"/>
      <c r="AN180" s="258">
        <f>'DO NOT USE'!I53</f>
        <v>0</v>
      </c>
      <c r="AO180" s="259"/>
      <c r="AP180" s="258">
        <f>OtherInternal!I45</f>
        <v>0</v>
      </c>
      <c r="AQ180" s="259"/>
      <c r="AR180" s="258"/>
      <c r="AS180" s="259"/>
      <c r="AT180" s="259"/>
      <c r="AU180" s="258">
        <f>RiskRelated!I41</f>
        <v>0</v>
      </c>
      <c r="AV180" s="259"/>
      <c r="AW180" s="258">
        <f>'Trust&amp;Agency'!I54</f>
        <v>0</v>
      </c>
      <c r="AX180" s="259"/>
      <c r="AY180" s="258"/>
      <c r="AZ180" s="259"/>
      <c r="BA180" s="258"/>
      <c r="BB180" s="259"/>
      <c r="BC180" s="258">
        <f>PupilActAgency!I55</f>
        <v>0</v>
      </c>
      <c r="BD180" s="259"/>
      <c r="BE180" s="258">
        <f>'Foundation Fund'!I54</f>
        <v>0</v>
      </c>
      <c r="BF180" s="259"/>
      <c r="BG180" s="258"/>
      <c r="BH180" s="259"/>
      <c r="BI180" s="258">
        <f t="shared" si="16"/>
        <v>0</v>
      </c>
      <c r="BJ180" s="262"/>
      <c r="BK180" s="263"/>
      <c r="BL180" s="263"/>
      <c r="BM180" s="264"/>
      <c r="BS180" s="629"/>
      <c r="BT180" s="630"/>
      <c r="BU180" s="631"/>
      <c r="BV180" s="632"/>
    </row>
    <row r="181" spans="1:74" s="276" customFormat="1" ht="37.5" x14ac:dyDescent="0.35">
      <c r="A181" s="252" t="s">
        <v>377</v>
      </c>
      <c r="B181" s="277" t="s">
        <v>376</v>
      </c>
      <c r="C181" s="262"/>
      <c r="D181" s="258">
        <f>GenFundExp2!I664</f>
        <v>0</v>
      </c>
      <c r="E181" s="259"/>
      <c r="F181" s="258">
        <f>CharterFundExp2!I664</f>
        <v>0</v>
      </c>
      <c r="G181" s="259"/>
      <c r="H181" s="258">
        <f>InsResv!I42</f>
        <v>0</v>
      </c>
      <c r="I181" s="259"/>
      <c r="J181" s="258">
        <f>'CPP Fund'!I122</f>
        <v>0</v>
      </c>
      <c r="K181" s="259"/>
      <c r="L181" s="275">
        <f>ARRAGrants!J174</f>
        <v>0</v>
      </c>
      <c r="M181" s="259"/>
      <c r="N181" s="258">
        <f>FoodServiceSRF!I75</f>
        <v>0</v>
      </c>
      <c r="O181" s="259"/>
      <c r="P181" s="258">
        <f>GovGrants!J174</f>
        <v>0</v>
      </c>
      <c r="Q181" s="259"/>
      <c r="R181" s="258">
        <f>PupActiv!I58</f>
        <v>0</v>
      </c>
      <c r="S181" s="259"/>
      <c r="T181" s="258">
        <f>FullDayKOverride!I40</f>
        <v>0</v>
      </c>
      <c r="U181" s="259"/>
      <c r="V181" s="258">
        <f>Transp!I41</f>
        <v>0</v>
      </c>
      <c r="W181" s="259"/>
      <c r="X181" s="258">
        <f>OthSpecRev!I60</f>
        <v>0</v>
      </c>
      <c r="Y181" s="259"/>
      <c r="Z181" s="259"/>
      <c r="AA181" s="258">
        <f>BondRedm!I40</f>
        <v>0</v>
      </c>
      <c r="AB181" s="259"/>
      <c r="AC181" s="258">
        <f>COPDebt!I40</f>
        <v>0</v>
      </c>
      <c r="AD181" s="259"/>
      <c r="AE181" s="259"/>
      <c r="AF181" s="258">
        <f>BuildFund!I45</f>
        <v>0</v>
      </c>
      <c r="AG181" s="259"/>
      <c r="AH181" s="258">
        <f>SpecBuild!I33</f>
        <v>0</v>
      </c>
      <c r="AI181" s="259"/>
      <c r="AJ181" s="258">
        <f>CapResCapPrj!I81</f>
        <v>0</v>
      </c>
      <c r="AK181" s="259"/>
      <c r="AL181" s="258">
        <f>OtherEnterprise!I40</f>
        <v>0</v>
      </c>
      <c r="AM181" s="259"/>
      <c r="AN181" s="258">
        <f>'DO NOT USE'!I50</f>
        <v>0</v>
      </c>
      <c r="AO181" s="259"/>
      <c r="AP181" s="258">
        <f>OtherInternal!I42</f>
        <v>0</v>
      </c>
      <c r="AQ181" s="259"/>
      <c r="AR181" s="258"/>
      <c r="AS181" s="259"/>
      <c r="AT181" s="259"/>
      <c r="AU181" s="258">
        <f>RiskRelated!I38</f>
        <v>0</v>
      </c>
      <c r="AV181" s="259"/>
      <c r="AW181" s="258">
        <f>'Trust&amp;Agency'!I52</f>
        <v>0</v>
      </c>
      <c r="AX181" s="259"/>
      <c r="AY181" s="258"/>
      <c r="AZ181" s="259"/>
      <c r="BA181" s="258"/>
      <c r="BB181" s="259"/>
      <c r="BC181" s="258">
        <f>PupilActAgency!I53</f>
        <v>0</v>
      </c>
      <c r="BD181" s="259"/>
      <c r="BE181" s="258">
        <f>'Foundation Fund'!I52</f>
        <v>0</v>
      </c>
      <c r="BF181" s="259"/>
      <c r="BG181" s="258"/>
      <c r="BH181" s="259"/>
      <c r="BI181" s="258">
        <f t="shared" si="16"/>
        <v>0</v>
      </c>
      <c r="BJ181" s="262"/>
      <c r="BK181" s="263"/>
      <c r="BL181" s="263"/>
      <c r="BM181" s="264"/>
      <c r="BS181" s="629"/>
      <c r="BT181" s="630"/>
      <c r="BU181" s="631"/>
      <c r="BV181" s="632"/>
    </row>
    <row r="182" spans="1:74" s="276" customFormat="1" ht="37.5" x14ac:dyDescent="0.35">
      <c r="A182" s="252" t="s">
        <v>1053</v>
      </c>
      <c r="B182" s="277" t="s">
        <v>376</v>
      </c>
      <c r="C182" s="262"/>
      <c r="D182" s="258">
        <f>GenFundExp2!I666</f>
        <v>0</v>
      </c>
      <c r="E182" s="259"/>
      <c r="F182" s="258"/>
      <c r="G182" s="259"/>
      <c r="H182" s="258"/>
      <c r="I182" s="259"/>
      <c r="J182" s="258"/>
      <c r="K182" s="259"/>
      <c r="L182" s="275"/>
      <c r="M182" s="259"/>
      <c r="N182" s="258"/>
      <c r="O182" s="259"/>
      <c r="P182" s="258"/>
      <c r="Q182" s="259"/>
      <c r="R182" s="258"/>
      <c r="S182" s="259"/>
      <c r="T182" s="258"/>
      <c r="U182" s="259"/>
      <c r="V182" s="258"/>
      <c r="W182" s="259"/>
      <c r="X182" s="258"/>
      <c r="Y182" s="259"/>
      <c r="Z182" s="259"/>
      <c r="AA182" s="258"/>
      <c r="AB182" s="259"/>
      <c r="AC182" s="258"/>
      <c r="AD182" s="259"/>
      <c r="AE182" s="259"/>
      <c r="AF182" s="258"/>
      <c r="AG182" s="259"/>
      <c r="AH182" s="258"/>
      <c r="AI182" s="259"/>
      <c r="AJ182" s="258"/>
      <c r="AK182" s="259"/>
      <c r="AL182" s="258"/>
      <c r="AM182" s="259"/>
      <c r="AN182" s="258"/>
      <c r="AO182" s="259"/>
      <c r="AP182" s="258"/>
      <c r="AQ182" s="259"/>
      <c r="AR182" s="258"/>
      <c r="AS182" s="259"/>
      <c r="AT182" s="259"/>
      <c r="AU182" s="258"/>
      <c r="AV182" s="259"/>
      <c r="AW182" s="258"/>
      <c r="AX182" s="259"/>
      <c r="AY182" s="258"/>
      <c r="AZ182" s="259"/>
      <c r="BA182" s="258"/>
      <c r="BB182" s="259"/>
      <c r="BC182" s="258"/>
      <c r="BD182" s="259"/>
      <c r="BE182" s="258"/>
      <c r="BF182" s="259"/>
      <c r="BG182" s="258"/>
      <c r="BH182" s="259"/>
      <c r="BI182" s="258">
        <f t="shared" si="16"/>
        <v>0</v>
      </c>
      <c r="BJ182" s="262"/>
      <c r="BK182" s="263"/>
      <c r="BL182" s="263"/>
      <c r="BM182" s="264"/>
      <c r="BS182" s="629"/>
      <c r="BT182" s="630"/>
      <c r="BU182" s="631"/>
      <c r="BV182" s="632"/>
    </row>
    <row r="183" spans="1:74" s="276" customFormat="1" ht="37.5" x14ac:dyDescent="0.35">
      <c r="A183" s="252" t="s">
        <v>1407</v>
      </c>
      <c r="B183" s="277" t="s">
        <v>376</v>
      </c>
      <c r="C183" s="262"/>
      <c r="D183" s="258">
        <f>GenFundExp2!I665</f>
        <v>0</v>
      </c>
      <c r="E183" s="259"/>
      <c r="F183" s="258">
        <f>CharterFundExp2!I665</f>
        <v>0</v>
      </c>
      <c r="G183" s="259"/>
      <c r="H183" s="258">
        <f>InsResv!I43</f>
        <v>0</v>
      </c>
      <c r="I183" s="259"/>
      <c r="J183" s="258">
        <f>'CPP Fund'!I123</f>
        <v>0</v>
      </c>
      <c r="K183" s="259"/>
      <c r="L183" s="275">
        <f>ARRAGrants!J175</f>
        <v>0</v>
      </c>
      <c r="M183" s="259"/>
      <c r="N183" s="258">
        <f>FoodServiceSRF!I76</f>
        <v>0</v>
      </c>
      <c r="O183" s="259"/>
      <c r="P183" s="258">
        <f>GovGrants!J175</f>
        <v>0</v>
      </c>
      <c r="Q183" s="259"/>
      <c r="R183" s="258">
        <f>PupActiv!I59</f>
        <v>0</v>
      </c>
      <c r="S183" s="259"/>
      <c r="T183" s="258">
        <f>FullDayKOverride!I41</f>
        <v>0</v>
      </c>
      <c r="U183" s="259"/>
      <c r="V183" s="258">
        <f>Transp!I42</f>
        <v>0</v>
      </c>
      <c r="W183" s="259"/>
      <c r="X183" s="258">
        <f>OthSpecRev!I61</f>
        <v>0</v>
      </c>
      <c r="Y183" s="259"/>
      <c r="Z183" s="259"/>
      <c r="AA183" s="258"/>
      <c r="AB183" s="259"/>
      <c r="AC183" s="258"/>
      <c r="AD183" s="259"/>
      <c r="AE183" s="259"/>
      <c r="AF183" s="258">
        <f>BuildFund!I46</f>
        <v>0</v>
      </c>
      <c r="AG183" s="259"/>
      <c r="AH183" s="258">
        <f>SpecBuild!I34</f>
        <v>0</v>
      </c>
      <c r="AI183" s="259"/>
      <c r="AJ183" s="258">
        <f>CapResCapPrj!I82</f>
        <v>0</v>
      </c>
      <c r="AK183" s="259"/>
      <c r="AL183" s="258">
        <f>OtherEnterprise!I41</f>
        <v>0</v>
      </c>
      <c r="AM183" s="259"/>
      <c r="AN183" s="258">
        <f>'DO NOT USE'!I51</f>
        <v>0</v>
      </c>
      <c r="AO183" s="259"/>
      <c r="AP183" s="258">
        <f>OtherInternal!I43</f>
        <v>0</v>
      </c>
      <c r="AQ183" s="259"/>
      <c r="AR183" s="258"/>
      <c r="AS183" s="259"/>
      <c r="AT183" s="259"/>
      <c r="AU183" s="258">
        <f>RiskRelated!I39</f>
        <v>0</v>
      </c>
      <c r="AV183" s="259"/>
      <c r="AW183" s="258"/>
      <c r="AX183" s="259"/>
      <c r="AY183" s="258"/>
      <c r="AZ183" s="259"/>
      <c r="BA183" s="258"/>
      <c r="BB183" s="259"/>
      <c r="BC183" s="258"/>
      <c r="BD183" s="259"/>
      <c r="BE183" s="258"/>
      <c r="BF183" s="259"/>
      <c r="BG183" s="258"/>
      <c r="BH183" s="259"/>
      <c r="BI183" s="258">
        <f t="shared" si="16"/>
        <v>0</v>
      </c>
      <c r="BJ183" s="262"/>
      <c r="BK183" s="263"/>
      <c r="BL183" s="263"/>
      <c r="BM183" s="264"/>
      <c r="BS183" s="629"/>
      <c r="BT183" s="630"/>
      <c r="BU183" s="631"/>
      <c r="BV183" s="632"/>
    </row>
    <row r="184" spans="1:74" s="276" customFormat="1" ht="36.75" thickBot="1" x14ac:dyDescent="0.3">
      <c r="A184" s="252" t="s">
        <v>1409</v>
      </c>
      <c r="B184" s="277" t="s">
        <v>376</v>
      </c>
      <c r="C184" s="259"/>
      <c r="D184" s="258">
        <f>GenFundExp2!I667</f>
        <v>0</v>
      </c>
      <c r="E184" s="259"/>
      <c r="F184" s="258">
        <f>CharterFundExp2!I666</f>
        <v>0</v>
      </c>
      <c r="G184" s="259"/>
      <c r="H184" s="258">
        <f>InsResv!I44</f>
        <v>0</v>
      </c>
      <c r="I184" s="259"/>
      <c r="J184" s="258">
        <f>'CPP Fund'!I124</f>
        <v>0</v>
      </c>
      <c r="K184" s="259"/>
      <c r="L184" s="275">
        <f>ARRAGrants!J176</f>
        <v>0</v>
      </c>
      <c r="M184" s="259"/>
      <c r="N184" s="258">
        <f>FoodServiceSRF!I77</f>
        <v>0</v>
      </c>
      <c r="O184" s="259"/>
      <c r="P184" s="258">
        <f>GovGrants!J176</f>
        <v>0</v>
      </c>
      <c r="Q184" s="259"/>
      <c r="R184" s="258">
        <f>PupActiv!I60</f>
        <v>0</v>
      </c>
      <c r="S184" s="259"/>
      <c r="T184" s="258">
        <f>FullDayKOverride!I42</f>
        <v>0</v>
      </c>
      <c r="U184" s="259"/>
      <c r="V184" s="258">
        <f>Transp!I43</f>
        <v>0</v>
      </c>
      <c r="W184" s="259"/>
      <c r="X184" s="258">
        <f>OthSpecRev!I62</f>
        <v>0</v>
      </c>
      <c r="Y184" s="259"/>
      <c r="Z184" s="259"/>
      <c r="AA184" s="258">
        <f>BondRedm!I41</f>
        <v>0</v>
      </c>
      <c r="AB184" s="259"/>
      <c r="AC184" s="258">
        <f>COPDebt!I41</f>
        <v>0</v>
      </c>
      <c r="AD184" s="259"/>
      <c r="AE184" s="259"/>
      <c r="AF184" s="258">
        <f>BuildFund!I47</f>
        <v>0</v>
      </c>
      <c r="AG184" s="259"/>
      <c r="AH184" s="258">
        <f>SpecBuild!I35</f>
        <v>0</v>
      </c>
      <c r="AI184" s="259"/>
      <c r="AJ184" s="258">
        <f>CapResCapPrj!I83</f>
        <v>0</v>
      </c>
      <c r="AK184" s="259"/>
      <c r="AL184" s="258">
        <f>OtherEnterprise!I42</f>
        <v>0</v>
      </c>
      <c r="AM184" s="259"/>
      <c r="AN184" s="258">
        <f>'DO NOT USE'!I52</f>
        <v>0</v>
      </c>
      <c r="AO184" s="259"/>
      <c r="AP184" s="258">
        <f>OtherInternal!I44</f>
        <v>0</v>
      </c>
      <c r="AQ184" s="259"/>
      <c r="AR184" s="258"/>
      <c r="AS184" s="259"/>
      <c r="AT184" s="259"/>
      <c r="AU184" s="258">
        <f>RiskRelated!I40</f>
        <v>0</v>
      </c>
      <c r="AV184" s="259"/>
      <c r="AW184" s="258">
        <f>'Trust&amp;Agency'!I53</f>
        <v>0</v>
      </c>
      <c r="AX184" s="259"/>
      <c r="AY184" s="258"/>
      <c r="AZ184" s="259"/>
      <c r="BA184" s="258"/>
      <c r="BB184" s="259"/>
      <c r="BC184" s="258">
        <f>PupilActAgency!I54</f>
        <v>0</v>
      </c>
      <c r="BD184" s="259"/>
      <c r="BE184" s="258">
        <f>'Foundation Fund'!I53</f>
        <v>0</v>
      </c>
      <c r="BF184" s="259"/>
      <c r="BG184" s="258"/>
      <c r="BH184" s="259"/>
      <c r="BI184" s="258">
        <f t="shared" si="16"/>
        <v>0</v>
      </c>
      <c r="BJ184" s="259"/>
      <c r="BK184" s="263"/>
      <c r="BL184" s="263"/>
      <c r="BM184" s="264"/>
    </row>
    <row r="185" spans="1:74" s="276" customFormat="1" ht="18.75" thickBot="1" x14ac:dyDescent="0.3">
      <c r="A185" s="265" t="s">
        <v>378</v>
      </c>
      <c r="B185" s="273"/>
      <c r="C185" s="269"/>
      <c r="D185" s="268">
        <f>SUM(D179:D184)</f>
        <v>0</v>
      </c>
      <c r="E185" s="269"/>
      <c r="F185" s="268">
        <f>SUM(F179:F184)</f>
        <v>0</v>
      </c>
      <c r="G185" s="269"/>
      <c r="H185" s="268">
        <f>SUM(H179:H184)</f>
        <v>0</v>
      </c>
      <c r="I185" s="269"/>
      <c r="J185" s="268">
        <f>SUM(J179:J184)</f>
        <v>0</v>
      </c>
      <c r="K185" s="269"/>
      <c r="L185" s="268">
        <f>SUM(L179:L184)</f>
        <v>0</v>
      </c>
      <c r="M185" s="269"/>
      <c r="N185" s="268">
        <f>SUM(N179:N184)</f>
        <v>0</v>
      </c>
      <c r="O185" s="269"/>
      <c r="P185" s="268">
        <f>SUM(P179:P184)</f>
        <v>0</v>
      </c>
      <c r="Q185" s="269"/>
      <c r="R185" s="268">
        <f>SUM(R179:R184)</f>
        <v>0</v>
      </c>
      <c r="S185" s="269"/>
      <c r="T185" s="268">
        <f>SUM(T179:T184)</f>
        <v>0</v>
      </c>
      <c r="U185" s="269"/>
      <c r="V185" s="268">
        <f>SUM(V179:V184)</f>
        <v>0</v>
      </c>
      <c r="W185" s="269"/>
      <c r="X185" s="268">
        <f>SUM(X179:X184)</f>
        <v>0</v>
      </c>
      <c r="Y185" s="269"/>
      <c r="Z185" s="269"/>
      <c r="AA185" s="268">
        <f>SUM(AA179:AA184)</f>
        <v>0</v>
      </c>
      <c r="AB185" s="269"/>
      <c r="AC185" s="268">
        <f>SUM(AC179:AC184)</f>
        <v>0</v>
      </c>
      <c r="AD185" s="269"/>
      <c r="AE185" s="269"/>
      <c r="AF185" s="268">
        <f>SUM(AF179:AF184)</f>
        <v>0</v>
      </c>
      <c r="AG185" s="269"/>
      <c r="AH185" s="268">
        <f>SUM(AH179:AH184)</f>
        <v>0</v>
      </c>
      <c r="AI185" s="269"/>
      <c r="AJ185" s="268">
        <f>SUM(AJ179:AJ184)</f>
        <v>0</v>
      </c>
      <c r="AK185" s="269"/>
      <c r="AL185" s="268">
        <f>SUM(AL179:AL184)</f>
        <v>0</v>
      </c>
      <c r="AM185" s="269"/>
      <c r="AN185" s="268">
        <f>SUM(AN179:AN184)</f>
        <v>0</v>
      </c>
      <c r="AO185" s="269"/>
      <c r="AP185" s="268">
        <f>SUM(AP179:AP184)</f>
        <v>0</v>
      </c>
      <c r="AQ185" s="269"/>
      <c r="AR185" s="268">
        <f>SUM(AR179:AR184)</f>
        <v>0</v>
      </c>
      <c r="AS185" s="269"/>
      <c r="AT185" s="269"/>
      <c r="AU185" s="268">
        <f>SUM(AU179:AU184)</f>
        <v>0</v>
      </c>
      <c r="AV185" s="269"/>
      <c r="AW185" s="268">
        <f>SUM(AW179:AW184)</f>
        <v>0</v>
      </c>
      <c r="AX185" s="269"/>
      <c r="AY185" s="268">
        <f>SUM(AY179:AY184)</f>
        <v>0</v>
      </c>
      <c r="AZ185" s="269"/>
      <c r="BA185" s="268">
        <f>SUM(BA179:BA184)</f>
        <v>0</v>
      </c>
      <c r="BB185" s="269"/>
      <c r="BC185" s="268">
        <f>SUM(BC179:BC184)</f>
        <v>0</v>
      </c>
      <c r="BD185" s="269"/>
      <c r="BE185" s="268">
        <f>SUM(BE179:BE184)</f>
        <v>0</v>
      </c>
      <c r="BF185" s="269"/>
      <c r="BG185" s="268">
        <f>SUM(BG179:BG184)</f>
        <v>0</v>
      </c>
      <c r="BH185" s="269"/>
      <c r="BI185" s="268">
        <f>D185+F185+H185+J185+X185+N185+P185+R185+L185+T185+V185+AC185+AF185+AH185+AJ185+AL185+AN185+AP185+AR185+AU185+AW185+AY185+BA185+BC185+BG185+BE185+AA185</f>
        <v>0</v>
      </c>
      <c r="BJ185" s="269"/>
      <c r="BK185" s="270"/>
      <c r="BL185" s="270"/>
      <c r="BM185" s="264"/>
    </row>
    <row r="186" spans="1:74" s="276" customFormat="1" ht="18.75" thickBot="1" x14ac:dyDescent="0.3">
      <c r="A186" s="240"/>
      <c r="B186" s="256"/>
      <c r="C186" s="278"/>
      <c r="D186" s="258"/>
      <c r="E186" s="259"/>
      <c r="F186" s="258"/>
      <c r="G186" s="259"/>
      <c r="H186" s="258"/>
      <c r="I186" s="259"/>
      <c r="J186" s="258"/>
      <c r="K186" s="259"/>
      <c r="L186" s="275"/>
      <c r="M186" s="259"/>
      <c r="N186" s="258"/>
      <c r="O186" s="259"/>
      <c r="P186" s="258"/>
      <c r="Q186" s="259"/>
      <c r="R186" s="258"/>
      <c r="S186" s="259"/>
      <c r="T186" s="258"/>
      <c r="U186" s="259"/>
      <c r="V186" s="258"/>
      <c r="W186" s="259"/>
      <c r="X186" s="258"/>
      <c r="Y186" s="259"/>
      <c r="Z186" s="259"/>
      <c r="AA186" s="258"/>
      <c r="AB186" s="259"/>
      <c r="AC186" s="258"/>
      <c r="AD186" s="259"/>
      <c r="AE186" s="259"/>
      <c r="AF186" s="258"/>
      <c r="AG186" s="259"/>
      <c r="AH186" s="258"/>
      <c r="AI186" s="259"/>
      <c r="AJ186" s="258"/>
      <c r="AK186" s="259"/>
      <c r="AL186" s="258"/>
      <c r="AM186" s="259"/>
      <c r="AN186" s="258"/>
      <c r="AO186" s="259"/>
      <c r="AP186" s="258"/>
      <c r="AQ186" s="259"/>
      <c r="AR186" s="258"/>
      <c r="AS186" s="259"/>
      <c r="AT186" s="259"/>
      <c r="AU186" s="258"/>
      <c r="AV186" s="259"/>
      <c r="AW186" s="258"/>
      <c r="AX186" s="259"/>
      <c r="AY186" s="258"/>
      <c r="AZ186" s="259"/>
      <c r="BA186" s="258"/>
      <c r="BB186" s="259"/>
      <c r="BC186" s="258"/>
      <c r="BD186" s="259"/>
      <c r="BE186" s="258"/>
      <c r="BF186" s="259"/>
      <c r="BG186" s="258"/>
      <c r="BH186" s="259"/>
      <c r="BI186" s="258"/>
      <c r="BJ186" s="278"/>
      <c r="BK186" s="263"/>
      <c r="BL186" s="263"/>
      <c r="BM186" s="264"/>
    </row>
    <row r="187" spans="1:74" s="276" customFormat="1" ht="36.75" thickBot="1" x14ac:dyDescent="0.3">
      <c r="A187" s="265" t="s">
        <v>379</v>
      </c>
      <c r="B187" s="273"/>
      <c r="C187" s="269"/>
      <c r="D187" s="268">
        <f>D176+D185</f>
        <v>0</v>
      </c>
      <c r="E187" s="269"/>
      <c r="F187" s="268">
        <f>F176+F185</f>
        <v>0</v>
      </c>
      <c r="G187" s="269"/>
      <c r="H187" s="268">
        <f>H176+H185</f>
        <v>0</v>
      </c>
      <c r="I187" s="269"/>
      <c r="J187" s="268">
        <f>J176+J185</f>
        <v>0</v>
      </c>
      <c r="K187" s="269"/>
      <c r="L187" s="268">
        <f>L176+L185</f>
        <v>0</v>
      </c>
      <c r="M187" s="269"/>
      <c r="N187" s="268">
        <f>N176+N185</f>
        <v>0</v>
      </c>
      <c r="O187" s="269"/>
      <c r="P187" s="268">
        <f>P176+P185</f>
        <v>0</v>
      </c>
      <c r="Q187" s="269"/>
      <c r="R187" s="268">
        <f>R176+R185</f>
        <v>0</v>
      </c>
      <c r="S187" s="269"/>
      <c r="T187" s="268">
        <f>T176+T185</f>
        <v>0</v>
      </c>
      <c r="U187" s="269"/>
      <c r="V187" s="268">
        <f>V176+V185</f>
        <v>0</v>
      </c>
      <c r="W187" s="269"/>
      <c r="X187" s="268">
        <f>X176+X185</f>
        <v>0</v>
      </c>
      <c r="Y187" s="269"/>
      <c r="Z187" s="269"/>
      <c r="AA187" s="268">
        <f>AA176+AA185</f>
        <v>0</v>
      </c>
      <c r="AB187" s="269"/>
      <c r="AC187" s="268">
        <f>AC176+AC185</f>
        <v>0</v>
      </c>
      <c r="AD187" s="269"/>
      <c r="AE187" s="269"/>
      <c r="AF187" s="268">
        <f>AF176+AF185</f>
        <v>0</v>
      </c>
      <c r="AG187" s="269"/>
      <c r="AH187" s="268">
        <f>AH176+AH185</f>
        <v>0</v>
      </c>
      <c r="AI187" s="269"/>
      <c r="AJ187" s="268">
        <f>AJ176+AJ185</f>
        <v>0</v>
      </c>
      <c r="AK187" s="269"/>
      <c r="AL187" s="268">
        <f>AL176+AL185</f>
        <v>0</v>
      </c>
      <c r="AM187" s="269"/>
      <c r="AN187" s="268">
        <f>AN176+AN185</f>
        <v>0</v>
      </c>
      <c r="AO187" s="269"/>
      <c r="AP187" s="268">
        <f>AP176+AP185</f>
        <v>0</v>
      </c>
      <c r="AQ187" s="269"/>
      <c r="AR187" s="268">
        <f>AR176+AR185</f>
        <v>0</v>
      </c>
      <c r="AS187" s="269"/>
      <c r="AT187" s="269"/>
      <c r="AU187" s="268">
        <f>AU176+AU185</f>
        <v>0</v>
      </c>
      <c r="AV187" s="269"/>
      <c r="AW187" s="268">
        <f>AW176+AW185</f>
        <v>0</v>
      </c>
      <c r="AX187" s="269"/>
      <c r="AY187" s="268">
        <f>AY176+AY185</f>
        <v>0</v>
      </c>
      <c r="AZ187" s="269"/>
      <c r="BA187" s="268">
        <f>BA176+BA185</f>
        <v>0</v>
      </c>
      <c r="BB187" s="269"/>
      <c r="BC187" s="268">
        <f>BC176+BC185</f>
        <v>0</v>
      </c>
      <c r="BD187" s="269"/>
      <c r="BE187" s="268">
        <f>BE176+BE185</f>
        <v>0</v>
      </c>
      <c r="BF187" s="269"/>
      <c r="BG187" s="268">
        <f>BG176+BG185</f>
        <v>0</v>
      </c>
      <c r="BH187" s="269"/>
      <c r="BI187" s="268">
        <f>D187+F187+H187+J187+X187+N187+P187+R187+L187+T187+V187+AC187+AF187+AH187+AJ187+AL187+AN187+AP187+AR187+AU187+AW187+AY187+BA187+BC187+BG187+BE187+AA187</f>
        <v>0</v>
      </c>
      <c r="BJ187" s="269"/>
      <c r="BK187" s="270"/>
      <c r="BL187" s="270"/>
      <c r="BM187" s="264"/>
    </row>
    <row r="188" spans="1:74" s="276" customFormat="1" ht="18" x14ac:dyDescent="0.25">
      <c r="A188" s="240"/>
      <c r="B188" s="256"/>
      <c r="C188" s="260"/>
      <c r="D188" s="258"/>
      <c r="E188" s="259"/>
      <c r="F188" s="258"/>
      <c r="G188" s="259"/>
      <c r="H188" s="258"/>
      <c r="I188" s="259"/>
      <c r="J188" s="258"/>
      <c r="K188" s="259"/>
      <c r="L188" s="275"/>
      <c r="M188" s="259"/>
      <c r="N188" s="258"/>
      <c r="O188" s="259"/>
      <c r="P188" s="258"/>
      <c r="Q188" s="259"/>
      <c r="R188" s="258"/>
      <c r="S188" s="259"/>
      <c r="T188" s="258"/>
      <c r="U188" s="259"/>
      <c r="V188" s="258"/>
      <c r="W188" s="259"/>
      <c r="X188" s="258"/>
      <c r="Y188" s="259"/>
      <c r="Z188" s="259"/>
      <c r="AA188" s="258"/>
      <c r="AB188" s="259"/>
      <c r="AC188" s="258"/>
      <c r="AD188" s="259"/>
      <c r="AE188" s="259"/>
      <c r="AF188" s="258"/>
      <c r="AG188" s="259"/>
      <c r="AH188" s="258"/>
      <c r="AI188" s="259"/>
      <c r="AJ188" s="258"/>
      <c r="AK188" s="259"/>
      <c r="AL188" s="258"/>
      <c r="AM188" s="259"/>
      <c r="AN188" s="258"/>
      <c r="AO188" s="259"/>
      <c r="AP188" s="258"/>
      <c r="AQ188" s="259"/>
      <c r="AR188" s="258"/>
      <c r="AS188" s="259"/>
      <c r="AT188" s="259"/>
      <c r="AU188" s="258"/>
      <c r="AV188" s="259"/>
      <c r="AW188" s="258"/>
      <c r="AX188" s="259"/>
      <c r="AY188" s="258"/>
      <c r="AZ188" s="259"/>
      <c r="BA188" s="258"/>
      <c r="BB188" s="259"/>
      <c r="BC188" s="258"/>
      <c r="BD188" s="259"/>
      <c r="BE188" s="258"/>
      <c r="BF188" s="259"/>
      <c r="BG188" s="258"/>
      <c r="BH188" s="259"/>
      <c r="BI188" s="258"/>
      <c r="BJ188" s="260"/>
      <c r="BK188" s="263"/>
      <c r="BL188" s="263"/>
      <c r="BM188" s="264"/>
    </row>
    <row r="189" spans="1:74" s="276" customFormat="1" ht="36" x14ac:dyDescent="0.25">
      <c r="A189" s="240" t="s">
        <v>380</v>
      </c>
      <c r="B189" s="256"/>
      <c r="C189" s="260"/>
      <c r="D189" s="258">
        <f>GenFundExp2!I676</f>
        <v>0</v>
      </c>
      <c r="E189" s="259"/>
      <c r="F189" s="258">
        <f>CharterFundExp2!I675</f>
        <v>0</v>
      </c>
      <c r="G189" s="259"/>
      <c r="H189" s="258">
        <v>0</v>
      </c>
      <c r="I189" s="259"/>
      <c r="J189" s="258">
        <v>0</v>
      </c>
      <c r="K189" s="259"/>
      <c r="L189" s="275">
        <v>0</v>
      </c>
      <c r="M189" s="259"/>
      <c r="N189" s="258">
        <v>0</v>
      </c>
      <c r="O189" s="259"/>
      <c r="P189" s="258">
        <v>0</v>
      </c>
      <c r="Q189" s="259"/>
      <c r="R189" s="258">
        <v>0</v>
      </c>
      <c r="S189" s="259"/>
      <c r="T189" s="258">
        <v>0</v>
      </c>
      <c r="U189" s="259"/>
      <c r="V189" s="258">
        <v>0</v>
      </c>
      <c r="W189" s="259"/>
      <c r="X189" s="258">
        <v>0</v>
      </c>
      <c r="Y189" s="259"/>
      <c r="Z189" s="259"/>
      <c r="AA189" s="258">
        <v>0</v>
      </c>
      <c r="AB189" s="259"/>
      <c r="AC189" s="258">
        <v>0</v>
      </c>
      <c r="AD189" s="259"/>
      <c r="AE189" s="259"/>
      <c r="AF189" s="258">
        <v>0</v>
      </c>
      <c r="AG189" s="259"/>
      <c r="AH189" s="258">
        <v>0</v>
      </c>
      <c r="AI189" s="259"/>
      <c r="AJ189" s="258">
        <v>0</v>
      </c>
      <c r="AK189" s="259"/>
      <c r="AL189" s="258">
        <v>0</v>
      </c>
      <c r="AM189" s="259"/>
      <c r="AN189" s="258">
        <v>0</v>
      </c>
      <c r="AO189" s="259"/>
      <c r="AP189" s="258">
        <v>0</v>
      </c>
      <c r="AQ189" s="259"/>
      <c r="AR189" s="258">
        <v>0</v>
      </c>
      <c r="AS189" s="259"/>
      <c r="AT189" s="259"/>
      <c r="AU189" s="258">
        <v>0</v>
      </c>
      <c r="AV189" s="259"/>
      <c r="AW189" s="258">
        <v>0</v>
      </c>
      <c r="AX189" s="259"/>
      <c r="AY189" s="258">
        <v>0</v>
      </c>
      <c r="AZ189" s="259"/>
      <c r="BA189" s="258">
        <v>0</v>
      </c>
      <c r="BB189" s="259"/>
      <c r="BC189" s="258">
        <v>0</v>
      </c>
      <c r="BD189" s="259"/>
      <c r="BE189" s="258">
        <v>0</v>
      </c>
      <c r="BF189" s="259"/>
      <c r="BG189" s="559">
        <f>Arbitrage!G35</f>
        <v>0</v>
      </c>
      <c r="BH189" s="259"/>
      <c r="BI189" s="258">
        <f>D189+F189+H189+J189+X189+N189+P189+R189+L189+T189+V189+AC189+AF189+AH189+AJ189+AL189+AN189+AP189+AR189+AU189+AW189+AY189+BA189+BC189+BG189+BE189+AA189</f>
        <v>0</v>
      </c>
      <c r="BJ189" s="260"/>
      <c r="BK189" s="263"/>
      <c r="BL189" s="263"/>
      <c r="BM189" s="264"/>
    </row>
    <row r="190" spans="1:74" s="276" customFormat="1" ht="18.75" thickBot="1" x14ac:dyDescent="0.3">
      <c r="A190" s="252"/>
      <c r="B190" s="253"/>
      <c r="C190" s="278"/>
      <c r="D190" s="275"/>
      <c r="E190" s="259"/>
      <c r="F190" s="275"/>
      <c r="G190" s="259"/>
      <c r="H190" s="275"/>
      <c r="I190" s="259"/>
      <c r="J190" s="275"/>
      <c r="K190" s="259"/>
      <c r="L190" s="275"/>
      <c r="M190" s="259"/>
      <c r="N190" s="275"/>
      <c r="O190" s="259"/>
      <c r="P190" s="275"/>
      <c r="Q190" s="259"/>
      <c r="R190" s="275"/>
      <c r="S190" s="259"/>
      <c r="T190" s="275"/>
      <c r="U190" s="259"/>
      <c r="V190" s="275"/>
      <c r="W190" s="259"/>
      <c r="X190" s="275"/>
      <c r="Y190" s="259"/>
      <c r="Z190" s="259"/>
      <c r="AA190" s="275"/>
      <c r="AB190" s="259"/>
      <c r="AC190" s="275"/>
      <c r="AD190" s="259"/>
      <c r="AE190" s="259"/>
      <c r="AF190" s="275"/>
      <c r="AG190" s="259"/>
      <c r="AH190" s="275"/>
      <c r="AI190" s="259"/>
      <c r="AJ190" s="275"/>
      <c r="AK190" s="259"/>
      <c r="AL190" s="275"/>
      <c r="AM190" s="259"/>
      <c r="AN190" s="275"/>
      <c r="AO190" s="259"/>
      <c r="AP190" s="275"/>
      <c r="AQ190" s="259"/>
      <c r="AR190" s="275"/>
      <c r="AS190" s="259"/>
      <c r="AT190" s="259"/>
      <c r="AU190" s="275"/>
      <c r="AV190" s="259"/>
      <c r="AW190" s="275"/>
      <c r="AX190" s="259"/>
      <c r="AY190" s="275"/>
      <c r="AZ190" s="259"/>
      <c r="BA190" s="275"/>
      <c r="BB190" s="259"/>
      <c r="BC190" s="275"/>
      <c r="BD190" s="259"/>
      <c r="BE190" s="275"/>
      <c r="BF190" s="259"/>
      <c r="BG190" s="275"/>
      <c r="BH190" s="259"/>
      <c r="BI190" s="258"/>
      <c r="BJ190" s="278"/>
      <c r="BK190" s="279"/>
      <c r="BL190" s="279"/>
    </row>
    <row r="191" spans="1:74" s="276" customFormat="1" ht="126.75" thickBot="1" x14ac:dyDescent="0.3">
      <c r="A191" s="265" t="s">
        <v>381</v>
      </c>
      <c r="B191" s="273"/>
      <c r="C191" s="269"/>
      <c r="D191" s="268">
        <f>D29-D187-D189</f>
        <v>0</v>
      </c>
      <c r="E191" s="269"/>
      <c r="F191" s="268">
        <f>F29-F187-F189</f>
        <v>0</v>
      </c>
      <c r="G191" s="269"/>
      <c r="H191" s="268">
        <f>H29-H187-H189</f>
        <v>0</v>
      </c>
      <c r="I191" s="269"/>
      <c r="J191" s="268">
        <f>J29-J187-J189</f>
        <v>0</v>
      </c>
      <c r="K191" s="269"/>
      <c r="L191" s="268">
        <f>L29-L187-L189</f>
        <v>0</v>
      </c>
      <c r="M191" s="269"/>
      <c r="N191" s="268">
        <f>N29-N187-N189</f>
        <v>0</v>
      </c>
      <c r="O191" s="269"/>
      <c r="P191" s="268">
        <f>P29-P187-P189</f>
        <v>0</v>
      </c>
      <c r="Q191" s="269"/>
      <c r="R191" s="268">
        <f>R29-R187-R189</f>
        <v>0</v>
      </c>
      <c r="S191" s="269"/>
      <c r="T191" s="268">
        <f>T29-T187-T189</f>
        <v>0</v>
      </c>
      <c r="U191" s="269"/>
      <c r="V191" s="268">
        <f>V29-V187-V189</f>
        <v>0</v>
      </c>
      <c r="W191" s="269"/>
      <c r="X191" s="268">
        <f>X29-X187-X189</f>
        <v>0</v>
      </c>
      <c r="Y191" s="269"/>
      <c r="Z191" s="269"/>
      <c r="AA191" s="268">
        <f>AA29-AA187-AA189</f>
        <v>0</v>
      </c>
      <c r="AB191" s="269"/>
      <c r="AC191" s="268">
        <f>AC29-AC187-AC189</f>
        <v>0</v>
      </c>
      <c r="AD191" s="269"/>
      <c r="AE191" s="269"/>
      <c r="AF191" s="268">
        <f>AF29-AF187-AF189</f>
        <v>0</v>
      </c>
      <c r="AG191" s="269"/>
      <c r="AH191" s="268">
        <f>AH29-AH187-AH189</f>
        <v>0</v>
      </c>
      <c r="AI191" s="269"/>
      <c r="AJ191" s="268">
        <f>AJ29-AJ187-AJ189</f>
        <v>0</v>
      </c>
      <c r="AK191" s="269"/>
      <c r="AL191" s="268">
        <f>AL29-AL187-AL189</f>
        <v>0</v>
      </c>
      <c r="AM191" s="269"/>
      <c r="AN191" s="268">
        <f>AN29-AN187-AN189</f>
        <v>0</v>
      </c>
      <c r="AO191" s="269"/>
      <c r="AP191" s="268">
        <f>AP29-AP187-AP189</f>
        <v>0</v>
      </c>
      <c r="AQ191" s="269"/>
      <c r="AR191" s="268">
        <f>AR29-AR187-AR189</f>
        <v>0</v>
      </c>
      <c r="AS191" s="269"/>
      <c r="AT191" s="269"/>
      <c r="AU191" s="268">
        <f>AU29-AU187-AU189</f>
        <v>0</v>
      </c>
      <c r="AV191" s="269"/>
      <c r="AW191" s="268">
        <f>AW29-AW187-AW189</f>
        <v>0</v>
      </c>
      <c r="AX191" s="269"/>
      <c r="AY191" s="268">
        <f>AY29-AY187-AY189</f>
        <v>0</v>
      </c>
      <c r="AZ191" s="269"/>
      <c r="BA191" s="268">
        <f>BA29-BA187-BA189</f>
        <v>0</v>
      </c>
      <c r="BB191" s="269"/>
      <c r="BC191" s="268">
        <f>BC29-BC187-BC189</f>
        <v>0</v>
      </c>
      <c r="BD191" s="269"/>
      <c r="BE191" s="268">
        <f>BE29-BE187-BE189</f>
        <v>0</v>
      </c>
      <c r="BF191" s="269"/>
      <c r="BG191" s="268">
        <f>BG29-BG187-BG189</f>
        <v>0</v>
      </c>
      <c r="BH191" s="269"/>
      <c r="BI191" s="268">
        <f>D191+F191+H191+J191+X191+N191+P191+R191+L191+T191+V191+AC191+AF191+AH191+AJ191+AL191+AN191+AP191+AR191+AU191+AW191+AY191+BA191+BC191+BG191+BE191+AA191</f>
        <v>0</v>
      </c>
      <c r="BJ191" s="269"/>
      <c r="BK191" s="280"/>
      <c r="BL191" s="280"/>
    </row>
    <row r="192" spans="1:74" x14ac:dyDescent="0.2">
      <c r="A192" s="597"/>
      <c r="B192" s="598"/>
      <c r="C192" s="599"/>
      <c r="D192" s="281"/>
      <c r="E192" s="600"/>
      <c r="F192" s="281"/>
      <c r="G192" s="600"/>
      <c r="H192" s="281"/>
      <c r="I192" s="600"/>
      <c r="J192" s="281"/>
      <c r="K192" s="600"/>
      <c r="L192" s="281"/>
      <c r="M192" s="600"/>
      <c r="N192" s="281"/>
      <c r="O192" s="600"/>
      <c r="P192" s="281"/>
      <c r="Q192" s="600"/>
      <c r="R192" s="281"/>
      <c r="S192" s="600"/>
      <c r="T192" s="281"/>
      <c r="U192" s="600"/>
      <c r="V192" s="281"/>
      <c r="W192" s="600"/>
      <c r="X192" s="281"/>
      <c r="Y192" s="600"/>
      <c r="Z192" s="600"/>
      <c r="AA192" s="281"/>
      <c r="AB192" s="600"/>
      <c r="AC192" s="281"/>
      <c r="AD192" s="600"/>
      <c r="AE192" s="600"/>
      <c r="AF192" s="281"/>
      <c r="AG192" s="600"/>
      <c r="AH192" s="281"/>
      <c r="AI192" s="600"/>
      <c r="AJ192" s="281"/>
      <c r="AK192" s="600"/>
      <c r="AL192" s="281"/>
      <c r="AM192" s="600"/>
      <c r="AN192" s="281"/>
      <c r="AO192" s="600"/>
      <c r="AP192" s="281"/>
      <c r="AQ192" s="600"/>
      <c r="AR192" s="281"/>
      <c r="AS192" s="600"/>
      <c r="AT192" s="600"/>
      <c r="AU192" s="281"/>
      <c r="AV192" s="600"/>
      <c r="AW192" s="281"/>
      <c r="AX192" s="600"/>
      <c r="AY192" s="281"/>
      <c r="AZ192" s="600"/>
      <c r="BA192" s="281"/>
      <c r="BB192" s="600"/>
      <c r="BC192" s="281"/>
      <c r="BD192" s="600"/>
      <c r="BE192" s="281"/>
      <c r="BF192" s="600"/>
      <c r="BG192" s="281"/>
      <c r="BH192" s="600"/>
      <c r="BI192" s="282"/>
      <c r="BJ192" s="599"/>
      <c r="BK192" s="601"/>
      <c r="BL192" s="601"/>
      <c r="BM192" s="589"/>
    </row>
    <row r="193" x14ac:dyDescent="0.2"/>
    <row r="194" x14ac:dyDescent="0.2"/>
    <row r="195" x14ac:dyDescent="0.2"/>
  </sheetData>
  <sheetProtection password="CB03" sheet="1" objects="1" scenarios="1" formatCells="0" formatColumns="0" formatRows="0"/>
  <phoneticPr fontId="0" type="noConversion"/>
  <pageMargins left="0.5" right="0.5" top="0.75" bottom="0.75" header="0.5" footer="0.5"/>
  <pageSetup scale="55" fitToWidth="6" fitToHeight="4" orientation="portrait" r:id="rId1"/>
  <headerFooter alignWithMargins="0">
    <oddFooter>&amp;LCDE, Public Scool Finance Unit&amp;C&amp;P&amp;R&amp;D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J685"/>
  <sheetViews>
    <sheetView topLeftCell="A118" zoomScaleNormal="100" workbookViewId="0">
      <selection activeCell="C1" sqref="C1"/>
    </sheetView>
  </sheetViews>
  <sheetFormatPr defaultRowHeight="10.5" customHeight="1" x14ac:dyDescent="0.15"/>
  <cols>
    <col min="1" max="1" width="4.83203125" style="155" customWidth="1"/>
    <col min="2" max="2" width="7.6640625" style="155" customWidth="1"/>
    <col min="3" max="3" width="70.83203125" style="155" customWidth="1"/>
    <col min="4" max="4" width="15.83203125" style="155" customWidth="1"/>
    <col min="5" max="5" width="18" style="302" customWidth="1"/>
    <col min="6" max="6" width="19" style="155" customWidth="1"/>
    <col min="7" max="7" width="15.83203125" style="155" customWidth="1"/>
    <col min="8" max="8" width="15.83203125" style="302" customWidth="1"/>
    <col min="9" max="9" width="19" style="302" customWidth="1"/>
    <col min="10" max="16384" width="9.33203125" style="155"/>
  </cols>
  <sheetData>
    <row r="1" spans="1:10" ht="10.5" customHeight="1" x14ac:dyDescent="0.15">
      <c r="A1" s="155" t="s">
        <v>1044</v>
      </c>
      <c r="C1" s="160">
        <f>+'Page 1 - FY2016-17'!B5</f>
        <v>0</v>
      </c>
      <c r="D1" s="155" t="s">
        <v>889</v>
      </c>
      <c r="E1" s="640">
        <f>+'Page 1 - FY2016-17'!F7</f>
        <v>0</v>
      </c>
      <c r="G1" s="37" t="s">
        <v>891</v>
      </c>
      <c r="H1" s="306"/>
      <c r="I1" s="306"/>
    </row>
    <row r="2" spans="1:10" ht="12.75" x14ac:dyDescent="0.2">
      <c r="A2" s="203" t="s">
        <v>1047</v>
      </c>
    </row>
    <row r="3" spans="1:10" ht="12.75" x14ac:dyDescent="0.2">
      <c r="A3" s="203"/>
    </row>
    <row r="4" spans="1:10" ht="42.75" x14ac:dyDescent="0.2">
      <c r="A4" s="203"/>
      <c r="D4" s="580" t="s">
        <v>1607</v>
      </c>
      <c r="E4" s="580" t="s">
        <v>1606</v>
      </c>
      <c r="F4" s="580" t="s">
        <v>1605</v>
      </c>
      <c r="G4" s="580" t="s">
        <v>1604</v>
      </c>
      <c r="H4" s="580" t="s">
        <v>1603</v>
      </c>
      <c r="I4" s="580" t="s">
        <v>1602</v>
      </c>
    </row>
    <row r="5" spans="1:10" ht="53.25" x14ac:dyDescent="0.2">
      <c r="A5" s="203"/>
      <c r="D5" s="424"/>
      <c r="E5" s="424"/>
      <c r="F5" s="424"/>
      <c r="G5" s="424"/>
      <c r="H5" s="713" t="s">
        <v>1541</v>
      </c>
      <c r="I5" s="715" t="s">
        <v>1516</v>
      </c>
    </row>
    <row r="6" spans="1:10" ht="12.75" x14ac:dyDescent="0.2">
      <c r="A6" s="203"/>
    </row>
    <row r="7" spans="1:10" ht="10.5" customHeight="1" x14ac:dyDescent="0.15">
      <c r="A7" s="39" t="s">
        <v>122</v>
      </c>
      <c r="D7" s="178"/>
      <c r="E7" s="641"/>
      <c r="F7" s="178"/>
      <c r="G7" s="178"/>
    </row>
    <row r="8" spans="1:10" s="179" customFormat="1" ht="10.5" customHeight="1" x14ac:dyDescent="0.15">
      <c r="B8" s="202" t="s">
        <v>213</v>
      </c>
      <c r="D8" s="143"/>
      <c r="E8" s="642"/>
      <c r="F8" s="143"/>
      <c r="G8" s="142"/>
      <c r="H8" s="303"/>
      <c r="I8" s="496"/>
    </row>
    <row r="9" spans="1:10" s="179" customFormat="1" ht="10.5" customHeight="1" x14ac:dyDescent="0.15">
      <c r="A9" s="145" t="s">
        <v>123</v>
      </c>
      <c r="B9" s="114"/>
      <c r="C9" s="114"/>
      <c r="D9" s="143"/>
      <c r="E9" s="642"/>
      <c r="F9" s="143"/>
      <c r="G9" s="142"/>
      <c r="H9" s="303"/>
      <c r="I9" s="496"/>
    </row>
    <row r="10" spans="1:10" s="302" customFormat="1" hidden="1" x14ac:dyDescent="0.15">
      <c r="B10" s="304" t="s">
        <v>880</v>
      </c>
      <c r="C10" s="305" t="s">
        <v>1164</v>
      </c>
      <c r="D10" s="308">
        <v>0</v>
      </c>
      <c r="E10" s="308">
        <v>0</v>
      </c>
      <c r="F10" s="308">
        <v>0</v>
      </c>
      <c r="G10" s="458"/>
      <c r="H10" s="457">
        <v>0</v>
      </c>
      <c r="I10" s="494">
        <f>SUM(G10+H10)</f>
        <v>0</v>
      </c>
    </row>
    <row r="11" spans="1:10" s="302" customFormat="1" x14ac:dyDescent="0.15">
      <c r="B11" s="304" t="s">
        <v>880</v>
      </c>
      <c r="C11" s="305" t="s">
        <v>337</v>
      </c>
      <c r="D11" s="308">
        <v>0</v>
      </c>
      <c r="E11" s="308">
        <v>0</v>
      </c>
      <c r="F11" s="308">
        <v>0</v>
      </c>
      <c r="G11" s="308">
        <v>0</v>
      </c>
      <c r="H11" s="457">
        <v>0</v>
      </c>
      <c r="I11" s="494">
        <f>SUM(G11+H11)</f>
        <v>0</v>
      </c>
    </row>
    <row r="12" spans="1:10" s="302" customFormat="1" hidden="1" x14ac:dyDescent="0.15">
      <c r="A12" s="305"/>
      <c r="B12" s="304" t="s">
        <v>881</v>
      </c>
      <c r="C12" s="305" t="s">
        <v>382</v>
      </c>
      <c r="D12" s="308">
        <v>0</v>
      </c>
      <c r="E12" s="308">
        <v>0</v>
      </c>
      <c r="F12" s="308">
        <v>0</v>
      </c>
      <c r="G12" s="459"/>
      <c r="H12" s="457">
        <v>0</v>
      </c>
      <c r="I12" s="494">
        <f>SUM(G12+H12)</f>
        <v>0</v>
      </c>
    </row>
    <row r="13" spans="1:10" x14ac:dyDescent="0.15">
      <c r="A13" s="114"/>
      <c r="B13" s="149" t="s">
        <v>881</v>
      </c>
      <c r="C13" s="114" t="s">
        <v>338</v>
      </c>
      <c r="D13" s="144">
        <v>0</v>
      </c>
      <c r="E13" s="308">
        <v>0</v>
      </c>
      <c r="F13" s="144">
        <v>0</v>
      </c>
      <c r="G13" s="144">
        <v>0</v>
      </c>
      <c r="H13" s="147">
        <v>0</v>
      </c>
      <c r="I13" s="495">
        <f>SUM(G13+H13)</f>
        <v>0</v>
      </c>
      <c r="J13" s="302"/>
    </row>
    <row r="14" spans="1:10" s="179" customFormat="1" ht="10.5" customHeight="1" x14ac:dyDescent="0.15">
      <c r="A14" s="145"/>
      <c r="B14" s="149" t="s">
        <v>882</v>
      </c>
      <c r="C14" s="114" t="s">
        <v>1058</v>
      </c>
      <c r="D14" s="144">
        <v>0</v>
      </c>
      <c r="E14" s="308">
        <v>0</v>
      </c>
      <c r="F14" s="144">
        <v>0</v>
      </c>
      <c r="G14" s="144">
        <v>0</v>
      </c>
      <c r="H14" s="307">
        <v>0</v>
      </c>
      <c r="I14" s="500">
        <f t="shared" ref="I14:I43" si="0">SUM(G14+H14)</f>
        <v>0</v>
      </c>
    </row>
    <row r="15" spans="1:10" s="179" customFormat="1" ht="10.5" customHeight="1" x14ac:dyDescent="0.15">
      <c r="A15" s="145"/>
      <c r="B15" s="149" t="s">
        <v>883</v>
      </c>
      <c r="C15" s="114" t="s">
        <v>1059</v>
      </c>
      <c r="D15" s="144">
        <v>0</v>
      </c>
      <c r="E15" s="308">
        <v>0</v>
      </c>
      <c r="F15" s="144">
        <v>0</v>
      </c>
      <c r="G15" s="144">
        <v>0</v>
      </c>
      <c r="H15" s="307">
        <v>0</v>
      </c>
      <c r="I15" s="500">
        <f t="shared" si="0"/>
        <v>0</v>
      </c>
    </row>
    <row r="16" spans="1:10" s="179" customFormat="1" ht="10.5" customHeight="1" x14ac:dyDescent="0.15">
      <c r="A16" s="145"/>
      <c r="B16" s="149" t="s">
        <v>1060</v>
      </c>
      <c r="C16" s="114" t="s">
        <v>1061</v>
      </c>
      <c r="D16" s="144">
        <v>0</v>
      </c>
      <c r="E16" s="308">
        <v>0</v>
      </c>
      <c r="F16" s="144">
        <v>0</v>
      </c>
      <c r="G16" s="144">
        <v>0</v>
      </c>
      <c r="H16" s="307">
        <v>0</v>
      </c>
      <c r="I16" s="500">
        <f t="shared" si="0"/>
        <v>0</v>
      </c>
    </row>
    <row r="17" spans="1:9" s="179" customFormat="1" ht="10.5" customHeight="1" x14ac:dyDescent="0.15">
      <c r="A17" s="145"/>
      <c r="B17" s="149" t="s">
        <v>1062</v>
      </c>
      <c r="C17" s="114" t="s">
        <v>1063</v>
      </c>
      <c r="D17" s="144">
        <v>0</v>
      </c>
      <c r="E17" s="308">
        <v>0</v>
      </c>
      <c r="F17" s="144">
        <v>0</v>
      </c>
      <c r="G17" s="144">
        <v>0</v>
      </c>
      <c r="H17" s="307">
        <v>0</v>
      </c>
      <c r="I17" s="500">
        <f t="shared" si="0"/>
        <v>0</v>
      </c>
    </row>
    <row r="18" spans="1:9" s="179" customFormat="1" ht="10.5" customHeight="1" x14ac:dyDescent="0.15">
      <c r="A18" s="145"/>
      <c r="B18" s="149" t="s">
        <v>884</v>
      </c>
      <c r="C18" s="114" t="s">
        <v>1064</v>
      </c>
      <c r="D18" s="144">
        <v>0</v>
      </c>
      <c r="E18" s="308">
        <v>0</v>
      </c>
      <c r="F18" s="144">
        <v>0</v>
      </c>
      <c r="G18" s="144">
        <v>0</v>
      </c>
      <c r="H18" s="307">
        <v>0</v>
      </c>
      <c r="I18" s="500">
        <f t="shared" si="0"/>
        <v>0</v>
      </c>
    </row>
    <row r="19" spans="1:9" s="179" customFormat="1" ht="10.5" customHeight="1" x14ac:dyDescent="0.15">
      <c r="A19" s="145"/>
      <c r="B19" s="149" t="s">
        <v>1065</v>
      </c>
      <c r="C19" s="114" t="s">
        <v>1073</v>
      </c>
      <c r="D19" s="144">
        <v>0</v>
      </c>
      <c r="E19" s="308">
        <v>0</v>
      </c>
      <c r="F19" s="144">
        <v>0</v>
      </c>
      <c r="G19" s="144">
        <v>0</v>
      </c>
      <c r="H19" s="307">
        <v>0</v>
      </c>
      <c r="I19" s="500">
        <f t="shared" si="0"/>
        <v>0</v>
      </c>
    </row>
    <row r="20" spans="1:9" s="179" customFormat="1" ht="10.5" customHeight="1" x14ac:dyDescent="0.15">
      <c r="A20" s="145"/>
      <c r="B20" s="149" t="s">
        <v>1066</v>
      </c>
      <c r="C20" s="114" t="s">
        <v>1125</v>
      </c>
      <c r="D20" s="144">
        <v>0</v>
      </c>
      <c r="E20" s="308">
        <v>0</v>
      </c>
      <c r="F20" s="144">
        <v>0</v>
      </c>
      <c r="G20" s="144">
        <v>0</v>
      </c>
      <c r="H20" s="307">
        <v>0</v>
      </c>
      <c r="I20" s="500">
        <f t="shared" si="0"/>
        <v>0</v>
      </c>
    </row>
    <row r="21" spans="1:9" s="179" customFormat="1" ht="10.5" customHeight="1" x14ac:dyDescent="0.15">
      <c r="A21" s="145"/>
      <c r="B21" s="149" t="s">
        <v>1067</v>
      </c>
      <c r="C21" s="114" t="s">
        <v>1074</v>
      </c>
      <c r="D21" s="144">
        <v>0</v>
      </c>
      <c r="E21" s="308">
        <v>0</v>
      </c>
      <c r="F21" s="144">
        <v>0</v>
      </c>
      <c r="G21" s="144">
        <v>0</v>
      </c>
      <c r="H21" s="307">
        <v>0</v>
      </c>
      <c r="I21" s="500">
        <f t="shared" si="0"/>
        <v>0</v>
      </c>
    </row>
    <row r="22" spans="1:9" s="179" customFormat="1" ht="10.5" customHeight="1" x14ac:dyDescent="0.15">
      <c r="A22" s="145"/>
      <c r="B22" s="149" t="s">
        <v>1068</v>
      </c>
      <c r="C22" s="114" t="s">
        <v>1075</v>
      </c>
      <c r="D22" s="144">
        <v>0</v>
      </c>
      <c r="E22" s="308">
        <v>0</v>
      </c>
      <c r="F22" s="144">
        <v>0</v>
      </c>
      <c r="G22" s="144">
        <v>0</v>
      </c>
      <c r="H22" s="307">
        <v>0</v>
      </c>
      <c r="I22" s="500">
        <f t="shared" si="0"/>
        <v>0</v>
      </c>
    </row>
    <row r="23" spans="1:9" s="179" customFormat="1" ht="10.5" customHeight="1" x14ac:dyDescent="0.15">
      <c r="A23" s="145"/>
      <c r="B23" s="149" t="s">
        <v>1069</v>
      </c>
      <c r="C23" s="114" t="s">
        <v>1076</v>
      </c>
      <c r="D23" s="144">
        <v>0</v>
      </c>
      <c r="E23" s="308">
        <v>0</v>
      </c>
      <c r="F23" s="144">
        <v>0</v>
      </c>
      <c r="G23" s="144">
        <v>0</v>
      </c>
      <c r="H23" s="307">
        <v>0</v>
      </c>
      <c r="I23" s="500">
        <f t="shared" si="0"/>
        <v>0</v>
      </c>
    </row>
    <row r="24" spans="1:9" s="179" customFormat="1" ht="10.5" customHeight="1" x14ac:dyDescent="0.15">
      <c r="A24" s="145"/>
      <c r="B24" s="149" t="s">
        <v>1071</v>
      </c>
      <c r="C24" s="114" t="s">
        <v>1077</v>
      </c>
      <c r="D24" s="144">
        <v>0</v>
      </c>
      <c r="E24" s="308">
        <v>0</v>
      </c>
      <c r="F24" s="144">
        <v>0</v>
      </c>
      <c r="G24" s="144">
        <v>0</v>
      </c>
      <c r="H24" s="307">
        <v>0</v>
      </c>
      <c r="I24" s="500">
        <f t="shared" si="0"/>
        <v>0</v>
      </c>
    </row>
    <row r="25" spans="1:9" s="179" customFormat="1" ht="10.5" customHeight="1" x14ac:dyDescent="0.15">
      <c r="A25" s="145"/>
      <c r="B25" s="149" t="s">
        <v>1072</v>
      </c>
      <c r="C25" s="114" t="s">
        <v>920</v>
      </c>
      <c r="D25" s="144">
        <v>0</v>
      </c>
      <c r="E25" s="308">
        <v>0</v>
      </c>
      <c r="F25" s="144">
        <v>0</v>
      </c>
      <c r="G25" s="144">
        <v>0</v>
      </c>
      <c r="H25" s="307">
        <v>0</v>
      </c>
      <c r="I25" s="500">
        <f t="shared" si="0"/>
        <v>0</v>
      </c>
    </row>
    <row r="26" spans="1:9" s="179" customFormat="1" ht="10.5" customHeight="1" x14ac:dyDescent="0.15">
      <c r="A26" s="145"/>
      <c r="B26" s="718" t="s">
        <v>155</v>
      </c>
      <c r="C26" s="719" t="s">
        <v>178</v>
      </c>
      <c r="D26" s="144">
        <v>0</v>
      </c>
      <c r="E26" s="308">
        <v>0</v>
      </c>
      <c r="F26" s="144">
        <v>0</v>
      </c>
      <c r="G26" s="144">
        <v>0</v>
      </c>
      <c r="H26" s="307">
        <v>0</v>
      </c>
      <c r="I26" s="500">
        <f t="shared" ref="I26" si="1">SUM(G26+H26)</f>
        <v>0</v>
      </c>
    </row>
    <row r="27" spans="1:9" s="179" customFormat="1" ht="10.5" customHeight="1" x14ac:dyDescent="0.15">
      <c r="A27" s="145"/>
      <c r="B27" s="149" t="s">
        <v>927</v>
      </c>
      <c r="C27" s="114" t="s">
        <v>959</v>
      </c>
      <c r="D27" s="144">
        <v>0</v>
      </c>
      <c r="E27" s="308">
        <v>0</v>
      </c>
      <c r="F27" s="144">
        <v>0</v>
      </c>
      <c r="G27" s="144">
        <v>0</v>
      </c>
      <c r="H27" s="307">
        <v>0</v>
      </c>
      <c r="I27" s="500">
        <f t="shared" si="0"/>
        <v>0</v>
      </c>
    </row>
    <row r="28" spans="1:9" s="179" customFormat="1" ht="10.5" customHeight="1" x14ac:dyDescent="0.15">
      <c r="A28" s="145"/>
      <c r="B28" s="149" t="s">
        <v>928</v>
      </c>
      <c r="C28" s="114" t="s">
        <v>961</v>
      </c>
      <c r="D28" s="144">
        <v>0</v>
      </c>
      <c r="E28" s="308">
        <v>0</v>
      </c>
      <c r="F28" s="144">
        <v>0</v>
      </c>
      <c r="G28" s="144">
        <v>0</v>
      </c>
      <c r="H28" s="307">
        <v>0</v>
      </c>
      <c r="I28" s="500">
        <f t="shared" si="0"/>
        <v>0</v>
      </c>
    </row>
    <row r="29" spans="1:9" s="179" customFormat="1" ht="10.5" customHeight="1" x14ac:dyDescent="0.15">
      <c r="A29" s="145"/>
      <c r="B29" s="149" t="s">
        <v>962</v>
      </c>
      <c r="C29" s="114" t="s">
        <v>967</v>
      </c>
      <c r="D29" s="144">
        <v>0</v>
      </c>
      <c r="E29" s="308">
        <v>0</v>
      </c>
      <c r="F29" s="144">
        <v>0</v>
      </c>
      <c r="G29" s="144">
        <v>0</v>
      </c>
      <c r="H29" s="307">
        <v>0</v>
      </c>
      <c r="I29" s="500">
        <f t="shared" si="0"/>
        <v>0</v>
      </c>
    </row>
    <row r="30" spans="1:9" s="179" customFormat="1" ht="10.5" customHeight="1" x14ac:dyDescent="0.15">
      <c r="A30" s="145"/>
      <c r="B30" s="149" t="s">
        <v>963</v>
      </c>
      <c r="C30" s="114" t="s">
        <v>1124</v>
      </c>
      <c r="D30" s="144">
        <v>0</v>
      </c>
      <c r="E30" s="308">
        <v>0</v>
      </c>
      <c r="F30" s="144">
        <v>0</v>
      </c>
      <c r="G30" s="144">
        <v>0</v>
      </c>
      <c r="H30" s="307">
        <v>0</v>
      </c>
      <c r="I30" s="500">
        <f t="shared" si="0"/>
        <v>0</v>
      </c>
    </row>
    <row r="31" spans="1:9" s="179" customFormat="1" ht="10.5" customHeight="1" x14ac:dyDescent="0.15">
      <c r="A31" s="145"/>
      <c r="B31" s="149" t="s">
        <v>964</v>
      </c>
      <c r="C31" s="114" t="s">
        <v>1094</v>
      </c>
      <c r="D31" s="144">
        <v>0</v>
      </c>
      <c r="E31" s="308">
        <v>0</v>
      </c>
      <c r="F31" s="144">
        <v>0</v>
      </c>
      <c r="G31" s="144">
        <v>0</v>
      </c>
      <c r="H31" s="307">
        <v>0</v>
      </c>
      <c r="I31" s="500">
        <f t="shared" si="0"/>
        <v>0</v>
      </c>
    </row>
    <row r="32" spans="1:9" s="179" customFormat="1" ht="10.5" customHeight="1" x14ac:dyDescent="0.15">
      <c r="A32" s="145"/>
      <c r="B32" s="149" t="s">
        <v>965</v>
      </c>
      <c r="C32" s="114" t="s">
        <v>1095</v>
      </c>
      <c r="D32" s="144">
        <v>0</v>
      </c>
      <c r="E32" s="308">
        <v>0</v>
      </c>
      <c r="F32" s="144">
        <v>0</v>
      </c>
      <c r="G32" s="144">
        <v>0</v>
      </c>
      <c r="H32" s="307">
        <v>0</v>
      </c>
      <c r="I32" s="500">
        <f t="shared" si="0"/>
        <v>0</v>
      </c>
    </row>
    <row r="33" spans="1:9" s="179" customFormat="1" ht="10.5" customHeight="1" x14ac:dyDescent="0.15">
      <c r="A33" s="145"/>
      <c r="B33" s="149" t="s">
        <v>885</v>
      </c>
      <c r="C33" s="114" t="s">
        <v>1096</v>
      </c>
      <c r="D33" s="144">
        <v>0</v>
      </c>
      <c r="E33" s="308">
        <v>0</v>
      </c>
      <c r="F33" s="144">
        <v>0</v>
      </c>
      <c r="G33" s="144">
        <v>0</v>
      </c>
      <c r="H33" s="307">
        <v>0</v>
      </c>
      <c r="I33" s="500">
        <f t="shared" si="0"/>
        <v>0</v>
      </c>
    </row>
    <row r="34" spans="1:9" s="179" customFormat="1" ht="10.5" customHeight="1" x14ac:dyDescent="0.15">
      <c r="A34" s="145"/>
      <c r="B34" s="149" t="s">
        <v>966</v>
      </c>
      <c r="C34" s="114" t="s">
        <v>1097</v>
      </c>
      <c r="D34" s="144">
        <v>0</v>
      </c>
      <c r="E34" s="308">
        <v>0</v>
      </c>
      <c r="F34" s="144">
        <v>0</v>
      </c>
      <c r="G34" s="144">
        <v>0</v>
      </c>
      <c r="H34" s="307">
        <v>0</v>
      </c>
      <c r="I34" s="500">
        <f t="shared" si="0"/>
        <v>0</v>
      </c>
    </row>
    <row r="35" spans="1:9" s="179" customFormat="1" ht="10.5" customHeight="1" x14ac:dyDescent="0.15">
      <c r="A35" s="145"/>
      <c r="B35" s="149" t="s">
        <v>886</v>
      </c>
      <c r="C35" s="114" t="s">
        <v>1100</v>
      </c>
      <c r="D35" s="144">
        <v>0</v>
      </c>
      <c r="E35" s="308">
        <v>0</v>
      </c>
      <c r="F35" s="144">
        <v>0</v>
      </c>
      <c r="G35" s="144">
        <v>0</v>
      </c>
      <c r="H35" s="307">
        <v>0</v>
      </c>
      <c r="I35" s="500">
        <f t="shared" si="0"/>
        <v>0</v>
      </c>
    </row>
    <row r="36" spans="1:9" s="179" customFormat="1" ht="10.5" customHeight="1" x14ac:dyDescent="0.15">
      <c r="A36" s="145"/>
      <c r="B36" s="149" t="s">
        <v>116</v>
      </c>
      <c r="C36" s="114" t="s">
        <v>1105</v>
      </c>
      <c r="D36" s="144">
        <v>0</v>
      </c>
      <c r="E36" s="308">
        <v>0</v>
      </c>
      <c r="F36" s="144">
        <v>0</v>
      </c>
      <c r="G36" s="144">
        <v>0</v>
      </c>
      <c r="H36" s="307">
        <v>0</v>
      </c>
      <c r="I36" s="500">
        <f t="shared" si="0"/>
        <v>0</v>
      </c>
    </row>
    <row r="37" spans="1:9" s="179" customFormat="1" ht="10.5" customHeight="1" x14ac:dyDescent="0.15">
      <c r="A37" s="145"/>
      <c r="B37" s="149" t="s">
        <v>112</v>
      </c>
      <c r="C37" s="114" t="s">
        <v>1110</v>
      </c>
      <c r="D37" s="144">
        <v>0</v>
      </c>
      <c r="E37" s="308">
        <v>0</v>
      </c>
      <c r="F37" s="144">
        <v>0</v>
      </c>
      <c r="G37" s="144">
        <v>0</v>
      </c>
      <c r="H37" s="307">
        <v>0</v>
      </c>
      <c r="I37" s="500">
        <f t="shared" si="0"/>
        <v>0</v>
      </c>
    </row>
    <row r="38" spans="1:9" s="179" customFormat="1" ht="10.5" customHeight="1" x14ac:dyDescent="0.15">
      <c r="A38" s="145"/>
      <c r="B38" s="149" t="s">
        <v>887</v>
      </c>
      <c r="C38" s="114" t="s">
        <v>1116</v>
      </c>
      <c r="D38" s="144">
        <v>0</v>
      </c>
      <c r="E38" s="308">
        <v>0</v>
      </c>
      <c r="F38" s="144">
        <v>0</v>
      </c>
      <c r="G38" s="144">
        <v>0</v>
      </c>
      <c r="H38" s="307">
        <v>0</v>
      </c>
      <c r="I38" s="500">
        <f t="shared" si="0"/>
        <v>0</v>
      </c>
    </row>
    <row r="39" spans="1:9" s="179" customFormat="1" ht="10.5" customHeight="1" x14ac:dyDescent="0.15">
      <c r="A39" s="145"/>
      <c r="B39" s="149" t="s">
        <v>1112</v>
      </c>
      <c r="C39" s="114" t="s">
        <v>1117</v>
      </c>
      <c r="D39" s="144">
        <v>0</v>
      </c>
      <c r="E39" s="308">
        <v>0</v>
      </c>
      <c r="F39" s="144">
        <v>0</v>
      </c>
      <c r="G39" s="144">
        <v>0</v>
      </c>
      <c r="H39" s="307">
        <v>0</v>
      </c>
      <c r="I39" s="500">
        <f t="shared" si="0"/>
        <v>0</v>
      </c>
    </row>
    <row r="40" spans="1:9" s="179" customFormat="1" ht="10.5" customHeight="1" x14ac:dyDescent="0.15">
      <c r="A40" s="145"/>
      <c r="B40" s="149" t="s">
        <v>1113</v>
      </c>
      <c r="C40" s="114" t="s">
        <v>1118</v>
      </c>
      <c r="D40" s="144">
        <v>0</v>
      </c>
      <c r="E40" s="308">
        <v>0</v>
      </c>
      <c r="F40" s="144">
        <v>0</v>
      </c>
      <c r="G40" s="144">
        <v>0</v>
      </c>
      <c r="H40" s="307">
        <v>0</v>
      </c>
      <c r="I40" s="500">
        <f t="shared" si="0"/>
        <v>0</v>
      </c>
    </row>
    <row r="41" spans="1:9" s="179" customFormat="1" ht="10.5" customHeight="1" x14ac:dyDescent="0.15">
      <c r="A41" s="145"/>
      <c r="B41" s="149" t="s">
        <v>1114</v>
      </c>
      <c r="C41" s="114" t="s">
        <v>1119</v>
      </c>
      <c r="D41" s="144">
        <v>0</v>
      </c>
      <c r="E41" s="308">
        <v>0</v>
      </c>
      <c r="F41" s="144">
        <v>0</v>
      </c>
      <c r="G41" s="144">
        <v>0</v>
      </c>
      <c r="H41" s="307">
        <v>0</v>
      </c>
      <c r="I41" s="500">
        <f t="shared" si="0"/>
        <v>0</v>
      </c>
    </row>
    <row r="42" spans="1:9" s="179" customFormat="1" ht="10.5" customHeight="1" x14ac:dyDescent="0.15">
      <c r="A42" s="145"/>
      <c r="B42" s="149" t="s">
        <v>1115</v>
      </c>
      <c r="C42" s="114" t="s">
        <v>1120</v>
      </c>
      <c r="D42" s="144">
        <v>0</v>
      </c>
      <c r="E42" s="308">
        <v>0</v>
      </c>
      <c r="F42" s="144">
        <v>0</v>
      </c>
      <c r="G42" s="144">
        <v>0</v>
      </c>
      <c r="H42" s="307">
        <v>0</v>
      </c>
      <c r="I42" s="500">
        <f t="shared" si="0"/>
        <v>0</v>
      </c>
    </row>
    <row r="43" spans="1:9" s="179" customFormat="1" ht="10.5" customHeight="1" thickBot="1" x14ac:dyDescent="0.2">
      <c r="A43" s="145"/>
      <c r="B43" s="149" t="s">
        <v>114</v>
      </c>
      <c r="C43" s="114" t="s">
        <v>1121</v>
      </c>
      <c r="D43" s="141">
        <v>0</v>
      </c>
      <c r="E43" s="309">
        <v>0</v>
      </c>
      <c r="F43" s="141">
        <v>0</v>
      </c>
      <c r="G43" s="141">
        <v>0</v>
      </c>
      <c r="H43" s="307">
        <v>0</v>
      </c>
      <c r="I43" s="500">
        <f t="shared" si="0"/>
        <v>0</v>
      </c>
    </row>
    <row r="44" spans="1:9" s="179" customFormat="1" ht="10.5" customHeight="1" thickTop="1" thickBot="1" x14ac:dyDescent="0.2">
      <c r="A44" s="145"/>
      <c r="B44" s="149"/>
      <c r="C44" s="114" t="s">
        <v>125</v>
      </c>
      <c r="D44" s="166">
        <f>SUM(D10:D43)</f>
        <v>0</v>
      </c>
      <c r="E44" s="297">
        <f>SUM(E10:E43)</f>
        <v>0</v>
      </c>
      <c r="F44" s="166">
        <f>SUM(F10:F43)</f>
        <v>0</v>
      </c>
      <c r="G44" s="166">
        <f>SUM(G10:G43)</f>
        <v>0</v>
      </c>
      <c r="H44" s="166">
        <f>SUM(H10:H43)</f>
        <v>0</v>
      </c>
      <c r="I44" s="297">
        <f>SUM(G44+H44)</f>
        <v>0</v>
      </c>
    </row>
    <row r="45" spans="1:9" s="179" customFormat="1" ht="10.5" customHeight="1" thickTop="1" x14ac:dyDescent="0.15">
      <c r="A45" s="145"/>
      <c r="B45" s="149"/>
      <c r="C45" s="114"/>
      <c r="D45" s="14"/>
      <c r="E45" s="301"/>
      <c r="F45" s="14"/>
      <c r="G45" s="14"/>
      <c r="H45" s="303"/>
      <c r="I45" s="496"/>
    </row>
    <row r="46" spans="1:9" ht="10.5" customHeight="1" x14ac:dyDescent="0.15">
      <c r="A46" s="34" t="s">
        <v>124</v>
      </c>
      <c r="D46" s="14"/>
      <c r="E46" s="301"/>
      <c r="F46" s="14"/>
      <c r="G46" s="14"/>
      <c r="H46" s="298"/>
      <c r="I46" s="298"/>
    </row>
    <row r="47" spans="1:9" s="302" customFormat="1" hidden="1" x14ac:dyDescent="0.15">
      <c r="B47" s="304" t="s">
        <v>880</v>
      </c>
      <c r="C47" s="305" t="s">
        <v>1164</v>
      </c>
      <c r="D47" s="308">
        <v>0</v>
      </c>
      <c r="E47" s="308">
        <v>0</v>
      </c>
      <c r="F47" s="308">
        <v>0</v>
      </c>
      <c r="G47" s="458"/>
      <c r="H47" s="457">
        <v>0</v>
      </c>
      <c r="I47" s="494">
        <f>SUM(G47+H47)</f>
        <v>0</v>
      </c>
    </row>
    <row r="48" spans="1:9" s="302" customFormat="1" x14ac:dyDescent="0.15">
      <c r="B48" s="304" t="s">
        <v>880</v>
      </c>
      <c r="C48" s="305" t="s">
        <v>337</v>
      </c>
      <c r="D48" s="308">
        <v>0</v>
      </c>
      <c r="E48" s="308">
        <v>0</v>
      </c>
      <c r="F48" s="308">
        <v>0</v>
      </c>
      <c r="G48" s="308">
        <v>0</v>
      </c>
      <c r="H48" s="457">
        <v>0</v>
      </c>
      <c r="I48" s="494">
        <f>SUM(G48+H48)</f>
        <v>0</v>
      </c>
    </row>
    <row r="49" spans="1:10" s="302" customFormat="1" hidden="1" x14ac:dyDescent="0.15">
      <c r="A49" s="305"/>
      <c r="B49" s="304" t="s">
        <v>881</v>
      </c>
      <c r="C49" s="305" t="s">
        <v>382</v>
      </c>
      <c r="D49" s="308">
        <v>0</v>
      </c>
      <c r="E49" s="308">
        <v>0</v>
      </c>
      <c r="F49" s="308">
        <v>0</v>
      </c>
      <c r="G49" s="459"/>
      <c r="H49" s="457">
        <v>0</v>
      </c>
      <c r="I49" s="494">
        <f>SUM(G49+H49)</f>
        <v>0</v>
      </c>
    </row>
    <row r="50" spans="1:10" x14ac:dyDescent="0.15">
      <c r="A50" s="114"/>
      <c r="B50" s="149" t="s">
        <v>881</v>
      </c>
      <c r="C50" s="114" t="s">
        <v>338</v>
      </c>
      <c r="D50" s="144">
        <v>0</v>
      </c>
      <c r="E50" s="308">
        <v>0</v>
      </c>
      <c r="F50" s="144">
        <v>0</v>
      </c>
      <c r="G50" s="144">
        <v>0</v>
      </c>
      <c r="H50" s="147">
        <v>0</v>
      </c>
      <c r="I50" s="495">
        <f>SUM(G50+H50)</f>
        <v>0</v>
      </c>
      <c r="J50" s="302"/>
    </row>
    <row r="51" spans="1:10" ht="10.5" customHeight="1" x14ac:dyDescent="0.15">
      <c r="A51" s="34"/>
      <c r="B51" s="149" t="s">
        <v>882</v>
      </c>
      <c r="C51" s="114" t="s">
        <v>1058</v>
      </c>
      <c r="D51" s="144">
        <v>0</v>
      </c>
      <c r="E51" s="308">
        <v>0</v>
      </c>
      <c r="F51" s="144">
        <v>0</v>
      </c>
      <c r="G51" s="144">
        <v>0</v>
      </c>
      <c r="H51" s="307">
        <v>0</v>
      </c>
      <c r="I51" s="500">
        <f t="shared" ref="I51:I80" si="2">SUM(G51+H51)</f>
        <v>0</v>
      </c>
    </row>
    <row r="52" spans="1:10" ht="10.5" customHeight="1" x14ac:dyDescent="0.15">
      <c r="A52" s="34"/>
      <c r="B52" s="149" t="s">
        <v>883</v>
      </c>
      <c r="C52" s="114" t="s">
        <v>1059</v>
      </c>
      <c r="D52" s="144">
        <v>0</v>
      </c>
      <c r="E52" s="308">
        <v>0</v>
      </c>
      <c r="F52" s="144">
        <v>0</v>
      </c>
      <c r="G52" s="144">
        <v>0</v>
      </c>
      <c r="H52" s="307">
        <v>0</v>
      </c>
      <c r="I52" s="500">
        <f t="shared" si="2"/>
        <v>0</v>
      </c>
    </row>
    <row r="53" spans="1:10" ht="10.5" customHeight="1" x14ac:dyDescent="0.15">
      <c r="A53" s="34"/>
      <c r="B53" s="149" t="s">
        <v>1060</v>
      </c>
      <c r="C53" s="114" t="s">
        <v>1061</v>
      </c>
      <c r="D53" s="144">
        <v>0</v>
      </c>
      <c r="E53" s="308">
        <v>0</v>
      </c>
      <c r="F53" s="144">
        <v>0</v>
      </c>
      <c r="G53" s="144">
        <v>0</v>
      </c>
      <c r="H53" s="307">
        <v>0</v>
      </c>
      <c r="I53" s="500">
        <f t="shared" si="2"/>
        <v>0</v>
      </c>
    </row>
    <row r="54" spans="1:10" ht="10.5" customHeight="1" x14ac:dyDescent="0.15">
      <c r="A54" s="34"/>
      <c r="B54" s="149" t="s">
        <v>1062</v>
      </c>
      <c r="C54" s="114" t="s">
        <v>1063</v>
      </c>
      <c r="D54" s="144">
        <v>0</v>
      </c>
      <c r="E54" s="308">
        <v>0</v>
      </c>
      <c r="F54" s="144">
        <v>0</v>
      </c>
      <c r="G54" s="144">
        <v>0</v>
      </c>
      <c r="H54" s="307">
        <v>0</v>
      </c>
      <c r="I54" s="500">
        <f t="shared" si="2"/>
        <v>0</v>
      </c>
    </row>
    <row r="55" spans="1:10" ht="10.5" customHeight="1" x14ac:dyDescent="0.15">
      <c r="A55" s="34"/>
      <c r="B55" s="149" t="s">
        <v>884</v>
      </c>
      <c r="C55" s="114" t="s">
        <v>1064</v>
      </c>
      <c r="D55" s="144">
        <v>0</v>
      </c>
      <c r="E55" s="308">
        <v>0</v>
      </c>
      <c r="F55" s="144">
        <v>0</v>
      </c>
      <c r="G55" s="144">
        <v>0</v>
      </c>
      <c r="H55" s="307">
        <v>0</v>
      </c>
      <c r="I55" s="500">
        <f t="shared" si="2"/>
        <v>0</v>
      </c>
    </row>
    <row r="56" spans="1:10" ht="10.5" customHeight="1" x14ac:dyDescent="0.15">
      <c r="A56" s="34"/>
      <c r="B56" s="149" t="s">
        <v>1065</v>
      </c>
      <c r="C56" s="114" t="s">
        <v>1073</v>
      </c>
      <c r="D56" s="144">
        <v>0</v>
      </c>
      <c r="E56" s="308">
        <v>0</v>
      </c>
      <c r="F56" s="144">
        <v>0</v>
      </c>
      <c r="G56" s="144">
        <v>0</v>
      </c>
      <c r="H56" s="307">
        <v>0</v>
      </c>
      <c r="I56" s="500">
        <f t="shared" si="2"/>
        <v>0</v>
      </c>
    </row>
    <row r="57" spans="1:10" ht="10.5" customHeight="1" x14ac:dyDescent="0.15">
      <c r="A57" s="34"/>
      <c r="B57" s="149" t="s">
        <v>1066</v>
      </c>
      <c r="C57" s="114" t="s">
        <v>1125</v>
      </c>
      <c r="D57" s="144">
        <v>0</v>
      </c>
      <c r="E57" s="308">
        <v>0</v>
      </c>
      <c r="F57" s="144">
        <v>0</v>
      </c>
      <c r="G57" s="144">
        <v>0</v>
      </c>
      <c r="H57" s="307">
        <v>0</v>
      </c>
      <c r="I57" s="500">
        <f t="shared" si="2"/>
        <v>0</v>
      </c>
    </row>
    <row r="58" spans="1:10" ht="10.5" customHeight="1" x14ac:dyDescent="0.15">
      <c r="A58" s="34"/>
      <c r="B58" s="149" t="s">
        <v>1067</v>
      </c>
      <c r="C58" s="114" t="s">
        <v>1074</v>
      </c>
      <c r="D58" s="144">
        <v>0</v>
      </c>
      <c r="E58" s="308">
        <v>0</v>
      </c>
      <c r="F58" s="144">
        <v>0</v>
      </c>
      <c r="G58" s="144">
        <v>0</v>
      </c>
      <c r="H58" s="307">
        <v>0</v>
      </c>
      <c r="I58" s="500">
        <f t="shared" si="2"/>
        <v>0</v>
      </c>
    </row>
    <row r="59" spans="1:10" ht="10.5" customHeight="1" x14ac:dyDescent="0.15">
      <c r="A59" s="34"/>
      <c r="B59" s="149" t="s">
        <v>1068</v>
      </c>
      <c r="C59" s="114" t="s">
        <v>1075</v>
      </c>
      <c r="D59" s="144">
        <v>0</v>
      </c>
      <c r="E59" s="308">
        <v>0</v>
      </c>
      <c r="F59" s="144">
        <v>0</v>
      </c>
      <c r="G59" s="144">
        <v>0</v>
      </c>
      <c r="H59" s="307">
        <v>0</v>
      </c>
      <c r="I59" s="500">
        <f t="shared" si="2"/>
        <v>0</v>
      </c>
    </row>
    <row r="60" spans="1:10" ht="10.5" customHeight="1" x14ac:dyDescent="0.15">
      <c r="A60" s="34"/>
      <c r="B60" s="149" t="s">
        <v>1069</v>
      </c>
      <c r="C60" s="114" t="s">
        <v>1076</v>
      </c>
      <c r="D60" s="144">
        <v>0</v>
      </c>
      <c r="E60" s="308">
        <v>0</v>
      </c>
      <c r="F60" s="144">
        <v>0</v>
      </c>
      <c r="G60" s="144">
        <v>0</v>
      </c>
      <c r="H60" s="307">
        <v>0</v>
      </c>
      <c r="I60" s="500">
        <f t="shared" si="2"/>
        <v>0</v>
      </c>
    </row>
    <row r="61" spans="1:10" ht="10.5" customHeight="1" x14ac:dyDescent="0.15">
      <c r="A61" s="34"/>
      <c r="B61" s="149" t="s">
        <v>1071</v>
      </c>
      <c r="C61" s="114" t="s">
        <v>1077</v>
      </c>
      <c r="D61" s="144">
        <v>0</v>
      </c>
      <c r="E61" s="308">
        <v>0</v>
      </c>
      <c r="F61" s="144">
        <v>0</v>
      </c>
      <c r="G61" s="144">
        <v>0</v>
      </c>
      <c r="H61" s="307">
        <v>0</v>
      </c>
      <c r="I61" s="500">
        <f t="shared" si="2"/>
        <v>0</v>
      </c>
    </row>
    <row r="62" spans="1:10" ht="10.5" customHeight="1" x14ac:dyDescent="0.15">
      <c r="A62" s="34"/>
      <c r="B62" s="149" t="s">
        <v>1072</v>
      </c>
      <c r="C62" s="114" t="s">
        <v>920</v>
      </c>
      <c r="D62" s="144">
        <v>0</v>
      </c>
      <c r="E62" s="308">
        <v>0</v>
      </c>
      <c r="F62" s="144">
        <v>0</v>
      </c>
      <c r="G62" s="144">
        <v>0</v>
      </c>
      <c r="H62" s="307">
        <v>0</v>
      </c>
      <c r="I62" s="500">
        <f t="shared" si="2"/>
        <v>0</v>
      </c>
    </row>
    <row r="63" spans="1:10" ht="10.5" customHeight="1" x14ac:dyDescent="0.15">
      <c r="A63" s="34"/>
      <c r="B63" s="718" t="s">
        <v>155</v>
      </c>
      <c r="C63" s="719" t="s">
        <v>178</v>
      </c>
      <c r="D63" s="144">
        <v>0</v>
      </c>
      <c r="E63" s="308">
        <v>0</v>
      </c>
      <c r="F63" s="144">
        <v>0</v>
      </c>
      <c r="G63" s="144">
        <v>0</v>
      </c>
      <c r="H63" s="307">
        <v>0</v>
      </c>
      <c r="I63" s="500">
        <f t="shared" ref="I63" si="3">SUM(G63+H63)</f>
        <v>0</v>
      </c>
    </row>
    <row r="64" spans="1:10" ht="10.5" customHeight="1" x14ac:dyDescent="0.15">
      <c r="A64" s="34"/>
      <c r="B64" s="149" t="s">
        <v>927</v>
      </c>
      <c r="C64" s="114" t="s">
        <v>959</v>
      </c>
      <c r="D64" s="144">
        <v>0</v>
      </c>
      <c r="E64" s="308">
        <v>0</v>
      </c>
      <c r="F64" s="144">
        <v>0</v>
      </c>
      <c r="G64" s="144">
        <v>0</v>
      </c>
      <c r="H64" s="307">
        <v>0</v>
      </c>
      <c r="I64" s="500">
        <f t="shared" si="2"/>
        <v>0</v>
      </c>
    </row>
    <row r="65" spans="1:9" ht="10.5" customHeight="1" x14ac:dyDescent="0.15">
      <c r="A65" s="34"/>
      <c r="B65" s="149" t="s">
        <v>928</v>
      </c>
      <c r="C65" s="114" t="s">
        <v>961</v>
      </c>
      <c r="D65" s="144">
        <v>0</v>
      </c>
      <c r="E65" s="308">
        <v>0</v>
      </c>
      <c r="F65" s="144">
        <v>0</v>
      </c>
      <c r="G65" s="144">
        <v>0</v>
      </c>
      <c r="H65" s="307">
        <v>0</v>
      </c>
      <c r="I65" s="500">
        <f t="shared" si="2"/>
        <v>0</v>
      </c>
    </row>
    <row r="66" spans="1:9" ht="10.5" customHeight="1" x14ac:dyDescent="0.15">
      <c r="A66" s="34"/>
      <c r="B66" s="149" t="s">
        <v>962</v>
      </c>
      <c r="C66" s="114" t="s">
        <v>967</v>
      </c>
      <c r="D66" s="144">
        <v>0</v>
      </c>
      <c r="E66" s="308">
        <v>0</v>
      </c>
      <c r="F66" s="144">
        <v>0</v>
      </c>
      <c r="G66" s="144">
        <v>0</v>
      </c>
      <c r="H66" s="307">
        <v>0</v>
      </c>
      <c r="I66" s="500">
        <f t="shared" si="2"/>
        <v>0</v>
      </c>
    </row>
    <row r="67" spans="1:9" ht="10.5" customHeight="1" x14ac:dyDescent="0.15">
      <c r="A67" s="34"/>
      <c r="B67" s="149" t="s">
        <v>963</v>
      </c>
      <c r="C67" s="114" t="s">
        <v>1124</v>
      </c>
      <c r="D67" s="144">
        <v>0</v>
      </c>
      <c r="E67" s="308">
        <v>0</v>
      </c>
      <c r="F67" s="144">
        <v>0</v>
      </c>
      <c r="G67" s="144">
        <v>0</v>
      </c>
      <c r="H67" s="307">
        <v>0</v>
      </c>
      <c r="I67" s="500">
        <f t="shared" si="2"/>
        <v>0</v>
      </c>
    </row>
    <row r="68" spans="1:9" ht="10.5" customHeight="1" x14ac:dyDescent="0.15">
      <c r="A68" s="34"/>
      <c r="B68" s="149" t="s">
        <v>964</v>
      </c>
      <c r="C68" s="114" t="s">
        <v>1094</v>
      </c>
      <c r="D68" s="144">
        <v>0</v>
      </c>
      <c r="E68" s="308">
        <v>0</v>
      </c>
      <c r="F68" s="144">
        <v>0</v>
      </c>
      <c r="G68" s="144">
        <v>0</v>
      </c>
      <c r="H68" s="307">
        <v>0</v>
      </c>
      <c r="I68" s="500">
        <f t="shared" si="2"/>
        <v>0</v>
      </c>
    </row>
    <row r="69" spans="1:9" ht="10.5" customHeight="1" x14ac:dyDescent="0.15">
      <c r="A69" s="34"/>
      <c r="B69" s="149" t="s">
        <v>965</v>
      </c>
      <c r="C69" s="114" t="s">
        <v>1095</v>
      </c>
      <c r="D69" s="144">
        <v>0</v>
      </c>
      <c r="E69" s="308">
        <v>0</v>
      </c>
      <c r="F69" s="144">
        <v>0</v>
      </c>
      <c r="G69" s="144">
        <v>0</v>
      </c>
      <c r="H69" s="307">
        <v>0</v>
      </c>
      <c r="I69" s="500">
        <f t="shared" si="2"/>
        <v>0</v>
      </c>
    </row>
    <row r="70" spans="1:9" ht="10.5" customHeight="1" x14ac:dyDescent="0.15">
      <c r="A70" s="34"/>
      <c r="B70" s="149" t="s">
        <v>885</v>
      </c>
      <c r="C70" s="114" t="s">
        <v>1096</v>
      </c>
      <c r="D70" s="144">
        <v>0</v>
      </c>
      <c r="E70" s="308">
        <v>0</v>
      </c>
      <c r="F70" s="144">
        <v>0</v>
      </c>
      <c r="G70" s="144">
        <v>0</v>
      </c>
      <c r="H70" s="307">
        <v>0</v>
      </c>
      <c r="I70" s="500">
        <f t="shared" si="2"/>
        <v>0</v>
      </c>
    </row>
    <row r="71" spans="1:9" ht="10.5" customHeight="1" x14ac:dyDescent="0.15">
      <c r="A71" s="34"/>
      <c r="B71" s="149" t="s">
        <v>966</v>
      </c>
      <c r="C71" s="114" t="s">
        <v>1097</v>
      </c>
      <c r="D71" s="144">
        <v>0</v>
      </c>
      <c r="E71" s="308">
        <v>0</v>
      </c>
      <c r="F71" s="144">
        <v>0</v>
      </c>
      <c r="G71" s="144">
        <v>0</v>
      </c>
      <c r="H71" s="307">
        <v>0</v>
      </c>
      <c r="I71" s="500">
        <f t="shared" si="2"/>
        <v>0</v>
      </c>
    </row>
    <row r="72" spans="1:9" ht="10.5" customHeight="1" x14ac:dyDescent="0.15">
      <c r="A72" s="34"/>
      <c r="B72" s="149" t="s">
        <v>886</v>
      </c>
      <c r="C72" s="114" t="s">
        <v>1100</v>
      </c>
      <c r="D72" s="144">
        <v>0</v>
      </c>
      <c r="E72" s="308">
        <v>0</v>
      </c>
      <c r="F72" s="144">
        <v>0</v>
      </c>
      <c r="G72" s="144">
        <v>0</v>
      </c>
      <c r="H72" s="307">
        <v>0</v>
      </c>
      <c r="I72" s="500">
        <f t="shared" si="2"/>
        <v>0</v>
      </c>
    </row>
    <row r="73" spans="1:9" ht="10.5" customHeight="1" x14ac:dyDescent="0.15">
      <c r="A73" s="34"/>
      <c r="B73" s="149" t="s">
        <v>116</v>
      </c>
      <c r="C73" s="114" t="s">
        <v>1105</v>
      </c>
      <c r="D73" s="144">
        <v>0</v>
      </c>
      <c r="E73" s="308">
        <v>0</v>
      </c>
      <c r="F73" s="144">
        <v>0</v>
      </c>
      <c r="G73" s="144">
        <v>0</v>
      </c>
      <c r="H73" s="307">
        <v>0</v>
      </c>
      <c r="I73" s="500">
        <f t="shared" si="2"/>
        <v>0</v>
      </c>
    </row>
    <row r="74" spans="1:9" ht="10.5" customHeight="1" x14ac:dyDescent="0.15">
      <c r="A74" s="34"/>
      <c r="B74" s="149" t="s">
        <v>112</v>
      </c>
      <c r="C74" s="114" t="s">
        <v>1110</v>
      </c>
      <c r="D74" s="144">
        <v>0</v>
      </c>
      <c r="E74" s="308">
        <v>0</v>
      </c>
      <c r="F74" s="144">
        <v>0</v>
      </c>
      <c r="G74" s="144">
        <v>0</v>
      </c>
      <c r="H74" s="307">
        <v>0</v>
      </c>
      <c r="I74" s="500">
        <f t="shared" si="2"/>
        <v>0</v>
      </c>
    </row>
    <row r="75" spans="1:9" ht="10.5" customHeight="1" x14ac:dyDescent="0.15">
      <c r="A75" s="34"/>
      <c r="B75" s="149" t="s">
        <v>887</v>
      </c>
      <c r="C75" s="114" t="s">
        <v>1116</v>
      </c>
      <c r="D75" s="144">
        <v>0</v>
      </c>
      <c r="E75" s="308">
        <v>0</v>
      </c>
      <c r="F75" s="144">
        <v>0</v>
      </c>
      <c r="G75" s="144">
        <v>0</v>
      </c>
      <c r="H75" s="307">
        <v>0</v>
      </c>
      <c r="I75" s="500">
        <f t="shared" si="2"/>
        <v>0</v>
      </c>
    </row>
    <row r="76" spans="1:9" ht="10.5" customHeight="1" x14ac:dyDescent="0.15">
      <c r="A76" s="34"/>
      <c r="B76" s="149" t="s">
        <v>1112</v>
      </c>
      <c r="C76" s="114" t="s">
        <v>1117</v>
      </c>
      <c r="D76" s="144">
        <v>0</v>
      </c>
      <c r="E76" s="308">
        <v>0</v>
      </c>
      <c r="F76" s="144">
        <v>0</v>
      </c>
      <c r="G76" s="144">
        <v>0</v>
      </c>
      <c r="H76" s="307">
        <v>0</v>
      </c>
      <c r="I76" s="500">
        <f t="shared" si="2"/>
        <v>0</v>
      </c>
    </row>
    <row r="77" spans="1:9" ht="10.5" customHeight="1" x14ac:dyDescent="0.15">
      <c r="A77" s="34"/>
      <c r="B77" s="149" t="s">
        <v>1113</v>
      </c>
      <c r="C77" s="114" t="s">
        <v>1118</v>
      </c>
      <c r="D77" s="144">
        <v>0</v>
      </c>
      <c r="E77" s="308">
        <v>0</v>
      </c>
      <c r="F77" s="144">
        <v>0</v>
      </c>
      <c r="G77" s="144">
        <v>0</v>
      </c>
      <c r="H77" s="307">
        <v>0</v>
      </c>
      <c r="I77" s="500">
        <f t="shared" si="2"/>
        <v>0</v>
      </c>
    </row>
    <row r="78" spans="1:9" ht="10.5" customHeight="1" x14ac:dyDescent="0.15">
      <c r="A78" s="34"/>
      <c r="B78" s="149" t="s">
        <v>1114</v>
      </c>
      <c r="C78" s="114" t="s">
        <v>1119</v>
      </c>
      <c r="D78" s="144">
        <v>0</v>
      </c>
      <c r="E78" s="308">
        <v>0</v>
      </c>
      <c r="F78" s="144">
        <v>0</v>
      </c>
      <c r="G78" s="144">
        <v>0</v>
      </c>
      <c r="H78" s="307">
        <v>0</v>
      </c>
      <c r="I78" s="500">
        <f t="shared" si="2"/>
        <v>0</v>
      </c>
    </row>
    <row r="79" spans="1:9" ht="10.5" customHeight="1" x14ac:dyDescent="0.15">
      <c r="A79" s="34"/>
      <c r="B79" s="149" t="s">
        <v>1115</v>
      </c>
      <c r="C79" s="114" t="s">
        <v>1120</v>
      </c>
      <c r="D79" s="144">
        <v>0</v>
      </c>
      <c r="E79" s="308">
        <v>0</v>
      </c>
      <c r="F79" s="144">
        <v>0</v>
      </c>
      <c r="G79" s="144">
        <v>0</v>
      </c>
      <c r="H79" s="307">
        <v>0</v>
      </c>
      <c r="I79" s="500">
        <f t="shared" si="2"/>
        <v>0</v>
      </c>
    </row>
    <row r="80" spans="1:9" ht="10.5" customHeight="1" thickBot="1" x14ac:dyDescent="0.2">
      <c r="A80" s="34"/>
      <c r="B80" s="149" t="s">
        <v>114</v>
      </c>
      <c r="C80" s="114" t="s">
        <v>1121</v>
      </c>
      <c r="D80" s="141">
        <v>0</v>
      </c>
      <c r="E80" s="309">
        <v>0</v>
      </c>
      <c r="F80" s="141">
        <v>0</v>
      </c>
      <c r="G80" s="141">
        <v>0</v>
      </c>
      <c r="H80" s="307">
        <v>0</v>
      </c>
      <c r="I80" s="500">
        <f t="shared" si="2"/>
        <v>0</v>
      </c>
    </row>
    <row r="81" spans="1:10" ht="10.5" customHeight="1" thickTop="1" thickBot="1" x14ac:dyDescent="0.2">
      <c r="A81" s="34"/>
      <c r="B81" s="149"/>
      <c r="C81" s="114" t="s">
        <v>126</v>
      </c>
      <c r="D81" s="166">
        <f>SUM(D47:D80)</f>
        <v>0</v>
      </c>
      <c r="E81" s="297">
        <f>SUM(E47:E80)</f>
        <v>0</v>
      </c>
      <c r="F81" s="166">
        <f>SUM(F47:F80)</f>
        <v>0</v>
      </c>
      <c r="G81" s="166">
        <f>SUM(G47:G80)</f>
        <v>0</v>
      </c>
      <c r="H81" s="166">
        <f>SUM(H47:H80)</f>
        <v>0</v>
      </c>
      <c r="I81" s="297">
        <f>SUM(G81+H81)</f>
        <v>0</v>
      </c>
    </row>
    <row r="82" spans="1:10" ht="10.5" customHeight="1" thickTop="1" x14ac:dyDescent="0.15">
      <c r="A82" s="34"/>
      <c r="B82" s="149"/>
      <c r="C82" s="114"/>
      <c r="D82" s="14"/>
      <c r="E82" s="301"/>
      <c r="F82" s="14"/>
      <c r="G82" s="14"/>
      <c r="H82" s="298"/>
      <c r="I82" s="298"/>
    </row>
    <row r="83" spans="1:10" ht="10.5" customHeight="1" x14ac:dyDescent="0.15">
      <c r="A83" s="34" t="s">
        <v>1197</v>
      </c>
      <c r="D83" s="14"/>
      <c r="E83" s="301"/>
      <c r="F83" s="14"/>
      <c r="G83" s="14"/>
      <c r="H83" s="298"/>
      <c r="I83" s="298"/>
    </row>
    <row r="84" spans="1:10" s="302" customFormat="1" hidden="1" x14ac:dyDescent="0.15">
      <c r="B84" s="304" t="s">
        <v>880</v>
      </c>
      <c r="C84" s="305" t="s">
        <v>1164</v>
      </c>
      <c r="D84" s="308">
        <v>0</v>
      </c>
      <c r="E84" s="308">
        <v>0</v>
      </c>
      <c r="F84" s="308">
        <v>0</v>
      </c>
      <c r="G84" s="458"/>
      <c r="H84" s="457">
        <v>0</v>
      </c>
      <c r="I84" s="494">
        <f>SUM(G84+H84)</f>
        <v>0</v>
      </c>
    </row>
    <row r="85" spans="1:10" s="302" customFormat="1" x14ac:dyDescent="0.15">
      <c r="B85" s="304" t="s">
        <v>880</v>
      </c>
      <c r="C85" s="305" t="s">
        <v>337</v>
      </c>
      <c r="D85" s="308">
        <v>0</v>
      </c>
      <c r="E85" s="308">
        <v>0</v>
      </c>
      <c r="F85" s="308">
        <v>0</v>
      </c>
      <c r="G85" s="308">
        <v>0</v>
      </c>
      <c r="H85" s="457">
        <v>0</v>
      </c>
      <c r="I85" s="494">
        <f>SUM(G85+H85)</f>
        <v>0</v>
      </c>
    </row>
    <row r="86" spans="1:10" s="302" customFormat="1" hidden="1" x14ac:dyDescent="0.15">
      <c r="A86" s="305"/>
      <c r="B86" s="304" t="s">
        <v>881</v>
      </c>
      <c r="C86" s="305" t="s">
        <v>382</v>
      </c>
      <c r="D86" s="308">
        <v>0</v>
      </c>
      <c r="E86" s="308">
        <v>0</v>
      </c>
      <c r="F86" s="308">
        <v>0</v>
      </c>
      <c r="G86" s="459"/>
      <c r="H86" s="457">
        <v>0</v>
      </c>
      <c r="I86" s="494">
        <f>SUM(G86+H86)</f>
        <v>0</v>
      </c>
    </row>
    <row r="87" spans="1:10" x14ac:dyDescent="0.15">
      <c r="A87" s="114"/>
      <c r="B87" s="149" t="s">
        <v>881</v>
      </c>
      <c r="C87" s="114" t="s">
        <v>338</v>
      </c>
      <c r="D87" s="144">
        <v>0</v>
      </c>
      <c r="E87" s="308">
        <v>0</v>
      </c>
      <c r="F87" s="144">
        <v>0</v>
      </c>
      <c r="G87" s="144">
        <v>0</v>
      </c>
      <c r="H87" s="147">
        <v>0</v>
      </c>
      <c r="I87" s="495">
        <f>SUM(G87+H87)</f>
        <v>0</v>
      </c>
      <c r="J87" s="302"/>
    </row>
    <row r="88" spans="1:10" ht="10.5" customHeight="1" x14ac:dyDescent="0.15">
      <c r="A88" s="34"/>
      <c r="B88" s="149" t="s">
        <v>882</v>
      </c>
      <c r="C88" s="114" t="s">
        <v>1058</v>
      </c>
      <c r="D88" s="144">
        <v>0</v>
      </c>
      <c r="E88" s="308">
        <v>0</v>
      </c>
      <c r="F88" s="144">
        <v>0</v>
      </c>
      <c r="G88" s="144">
        <v>0</v>
      </c>
      <c r="H88" s="307">
        <v>0</v>
      </c>
      <c r="I88" s="500">
        <f t="shared" ref="I88:I117" si="4">SUM(G88+H88)</f>
        <v>0</v>
      </c>
    </row>
    <row r="89" spans="1:10" ht="10.5" customHeight="1" x14ac:dyDescent="0.15">
      <c r="A89" s="34"/>
      <c r="B89" s="149" t="s">
        <v>883</v>
      </c>
      <c r="C89" s="114" t="s">
        <v>1059</v>
      </c>
      <c r="D89" s="144">
        <v>0</v>
      </c>
      <c r="E89" s="308">
        <v>0</v>
      </c>
      <c r="F89" s="144">
        <v>0</v>
      </c>
      <c r="G89" s="144">
        <v>0</v>
      </c>
      <c r="H89" s="307">
        <v>0</v>
      </c>
      <c r="I89" s="500">
        <f t="shared" si="4"/>
        <v>0</v>
      </c>
    </row>
    <row r="90" spans="1:10" ht="10.5" customHeight="1" x14ac:dyDescent="0.15">
      <c r="A90" s="34"/>
      <c r="B90" s="149" t="s">
        <v>1060</v>
      </c>
      <c r="C90" s="114" t="s">
        <v>1061</v>
      </c>
      <c r="D90" s="144">
        <v>0</v>
      </c>
      <c r="E90" s="308">
        <v>0</v>
      </c>
      <c r="F90" s="144">
        <v>0</v>
      </c>
      <c r="G90" s="144">
        <v>0</v>
      </c>
      <c r="H90" s="307">
        <v>0</v>
      </c>
      <c r="I90" s="500">
        <f t="shared" si="4"/>
        <v>0</v>
      </c>
    </row>
    <row r="91" spans="1:10" ht="10.5" customHeight="1" x14ac:dyDescent="0.15">
      <c r="A91" s="34"/>
      <c r="B91" s="149" t="s">
        <v>1062</v>
      </c>
      <c r="C91" s="114" t="s">
        <v>1063</v>
      </c>
      <c r="D91" s="144">
        <v>0</v>
      </c>
      <c r="E91" s="308">
        <v>0</v>
      </c>
      <c r="F91" s="144">
        <v>0</v>
      </c>
      <c r="G91" s="144">
        <v>0</v>
      </c>
      <c r="H91" s="307">
        <v>0</v>
      </c>
      <c r="I91" s="500">
        <f t="shared" si="4"/>
        <v>0</v>
      </c>
    </row>
    <row r="92" spans="1:10" ht="10.5" customHeight="1" x14ac:dyDescent="0.15">
      <c r="A92" s="34"/>
      <c r="B92" s="149" t="s">
        <v>884</v>
      </c>
      <c r="C92" s="114" t="s">
        <v>1064</v>
      </c>
      <c r="D92" s="144">
        <v>0</v>
      </c>
      <c r="E92" s="308">
        <v>0</v>
      </c>
      <c r="F92" s="144">
        <v>0</v>
      </c>
      <c r="G92" s="144">
        <v>0</v>
      </c>
      <c r="H92" s="307">
        <v>0</v>
      </c>
      <c r="I92" s="500">
        <f t="shared" si="4"/>
        <v>0</v>
      </c>
    </row>
    <row r="93" spans="1:10" ht="10.5" customHeight="1" x14ac:dyDescent="0.15">
      <c r="A93" s="34"/>
      <c r="B93" s="149" t="s">
        <v>1065</v>
      </c>
      <c r="C93" s="114" t="s">
        <v>1073</v>
      </c>
      <c r="D93" s="144">
        <v>0</v>
      </c>
      <c r="E93" s="308">
        <v>0</v>
      </c>
      <c r="F93" s="144">
        <v>0</v>
      </c>
      <c r="G93" s="144">
        <v>0</v>
      </c>
      <c r="H93" s="307">
        <v>0</v>
      </c>
      <c r="I93" s="500">
        <f t="shared" si="4"/>
        <v>0</v>
      </c>
    </row>
    <row r="94" spans="1:10" ht="10.5" customHeight="1" x14ac:dyDescent="0.15">
      <c r="A94" s="34"/>
      <c r="B94" s="149" t="s">
        <v>1066</v>
      </c>
      <c r="C94" s="114" t="s">
        <v>1125</v>
      </c>
      <c r="D94" s="144">
        <v>0</v>
      </c>
      <c r="E94" s="308">
        <v>0</v>
      </c>
      <c r="F94" s="144">
        <v>0</v>
      </c>
      <c r="G94" s="144">
        <v>0</v>
      </c>
      <c r="H94" s="307">
        <v>0</v>
      </c>
      <c r="I94" s="500">
        <f t="shared" si="4"/>
        <v>0</v>
      </c>
    </row>
    <row r="95" spans="1:10" ht="10.5" customHeight="1" x14ac:dyDescent="0.15">
      <c r="A95" s="34"/>
      <c r="B95" s="149" t="s">
        <v>1067</v>
      </c>
      <c r="C95" s="114" t="s">
        <v>1074</v>
      </c>
      <c r="D95" s="144">
        <v>0</v>
      </c>
      <c r="E95" s="308">
        <v>0</v>
      </c>
      <c r="F95" s="144">
        <v>0</v>
      </c>
      <c r="G95" s="144">
        <v>0</v>
      </c>
      <c r="H95" s="307">
        <v>0</v>
      </c>
      <c r="I95" s="500">
        <f t="shared" si="4"/>
        <v>0</v>
      </c>
    </row>
    <row r="96" spans="1:10" ht="10.5" customHeight="1" x14ac:dyDescent="0.15">
      <c r="A96" s="34"/>
      <c r="B96" s="149" t="s">
        <v>1068</v>
      </c>
      <c r="C96" s="114" t="s">
        <v>1075</v>
      </c>
      <c r="D96" s="144">
        <v>0</v>
      </c>
      <c r="E96" s="308">
        <v>0</v>
      </c>
      <c r="F96" s="144">
        <v>0</v>
      </c>
      <c r="G96" s="144">
        <v>0</v>
      </c>
      <c r="H96" s="307">
        <v>0</v>
      </c>
      <c r="I96" s="500">
        <f t="shared" si="4"/>
        <v>0</v>
      </c>
    </row>
    <row r="97" spans="1:9" ht="10.5" customHeight="1" x14ac:dyDescent="0.15">
      <c r="A97" s="34"/>
      <c r="B97" s="149" t="s">
        <v>1069</v>
      </c>
      <c r="C97" s="114" t="s">
        <v>1076</v>
      </c>
      <c r="D97" s="144">
        <v>0</v>
      </c>
      <c r="E97" s="308">
        <v>0</v>
      </c>
      <c r="F97" s="144">
        <v>0</v>
      </c>
      <c r="G97" s="144">
        <v>0</v>
      </c>
      <c r="H97" s="307">
        <v>0</v>
      </c>
      <c r="I97" s="500">
        <f t="shared" si="4"/>
        <v>0</v>
      </c>
    </row>
    <row r="98" spans="1:9" ht="10.5" customHeight="1" x14ac:dyDescent="0.15">
      <c r="A98" s="34"/>
      <c r="B98" s="149" t="s">
        <v>1071</v>
      </c>
      <c r="C98" s="114" t="s">
        <v>1077</v>
      </c>
      <c r="D98" s="144">
        <v>0</v>
      </c>
      <c r="E98" s="308">
        <v>0</v>
      </c>
      <c r="F98" s="144">
        <v>0</v>
      </c>
      <c r="G98" s="144">
        <v>0</v>
      </c>
      <c r="H98" s="307">
        <v>0</v>
      </c>
      <c r="I98" s="500">
        <f t="shared" si="4"/>
        <v>0</v>
      </c>
    </row>
    <row r="99" spans="1:9" ht="10.5" customHeight="1" x14ac:dyDescent="0.15">
      <c r="A99" s="34"/>
      <c r="B99" s="149" t="s">
        <v>1072</v>
      </c>
      <c r="C99" s="114" t="s">
        <v>920</v>
      </c>
      <c r="D99" s="144">
        <v>0</v>
      </c>
      <c r="E99" s="308">
        <v>0</v>
      </c>
      <c r="F99" s="144">
        <v>0</v>
      </c>
      <c r="G99" s="144">
        <v>0</v>
      </c>
      <c r="H99" s="307">
        <v>0</v>
      </c>
      <c r="I99" s="500">
        <f t="shared" si="4"/>
        <v>0</v>
      </c>
    </row>
    <row r="100" spans="1:9" ht="10.5" customHeight="1" x14ac:dyDescent="0.15">
      <c r="A100" s="34"/>
      <c r="B100" s="718" t="s">
        <v>155</v>
      </c>
      <c r="C100" s="719" t="s">
        <v>178</v>
      </c>
      <c r="D100" s="144">
        <v>0</v>
      </c>
      <c r="E100" s="308">
        <v>0</v>
      </c>
      <c r="F100" s="144">
        <v>0</v>
      </c>
      <c r="G100" s="144">
        <v>0</v>
      </c>
      <c r="H100" s="307">
        <v>0</v>
      </c>
      <c r="I100" s="500">
        <f t="shared" ref="I100" si="5">SUM(G100+H100)</f>
        <v>0</v>
      </c>
    </row>
    <row r="101" spans="1:9" ht="10.5" customHeight="1" x14ac:dyDescent="0.15">
      <c r="A101" s="34"/>
      <c r="B101" s="149" t="s">
        <v>927</v>
      </c>
      <c r="C101" s="114" t="s">
        <v>959</v>
      </c>
      <c r="D101" s="144">
        <v>0</v>
      </c>
      <c r="E101" s="308">
        <v>0</v>
      </c>
      <c r="F101" s="144">
        <v>0</v>
      </c>
      <c r="G101" s="144">
        <v>0</v>
      </c>
      <c r="H101" s="307">
        <v>0</v>
      </c>
      <c r="I101" s="500">
        <f t="shared" si="4"/>
        <v>0</v>
      </c>
    </row>
    <row r="102" spans="1:9" ht="10.5" customHeight="1" x14ac:dyDescent="0.15">
      <c r="A102" s="34"/>
      <c r="B102" s="149" t="s">
        <v>928</v>
      </c>
      <c r="C102" s="114" t="s">
        <v>961</v>
      </c>
      <c r="D102" s="144">
        <v>0</v>
      </c>
      <c r="E102" s="308">
        <v>0</v>
      </c>
      <c r="F102" s="144">
        <v>0</v>
      </c>
      <c r="G102" s="144">
        <v>0</v>
      </c>
      <c r="H102" s="307">
        <v>0</v>
      </c>
      <c r="I102" s="500">
        <f t="shared" si="4"/>
        <v>0</v>
      </c>
    </row>
    <row r="103" spans="1:9" ht="10.5" customHeight="1" x14ac:dyDescent="0.15">
      <c r="A103" s="34"/>
      <c r="B103" s="149" t="s">
        <v>962</v>
      </c>
      <c r="C103" s="114" t="s">
        <v>967</v>
      </c>
      <c r="D103" s="144">
        <v>0</v>
      </c>
      <c r="E103" s="308">
        <v>0</v>
      </c>
      <c r="F103" s="144">
        <v>0</v>
      </c>
      <c r="G103" s="144">
        <v>0</v>
      </c>
      <c r="H103" s="307">
        <v>0</v>
      </c>
      <c r="I103" s="500">
        <f t="shared" si="4"/>
        <v>0</v>
      </c>
    </row>
    <row r="104" spans="1:9" ht="10.5" customHeight="1" x14ac:dyDescent="0.15">
      <c r="A104" s="34"/>
      <c r="B104" s="149" t="s">
        <v>963</v>
      </c>
      <c r="C104" s="114" t="s">
        <v>1124</v>
      </c>
      <c r="D104" s="144">
        <v>0</v>
      </c>
      <c r="E104" s="308">
        <v>0</v>
      </c>
      <c r="F104" s="144">
        <v>0</v>
      </c>
      <c r="G104" s="144">
        <v>0</v>
      </c>
      <c r="H104" s="307">
        <v>0</v>
      </c>
      <c r="I104" s="500">
        <f t="shared" si="4"/>
        <v>0</v>
      </c>
    </row>
    <row r="105" spans="1:9" ht="10.5" customHeight="1" x14ac:dyDescent="0.15">
      <c r="A105" s="34"/>
      <c r="B105" s="149" t="s">
        <v>964</v>
      </c>
      <c r="C105" s="114" t="s">
        <v>1094</v>
      </c>
      <c r="D105" s="144">
        <v>0</v>
      </c>
      <c r="E105" s="308">
        <v>0</v>
      </c>
      <c r="F105" s="144">
        <v>0</v>
      </c>
      <c r="G105" s="144">
        <v>0</v>
      </c>
      <c r="H105" s="307">
        <v>0</v>
      </c>
      <c r="I105" s="500">
        <f t="shared" si="4"/>
        <v>0</v>
      </c>
    </row>
    <row r="106" spans="1:9" ht="10.5" customHeight="1" x14ac:dyDescent="0.15">
      <c r="A106" s="34"/>
      <c r="B106" s="149" t="s">
        <v>965</v>
      </c>
      <c r="C106" s="114" t="s">
        <v>1095</v>
      </c>
      <c r="D106" s="144">
        <v>0</v>
      </c>
      <c r="E106" s="308">
        <v>0</v>
      </c>
      <c r="F106" s="144">
        <v>0</v>
      </c>
      <c r="G106" s="144">
        <v>0</v>
      </c>
      <c r="H106" s="307">
        <v>0</v>
      </c>
      <c r="I106" s="500">
        <f t="shared" si="4"/>
        <v>0</v>
      </c>
    </row>
    <row r="107" spans="1:9" ht="10.5" customHeight="1" x14ac:dyDescent="0.15">
      <c r="A107" s="34"/>
      <c r="B107" s="149" t="s">
        <v>885</v>
      </c>
      <c r="C107" s="114" t="s">
        <v>1096</v>
      </c>
      <c r="D107" s="144">
        <v>0</v>
      </c>
      <c r="E107" s="308">
        <v>0</v>
      </c>
      <c r="F107" s="144">
        <v>0</v>
      </c>
      <c r="G107" s="144">
        <v>0</v>
      </c>
      <c r="H107" s="307">
        <v>0</v>
      </c>
      <c r="I107" s="500">
        <f t="shared" si="4"/>
        <v>0</v>
      </c>
    </row>
    <row r="108" spans="1:9" ht="10.5" customHeight="1" x14ac:dyDescent="0.15">
      <c r="A108" s="34"/>
      <c r="B108" s="149" t="s">
        <v>966</v>
      </c>
      <c r="C108" s="114" t="s">
        <v>1097</v>
      </c>
      <c r="D108" s="144">
        <v>0</v>
      </c>
      <c r="E108" s="308">
        <v>0</v>
      </c>
      <c r="F108" s="144">
        <v>0</v>
      </c>
      <c r="G108" s="144">
        <v>0</v>
      </c>
      <c r="H108" s="307">
        <v>0</v>
      </c>
      <c r="I108" s="500">
        <f t="shared" si="4"/>
        <v>0</v>
      </c>
    </row>
    <row r="109" spans="1:9" ht="10.5" customHeight="1" x14ac:dyDescent="0.15">
      <c r="A109" s="34"/>
      <c r="B109" s="149" t="s">
        <v>886</v>
      </c>
      <c r="C109" s="114" t="s">
        <v>1100</v>
      </c>
      <c r="D109" s="144">
        <v>0</v>
      </c>
      <c r="E109" s="308">
        <v>0</v>
      </c>
      <c r="F109" s="144">
        <v>0</v>
      </c>
      <c r="G109" s="144">
        <v>0</v>
      </c>
      <c r="H109" s="307">
        <v>0</v>
      </c>
      <c r="I109" s="500">
        <f t="shared" si="4"/>
        <v>0</v>
      </c>
    </row>
    <row r="110" spans="1:9" ht="10.5" customHeight="1" x14ac:dyDescent="0.15">
      <c r="A110" s="34"/>
      <c r="B110" s="149" t="s">
        <v>116</v>
      </c>
      <c r="C110" s="114" t="s">
        <v>1105</v>
      </c>
      <c r="D110" s="144">
        <v>0</v>
      </c>
      <c r="E110" s="308">
        <v>0</v>
      </c>
      <c r="F110" s="144">
        <v>0</v>
      </c>
      <c r="G110" s="144">
        <v>0</v>
      </c>
      <c r="H110" s="307">
        <v>0</v>
      </c>
      <c r="I110" s="500">
        <f t="shared" si="4"/>
        <v>0</v>
      </c>
    </row>
    <row r="111" spans="1:9" ht="10.5" customHeight="1" x14ac:dyDescent="0.15">
      <c r="A111" s="34"/>
      <c r="B111" s="149" t="s">
        <v>112</v>
      </c>
      <c r="C111" s="114" t="s">
        <v>1110</v>
      </c>
      <c r="D111" s="144">
        <v>0</v>
      </c>
      <c r="E111" s="308">
        <v>0</v>
      </c>
      <c r="F111" s="144">
        <v>0</v>
      </c>
      <c r="G111" s="144">
        <v>0</v>
      </c>
      <c r="H111" s="307">
        <v>0</v>
      </c>
      <c r="I111" s="500">
        <f t="shared" si="4"/>
        <v>0</v>
      </c>
    </row>
    <row r="112" spans="1:9" ht="10.5" customHeight="1" x14ac:dyDescent="0.15">
      <c r="A112" s="34"/>
      <c r="B112" s="149" t="s">
        <v>887</v>
      </c>
      <c r="C112" s="114" t="s">
        <v>1116</v>
      </c>
      <c r="D112" s="144">
        <v>0</v>
      </c>
      <c r="E112" s="308">
        <v>0</v>
      </c>
      <c r="F112" s="144">
        <v>0</v>
      </c>
      <c r="G112" s="144">
        <v>0</v>
      </c>
      <c r="H112" s="307">
        <v>0</v>
      </c>
      <c r="I112" s="500">
        <f t="shared" si="4"/>
        <v>0</v>
      </c>
    </row>
    <row r="113" spans="1:10" ht="10.5" customHeight="1" x14ac:dyDescent="0.15">
      <c r="A113" s="34"/>
      <c r="B113" s="149" t="s">
        <v>1112</v>
      </c>
      <c r="C113" s="114" t="s">
        <v>1117</v>
      </c>
      <c r="D113" s="144">
        <v>0</v>
      </c>
      <c r="E113" s="308">
        <v>0</v>
      </c>
      <c r="F113" s="144">
        <v>0</v>
      </c>
      <c r="G113" s="144">
        <v>0</v>
      </c>
      <c r="H113" s="307">
        <v>0</v>
      </c>
      <c r="I113" s="500">
        <f t="shared" si="4"/>
        <v>0</v>
      </c>
    </row>
    <row r="114" spans="1:10" ht="10.5" customHeight="1" x14ac:dyDescent="0.15">
      <c r="A114" s="34"/>
      <c r="B114" s="149" t="s">
        <v>1113</v>
      </c>
      <c r="C114" s="114" t="s">
        <v>1118</v>
      </c>
      <c r="D114" s="144">
        <v>0</v>
      </c>
      <c r="E114" s="308">
        <v>0</v>
      </c>
      <c r="F114" s="144">
        <v>0</v>
      </c>
      <c r="G114" s="144">
        <v>0</v>
      </c>
      <c r="H114" s="307">
        <v>0</v>
      </c>
      <c r="I114" s="500">
        <f t="shared" si="4"/>
        <v>0</v>
      </c>
    </row>
    <row r="115" spans="1:10" ht="10.5" customHeight="1" x14ac:dyDescent="0.15">
      <c r="A115" s="34"/>
      <c r="B115" s="149" t="s">
        <v>1114</v>
      </c>
      <c r="C115" s="114" t="s">
        <v>1119</v>
      </c>
      <c r="D115" s="144">
        <v>0</v>
      </c>
      <c r="E115" s="308">
        <v>0</v>
      </c>
      <c r="F115" s="144">
        <v>0</v>
      </c>
      <c r="G115" s="144">
        <v>0</v>
      </c>
      <c r="H115" s="307">
        <v>0</v>
      </c>
      <c r="I115" s="500">
        <f t="shared" si="4"/>
        <v>0</v>
      </c>
    </row>
    <row r="116" spans="1:10" ht="10.5" customHeight="1" x14ac:dyDescent="0.15">
      <c r="A116" s="34"/>
      <c r="B116" s="149" t="s">
        <v>1115</v>
      </c>
      <c r="C116" s="114" t="s">
        <v>1120</v>
      </c>
      <c r="D116" s="144">
        <v>0</v>
      </c>
      <c r="E116" s="308">
        <v>0</v>
      </c>
      <c r="F116" s="144">
        <v>0</v>
      </c>
      <c r="G116" s="144">
        <v>0</v>
      </c>
      <c r="H116" s="307">
        <v>0</v>
      </c>
      <c r="I116" s="500">
        <f t="shared" si="4"/>
        <v>0</v>
      </c>
    </row>
    <row r="117" spans="1:10" ht="10.5" customHeight="1" thickBot="1" x14ac:dyDescent="0.2">
      <c r="A117" s="34"/>
      <c r="B117" s="149" t="s">
        <v>114</v>
      </c>
      <c r="C117" s="114" t="s">
        <v>1121</v>
      </c>
      <c r="D117" s="141">
        <v>0</v>
      </c>
      <c r="E117" s="309">
        <v>0</v>
      </c>
      <c r="F117" s="141">
        <v>0</v>
      </c>
      <c r="G117" s="141">
        <v>0</v>
      </c>
      <c r="H117" s="307">
        <v>0</v>
      </c>
      <c r="I117" s="500">
        <f t="shared" si="4"/>
        <v>0</v>
      </c>
    </row>
    <row r="118" spans="1:10" ht="10.5" customHeight="1" thickTop="1" thickBot="1" x14ac:dyDescent="0.2">
      <c r="A118" s="34"/>
      <c r="B118" s="149"/>
      <c r="C118" s="114" t="s">
        <v>1198</v>
      </c>
      <c r="D118" s="166">
        <f>SUM(D84:D117)</f>
        <v>0</v>
      </c>
      <c r="E118" s="297">
        <f>SUM(E84:E117)</f>
        <v>0</v>
      </c>
      <c r="F118" s="166">
        <f>SUM(F84:F117)</f>
        <v>0</v>
      </c>
      <c r="G118" s="166">
        <f>SUM(G84:G117)</f>
        <v>0</v>
      </c>
      <c r="H118" s="166">
        <f>SUM(H84:H117)</f>
        <v>0</v>
      </c>
      <c r="I118" s="297">
        <f>SUM(G118+H118)</f>
        <v>0</v>
      </c>
    </row>
    <row r="119" spans="1:10" ht="10.5" customHeight="1" thickTop="1" x14ac:dyDescent="0.15">
      <c r="A119" s="34"/>
      <c r="B119" s="149"/>
      <c r="C119" s="114"/>
      <c r="D119" s="14"/>
      <c r="E119" s="301"/>
      <c r="F119" s="14"/>
      <c r="G119" s="14"/>
      <c r="H119" s="298"/>
      <c r="I119" s="298"/>
    </row>
    <row r="120" spans="1:10" ht="10.5" customHeight="1" x14ac:dyDescent="0.15">
      <c r="A120" s="34" t="s">
        <v>127</v>
      </c>
      <c r="C120" s="114"/>
      <c r="D120" s="14"/>
      <c r="E120" s="301"/>
      <c r="F120" s="14"/>
      <c r="G120" s="14"/>
      <c r="H120" s="298"/>
      <c r="I120" s="298"/>
    </row>
    <row r="121" spans="1:10" s="302" customFormat="1" hidden="1" x14ac:dyDescent="0.15">
      <c r="B121" s="304" t="s">
        <v>880</v>
      </c>
      <c r="C121" s="305" t="s">
        <v>1164</v>
      </c>
      <c r="D121" s="308">
        <v>0</v>
      </c>
      <c r="E121" s="308">
        <v>0</v>
      </c>
      <c r="F121" s="308">
        <v>0</v>
      </c>
      <c r="G121" s="458"/>
      <c r="H121" s="457">
        <v>0</v>
      </c>
      <c r="I121" s="494">
        <f>SUM(G121+H121)</f>
        <v>0</v>
      </c>
    </row>
    <row r="122" spans="1:10" s="302" customFormat="1" x14ac:dyDescent="0.15">
      <c r="B122" s="304" t="s">
        <v>880</v>
      </c>
      <c r="C122" s="305" t="s">
        <v>337</v>
      </c>
      <c r="D122" s="308">
        <v>0</v>
      </c>
      <c r="E122" s="308">
        <v>0</v>
      </c>
      <c r="F122" s="308">
        <v>0</v>
      </c>
      <c r="G122" s="308">
        <v>0</v>
      </c>
      <c r="H122" s="457">
        <v>0</v>
      </c>
      <c r="I122" s="494">
        <f>SUM(G122+H122)</f>
        <v>0</v>
      </c>
    </row>
    <row r="123" spans="1:10" s="302" customFormat="1" hidden="1" x14ac:dyDescent="0.15">
      <c r="A123" s="305"/>
      <c r="B123" s="304" t="s">
        <v>881</v>
      </c>
      <c r="C123" s="305" t="s">
        <v>382</v>
      </c>
      <c r="D123" s="308">
        <v>0</v>
      </c>
      <c r="E123" s="308">
        <v>0</v>
      </c>
      <c r="F123" s="308">
        <v>0</v>
      </c>
      <c r="G123" s="459"/>
      <c r="H123" s="457">
        <v>0</v>
      </c>
      <c r="I123" s="494">
        <f>SUM(G123+H123)</f>
        <v>0</v>
      </c>
    </row>
    <row r="124" spans="1:10" x14ac:dyDescent="0.15">
      <c r="A124" s="114"/>
      <c r="B124" s="149" t="s">
        <v>881</v>
      </c>
      <c r="C124" s="114" t="s">
        <v>338</v>
      </c>
      <c r="D124" s="144">
        <v>0</v>
      </c>
      <c r="E124" s="308">
        <v>0</v>
      </c>
      <c r="F124" s="144">
        <v>0</v>
      </c>
      <c r="G124" s="144">
        <v>0</v>
      </c>
      <c r="H124" s="147">
        <v>0</v>
      </c>
      <c r="I124" s="495">
        <f>SUM(G124+H124)</f>
        <v>0</v>
      </c>
      <c r="J124" s="302"/>
    </row>
    <row r="125" spans="1:10" ht="10.5" customHeight="1" x14ac:dyDescent="0.15">
      <c r="A125" s="34"/>
      <c r="B125" s="149" t="s">
        <v>882</v>
      </c>
      <c r="C125" s="114" t="s">
        <v>1058</v>
      </c>
      <c r="D125" s="144">
        <v>0</v>
      </c>
      <c r="E125" s="308">
        <v>0</v>
      </c>
      <c r="F125" s="144">
        <v>0</v>
      </c>
      <c r="G125" s="144">
        <v>0</v>
      </c>
      <c r="H125" s="308">
        <v>0</v>
      </c>
      <c r="I125" s="464">
        <f t="shared" ref="I125:I148" si="6">SUM(G125+H125)</f>
        <v>0</v>
      </c>
    </row>
    <row r="126" spans="1:10" ht="10.5" customHeight="1" x14ac:dyDescent="0.15">
      <c r="A126" s="34"/>
      <c r="B126" s="149" t="s">
        <v>883</v>
      </c>
      <c r="C126" s="114" t="s">
        <v>1059</v>
      </c>
      <c r="D126" s="144">
        <v>0</v>
      </c>
      <c r="E126" s="308">
        <v>0</v>
      </c>
      <c r="F126" s="144">
        <v>0</v>
      </c>
      <c r="G126" s="144">
        <v>0</v>
      </c>
      <c r="H126" s="308">
        <v>0</v>
      </c>
      <c r="I126" s="464">
        <f t="shared" si="6"/>
        <v>0</v>
      </c>
    </row>
    <row r="127" spans="1:10" ht="10.5" customHeight="1" x14ac:dyDescent="0.15">
      <c r="A127" s="34"/>
      <c r="B127" s="149" t="s">
        <v>1060</v>
      </c>
      <c r="C127" s="114" t="s">
        <v>1061</v>
      </c>
      <c r="D127" s="144">
        <v>0</v>
      </c>
      <c r="E127" s="308">
        <v>0</v>
      </c>
      <c r="F127" s="144">
        <v>0</v>
      </c>
      <c r="G127" s="144">
        <v>0</v>
      </c>
      <c r="H127" s="308">
        <v>0</v>
      </c>
      <c r="I127" s="464">
        <f t="shared" si="6"/>
        <v>0</v>
      </c>
    </row>
    <row r="128" spans="1:10" ht="10.5" customHeight="1" x14ac:dyDescent="0.15">
      <c r="A128" s="34"/>
      <c r="B128" s="149" t="s">
        <v>1062</v>
      </c>
      <c r="C128" s="114" t="s">
        <v>1063</v>
      </c>
      <c r="D128" s="144">
        <v>0</v>
      </c>
      <c r="E128" s="308">
        <v>0</v>
      </c>
      <c r="F128" s="144">
        <v>0</v>
      </c>
      <c r="G128" s="144">
        <v>0</v>
      </c>
      <c r="H128" s="308">
        <v>0</v>
      </c>
      <c r="I128" s="464">
        <f t="shared" si="6"/>
        <v>0</v>
      </c>
    </row>
    <row r="129" spans="1:9" ht="10.5" customHeight="1" x14ac:dyDescent="0.15">
      <c r="A129" s="34"/>
      <c r="B129" s="149" t="s">
        <v>884</v>
      </c>
      <c r="C129" s="114" t="s">
        <v>1064</v>
      </c>
      <c r="D129" s="144">
        <v>0</v>
      </c>
      <c r="E129" s="308">
        <v>0</v>
      </c>
      <c r="F129" s="144">
        <v>0</v>
      </c>
      <c r="G129" s="144">
        <v>0</v>
      </c>
      <c r="H129" s="308">
        <v>0</v>
      </c>
      <c r="I129" s="464">
        <f t="shared" si="6"/>
        <v>0</v>
      </c>
    </row>
    <row r="130" spans="1:9" ht="10.5" customHeight="1" x14ac:dyDescent="0.15">
      <c r="A130" s="34"/>
      <c r="B130" s="718" t="s">
        <v>155</v>
      </c>
      <c r="C130" s="719" t="s">
        <v>178</v>
      </c>
      <c r="D130" s="144">
        <v>0</v>
      </c>
      <c r="E130" s="308">
        <v>0</v>
      </c>
      <c r="F130" s="144">
        <v>0</v>
      </c>
      <c r="G130" s="144">
        <v>0</v>
      </c>
      <c r="H130" s="308">
        <v>0</v>
      </c>
      <c r="I130" s="464">
        <f t="shared" ref="I130" si="7">SUM(G130+H130)</f>
        <v>0</v>
      </c>
    </row>
    <row r="131" spans="1:9" ht="10.5" customHeight="1" x14ac:dyDescent="0.15">
      <c r="A131" s="34"/>
      <c r="B131" s="149" t="s">
        <v>927</v>
      </c>
      <c r="C131" s="114" t="s">
        <v>959</v>
      </c>
      <c r="D131" s="144">
        <v>0</v>
      </c>
      <c r="E131" s="308">
        <v>0</v>
      </c>
      <c r="F131" s="144">
        <v>0</v>
      </c>
      <c r="G131" s="144">
        <v>0</v>
      </c>
      <c r="H131" s="308">
        <v>0</v>
      </c>
      <c r="I131" s="464">
        <f t="shared" si="6"/>
        <v>0</v>
      </c>
    </row>
    <row r="132" spans="1:9" ht="10.5" customHeight="1" x14ac:dyDescent="0.15">
      <c r="A132" s="34"/>
      <c r="B132" s="149" t="s">
        <v>928</v>
      </c>
      <c r="C132" s="114" t="s">
        <v>961</v>
      </c>
      <c r="D132" s="144">
        <v>0</v>
      </c>
      <c r="E132" s="308">
        <v>0</v>
      </c>
      <c r="F132" s="144">
        <v>0</v>
      </c>
      <c r="G132" s="144">
        <v>0</v>
      </c>
      <c r="H132" s="308">
        <v>0</v>
      </c>
      <c r="I132" s="464">
        <f t="shared" si="6"/>
        <v>0</v>
      </c>
    </row>
    <row r="133" spans="1:9" ht="10.5" customHeight="1" x14ac:dyDescent="0.15">
      <c r="A133" s="34"/>
      <c r="B133" s="149" t="s">
        <v>962</v>
      </c>
      <c r="C133" s="114" t="s">
        <v>967</v>
      </c>
      <c r="D133" s="144">
        <v>0</v>
      </c>
      <c r="E133" s="308">
        <v>0</v>
      </c>
      <c r="F133" s="144">
        <v>0</v>
      </c>
      <c r="G133" s="144">
        <v>0</v>
      </c>
      <c r="H133" s="308">
        <v>0</v>
      </c>
      <c r="I133" s="464">
        <f t="shared" si="6"/>
        <v>0</v>
      </c>
    </row>
    <row r="134" spans="1:9" ht="10.5" customHeight="1" x14ac:dyDescent="0.15">
      <c r="A134" s="34"/>
      <c r="B134" s="149" t="s">
        <v>963</v>
      </c>
      <c r="C134" s="114" t="s">
        <v>1124</v>
      </c>
      <c r="D134" s="144">
        <v>0</v>
      </c>
      <c r="E134" s="308">
        <v>0</v>
      </c>
      <c r="F134" s="144">
        <v>0</v>
      </c>
      <c r="G134" s="144">
        <v>0</v>
      </c>
      <c r="H134" s="308">
        <v>0</v>
      </c>
      <c r="I134" s="464">
        <f t="shared" si="6"/>
        <v>0</v>
      </c>
    </row>
    <row r="135" spans="1:9" ht="10.5" customHeight="1" x14ac:dyDescent="0.15">
      <c r="A135" s="34"/>
      <c r="B135" s="149" t="s">
        <v>964</v>
      </c>
      <c r="C135" s="114" t="s">
        <v>1094</v>
      </c>
      <c r="D135" s="144">
        <v>0</v>
      </c>
      <c r="E135" s="308">
        <v>0</v>
      </c>
      <c r="F135" s="144">
        <v>0</v>
      </c>
      <c r="G135" s="144">
        <v>0</v>
      </c>
      <c r="H135" s="308">
        <v>0</v>
      </c>
      <c r="I135" s="464">
        <f t="shared" si="6"/>
        <v>0</v>
      </c>
    </row>
    <row r="136" spans="1:9" ht="10.5" customHeight="1" x14ac:dyDescent="0.15">
      <c r="A136" s="34"/>
      <c r="B136" s="149" t="s">
        <v>965</v>
      </c>
      <c r="C136" s="114" t="s">
        <v>1095</v>
      </c>
      <c r="D136" s="144">
        <v>0</v>
      </c>
      <c r="E136" s="308">
        <v>0</v>
      </c>
      <c r="F136" s="144">
        <v>0</v>
      </c>
      <c r="G136" s="144">
        <v>0</v>
      </c>
      <c r="H136" s="308">
        <v>0</v>
      </c>
      <c r="I136" s="464">
        <f t="shared" si="6"/>
        <v>0</v>
      </c>
    </row>
    <row r="137" spans="1:9" ht="10.5" customHeight="1" x14ac:dyDescent="0.15">
      <c r="A137" s="34"/>
      <c r="B137" s="149" t="s">
        <v>1239</v>
      </c>
      <c r="C137" s="114" t="s">
        <v>1352</v>
      </c>
      <c r="D137" s="144">
        <v>0</v>
      </c>
      <c r="E137" s="308">
        <v>0</v>
      </c>
      <c r="F137" s="144">
        <v>0</v>
      </c>
      <c r="G137" s="144">
        <v>0</v>
      </c>
      <c r="H137" s="308">
        <v>0</v>
      </c>
      <c r="I137" s="464">
        <f t="shared" si="6"/>
        <v>0</v>
      </c>
    </row>
    <row r="138" spans="1:9" ht="10.5" customHeight="1" x14ac:dyDescent="0.15">
      <c r="A138" s="34"/>
      <c r="B138" s="149" t="s">
        <v>885</v>
      </c>
      <c r="C138" s="114" t="s">
        <v>1096</v>
      </c>
      <c r="D138" s="144">
        <v>0</v>
      </c>
      <c r="E138" s="308">
        <v>0</v>
      </c>
      <c r="F138" s="144">
        <v>0</v>
      </c>
      <c r="G138" s="144">
        <v>0</v>
      </c>
      <c r="H138" s="308">
        <v>0</v>
      </c>
      <c r="I138" s="464">
        <f t="shared" si="6"/>
        <v>0</v>
      </c>
    </row>
    <row r="139" spans="1:9" ht="10.5" customHeight="1" x14ac:dyDescent="0.15">
      <c r="A139" s="34"/>
      <c r="B139" s="149" t="s">
        <v>966</v>
      </c>
      <c r="C139" s="114" t="s">
        <v>1097</v>
      </c>
      <c r="D139" s="144">
        <v>0</v>
      </c>
      <c r="E139" s="308">
        <v>0</v>
      </c>
      <c r="F139" s="144">
        <v>0</v>
      </c>
      <c r="G139" s="144">
        <v>0</v>
      </c>
      <c r="H139" s="308">
        <v>0</v>
      </c>
      <c r="I139" s="464">
        <f t="shared" si="6"/>
        <v>0</v>
      </c>
    </row>
    <row r="140" spans="1:9" ht="10.5" customHeight="1" x14ac:dyDescent="0.15">
      <c r="A140" s="34"/>
      <c r="B140" s="149" t="s">
        <v>886</v>
      </c>
      <c r="C140" s="114" t="s">
        <v>1100</v>
      </c>
      <c r="D140" s="144">
        <v>0</v>
      </c>
      <c r="E140" s="308">
        <v>0</v>
      </c>
      <c r="F140" s="144">
        <v>0</v>
      </c>
      <c r="G140" s="144">
        <v>0</v>
      </c>
      <c r="H140" s="308">
        <v>0</v>
      </c>
      <c r="I140" s="464">
        <f t="shared" si="6"/>
        <v>0</v>
      </c>
    </row>
    <row r="141" spans="1:9" ht="10.5" customHeight="1" x14ac:dyDescent="0.15">
      <c r="A141" s="34"/>
      <c r="B141" s="149" t="s">
        <v>116</v>
      </c>
      <c r="C141" s="114" t="s">
        <v>1105</v>
      </c>
      <c r="D141" s="144">
        <v>0</v>
      </c>
      <c r="E141" s="308">
        <v>0</v>
      </c>
      <c r="F141" s="144">
        <v>0</v>
      </c>
      <c r="G141" s="144">
        <v>0</v>
      </c>
      <c r="H141" s="308">
        <v>0</v>
      </c>
      <c r="I141" s="464">
        <f t="shared" si="6"/>
        <v>0</v>
      </c>
    </row>
    <row r="142" spans="1:9" ht="10.5" customHeight="1" x14ac:dyDescent="0.15">
      <c r="A142" s="34"/>
      <c r="B142" s="149" t="s">
        <v>112</v>
      </c>
      <c r="C142" s="114" t="s">
        <v>1110</v>
      </c>
      <c r="D142" s="144">
        <v>0</v>
      </c>
      <c r="E142" s="308">
        <v>0</v>
      </c>
      <c r="F142" s="144">
        <v>0</v>
      </c>
      <c r="G142" s="144">
        <v>0</v>
      </c>
      <c r="H142" s="308">
        <v>0</v>
      </c>
      <c r="I142" s="464">
        <f t="shared" si="6"/>
        <v>0</v>
      </c>
    </row>
    <row r="143" spans="1:9" ht="10.5" customHeight="1" x14ac:dyDescent="0.15">
      <c r="A143" s="34"/>
      <c r="B143" s="149" t="s">
        <v>887</v>
      </c>
      <c r="C143" s="114" t="s">
        <v>1116</v>
      </c>
      <c r="D143" s="144">
        <v>0</v>
      </c>
      <c r="E143" s="308">
        <v>0</v>
      </c>
      <c r="F143" s="144">
        <v>0</v>
      </c>
      <c r="G143" s="144">
        <v>0</v>
      </c>
      <c r="H143" s="308">
        <v>0</v>
      </c>
      <c r="I143" s="464">
        <f t="shared" si="6"/>
        <v>0</v>
      </c>
    </row>
    <row r="144" spans="1:9" ht="10.5" customHeight="1" x14ac:dyDescent="0.15">
      <c r="A144" s="34"/>
      <c r="B144" s="149" t="s">
        <v>1112</v>
      </c>
      <c r="C144" s="114" t="s">
        <v>1117</v>
      </c>
      <c r="D144" s="144">
        <v>0</v>
      </c>
      <c r="E144" s="308">
        <v>0</v>
      </c>
      <c r="F144" s="144">
        <v>0</v>
      </c>
      <c r="G144" s="144">
        <v>0</v>
      </c>
      <c r="H144" s="308">
        <v>0</v>
      </c>
      <c r="I144" s="464">
        <f t="shared" si="6"/>
        <v>0</v>
      </c>
    </row>
    <row r="145" spans="1:10" ht="10.5" customHeight="1" x14ac:dyDescent="0.15">
      <c r="A145" s="34"/>
      <c r="B145" s="149" t="s">
        <v>1113</v>
      </c>
      <c r="C145" s="114" t="s">
        <v>1118</v>
      </c>
      <c r="D145" s="144">
        <v>0</v>
      </c>
      <c r="E145" s="308">
        <v>0</v>
      </c>
      <c r="F145" s="144">
        <v>0</v>
      </c>
      <c r="G145" s="144">
        <v>0</v>
      </c>
      <c r="H145" s="308">
        <v>0</v>
      </c>
      <c r="I145" s="464">
        <f t="shared" si="6"/>
        <v>0</v>
      </c>
    </row>
    <row r="146" spans="1:10" ht="10.5" customHeight="1" x14ac:dyDescent="0.15">
      <c r="A146" s="34"/>
      <c r="B146" s="149" t="s">
        <v>1114</v>
      </c>
      <c r="C146" s="114" t="s">
        <v>1119</v>
      </c>
      <c r="D146" s="144">
        <v>0</v>
      </c>
      <c r="E146" s="308">
        <v>0</v>
      </c>
      <c r="F146" s="144">
        <v>0</v>
      </c>
      <c r="G146" s="144">
        <v>0</v>
      </c>
      <c r="H146" s="308">
        <v>0</v>
      </c>
      <c r="I146" s="464">
        <f t="shared" si="6"/>
        <v>0</v>
      </c>
    </row>
    <row r="147" spans="1:10" ht="10.5" customHeight="1" x14ac:dyDescent="0.15">
      <c r="A147" s="34"/>
      <c r="B147" s="149" t="s">
        <v>1115</v>
      </c>
      <c r="C147" s="114" t="s">
        <v>1120</v>
      </c>
      <c r="D147" s="144">
        <v>0</v>
      </c>
      <c r="E147" s="308">
        <v>0</v>
      </c>
      <c r="F147" s="144">
        <v>0</v>
      </c>
      <c r="G147" s="144">
        <v>0</v>
      </c>
      <c r="H147" s="308">
        <v>0</v>
      </c>
      <c r="I147" s="464">
        <f t="shared" si="6"/>
        <v>0</v>
      </c>
    </row>
    <row r="148" spans="1:10" ht="10.5" customHeight="1" thickBot="1" x14ac:dyDescent="0.2">
      <c r="A148" s="34"/>
      <c r="B148" s="149" t="s">
        <v>114</v>
      </c>
      <c r="C148" s="114" t="s">
        <v>1121</v>
      </c>
      <c r="D148" s="141">
        <v>0</v>
      </c>
      <c r="E148" s="309">
        <v>0</v>
      </c>
      <c r="F148" s="141">
        <v>0</v>
      </c>
      <c r="G148" s="144">
        <v>0</v>
      </c>
      <c r="H148" s="309">
        <v>0</v>
      </c>
      <c r="I148" s="501">
        <f t="shared" si="6"/>
        <v>0</v>
      </c>
    </row>
    <row r="149" spans="1:10" ht="10.5" customHeight="1" thickTop="1" thickBot="1" x14ac:dyDescent="0.2">
      <c r="A149" s="34"/>
      <c r="B149" s="149"/>
      <c r="C149" s="114" t="s">
        <v>128</v>
      </c>
      <c r="D149" s="166">
        <f>SUM(D121:D148)</f>
        <v>0</v>
      </c>
      <c r="E149" s="297">
        <f>SUM(E121:E148)</f>
        <v>0</v>
      </c>
      <c r="F149" s="166">
        <f>SUM(F121:F148)</f>
        <v>0</v>
      </c>
      <c r="G149" s="166">
        <f>SUM(G121:G148)</f>
        <v>0</v>
      </c>
      <c r="H149" s="166">
        <f>SUM(H121:H148)</f>
        <v>0</v>
      </c>
      <c r="I149" s="297">
        <f>SUM(G149+H149)</f>
        <v>0</v>
      </c>
    </row>
    <row r="150" spans="1:10" ht="10.5" customHeight="1" thickTop="1" x14ac:dyDescent="0.15">
      <c r="A150" s="34"/>
      <c r="B150" s="149"/>
      <c r="C150" s="114"/>
      <c r="D150" s="14"/>
      <c r="E150" s="301"/>
      <c r="F150" s="14"/>
      <c r="G150" s="14"/>
      <c r="H150" s="301"/>
      <c r="I150" s="498"/>
    </row>
    <row r="151" spans="1:10" ht="10.5" customHeight="1" x14ac:dyDescent="0.15">
      <c r="A151" s="34" t="s">
        <v>1587</v>
      </c>
      <c r="C151" s="114"/>
      <c r="D151" s="14"/>
      <c r="E151" s="301"/>
      <c r="F151" s="14"/>
      <c r="G151" s="14"/>
      <c r="H151" s="298"/>
      <c r="I151" s="298"/>
    </row>
    <row r="152" spans="1:10" s="302" customFormat="1" hidden="1" x14ac:dyDescent="0.15">
      <c r="B152" s="304" t="s">
        <v>880</v>
      </c>
      <c r="C152" s="305" t="s">
        <v>1164</v>
      </c>
      <c r="D152" s="308">
        <v>0</v>
      </c>
      <c r="E152" s="308">
        <v>0</v>
      </c>
      <c r="F152" s="308">
        <v>0</v>
      </c>
      <c r="G152" s="458"/>
      <c r="H152" s="457">
        <v>0</v>
      </c>
      <c r="I152" s="494">
        <f>SUM(G152+H152)</f>
        <v>0</v>
      </c>
    </row>
    <row r="153" spans="1:10" s="302" customFormat="1" x14ac:dyDescent="0.15">
      <c r="B153" s="304" t="s">
        <v>880</v>
      </c>
      <c r="C153" s="305" t="s">
        <v>337</v>
      </c>
      <c r="D153" s="308">
        <v>0</v>
      </c>
      <c r="E153" s="308">
        <v>0</v>
      </c>
      <c r="F153" s="308">
        <v>0</v>
      </c>
      <c r="G153" s="308">
        <v>0</v>
      </c>
      <c r="H153" s="457">
        <v>0</v>
      </c>
      <c r="I153" s="494">
        <f>SUM(G153+H153)</f>
        <v>0</v>
      </c>
    </row>
    <row r="154" spans="1:10" s="302" customFormat="1" hidden="1" x14ac:dyDescent="0.15">
      <c r="A154" s="305"/>
      <c r="B154" s="304" t="s">
        <v>881</v>
      </c>
      <c r="C154" s="305" t="s">
        <v>382</v>
      </c>
      <c r="D154" s="308">
        <v>0</v>
      </c>
      <c r="E154" s="308">
        <v>0</v>
      </c>
      <c r="F154" s="308">
        <v>0</v>
      </c>
      <c r="G154" s="459"/>
      <c r="H154" s="457">
        <v>0</v>
      </c>
      <c r="I154" s="494">
        <f>SUM(G154+H154)</f>
        <v>0</v>
      </c>
    </row>
    <row r="155" spans="1:10" x14ac:dyDescent="0.15">
      <c r="A155" s="114"/>
      <c r="B155" s="149" t="s">
        <v>881</v>
      </c>
      <c r="C155" s="114" t="s">
        <v>338</v>
      </c>
      <c r="D155" s="144">
        <v>0</v>
      </c>
      <c r="E155" s="308">
        <v>0</v>
      </c>
      <c r="F155" s="144">
        <v>0</v>
      </c>
      <c r="G155" s="144">
        <v>0</v>
      </c>
      <c r="H155" s="147">
        <v>0</v>
      </c>
      <c r="I155" s="495">
        <f>SUM(G155+H155)</f>
        <v>0</v>
      </c>
      <c r="J155" s="302"/>
    </row>
    <row r="156" spans="1:10" ht="10.5" customHeight="1" x14ac:dyDescent="0.15">
      <c r="A156" s="34"/>
      <c r="B156" s="149" t="s">
        <v>882</v>
      </c>
      <c r="C156" s="114" t="s">
        <v>1058</v>
      </c>
      <c r="D156" s="144">
        <v>0</v>
      </c>
      <c r="E156" s="308">
        <v>0</v>
      </c>
      <c r="F156" s="144">
        <v>0</v>
      </c>
      <c r="G156" s="144">
        <v>0</v>
      </c>
      <c r="H156" s="308">
        <v>0</v>
      </c>
      <c r="I156" s="464">
        <f t="shared" ref="I156:I179" si="8">SUM(G156+H156)</f>
        <v>0</v>
      </c>
    </row>
    <row r="157" spans="1:10" ht="10.5" customHeight="1" x14ac:dyDescent="0.15">
      <c r="A157" s="34"/>
      <c r="B157" s="149" t="s">
        <v>883</v>
      </c>
      <c r="C157" s="114" t="s">
        <v>1059</v>
      </c>
      <c r="D157" s="144">
        <v>0</v>
      </c>
      <c r="E157" s="308">
        <v>0</v>
      </c>
      <c r="F157" s="144">
        <v>0</v>
      </c>
      <c r="G157" s="144">
        <v>0</v>
      </c>
      <c r="H157" s="308">
        <v>0</v>
      </c>
      <c r="I157" s="464">
        <f t="shared" si="8"/>
        <v>0</v>
      </c>
    </row>
    <row r="158" spans="1:10" ht="10.5" customHeight="1" x14ac:dyDescent="0.15">
      <c r="A158" s="34"/>
      <c r="B158" s="149" t="s">
        <v>1060</v>
      </c>
      <c r="C158" s="114" t="s">
        <v>1061</v>
      </c>
      <c r="D158" s="144">
        <v>0</v>
      </c>
      <c r="E158" s="308">
        <v>0</v>
      </c>
      <c r="F158" s="144">
        <v>0</v>
      </c>
      <c r="G158" s="144">
        <v>0</v>
      </c>
      <c r="H158" s="308">
        <v>0</v>
      </c>
      <c r="I158" s="464">
        <f t="shared" si="8"/>
        <v>0</v>
      </c>
    </row>
    <row r="159" spans="1:10" ht="10.5" customHeight="1" x14ac:dyDescent="0.15">
      <c r="A159" s="34"/>
      <c r="B159" s="149" t="s">
        <v>1062</v>
      </c>
      <c r="C159" s="114" t="s">
        <v>1063</v>
      </c>
      <c r="D159" s="144">
        <v>0</v>
      </c>
      <c r="E159" s="308">
        <v>0</v>
      </c>
      <c r="F159" s="144">
        <v>0</v>
      </c>
      <c r="G159" s="144">
        <v>0</v>
      </c>
      <c r="H159" s="308">
        <v>0</v>
      </c>
      <c r="I159" s="464">
        <f t="shared" si="8"/>
        <v>0</v>
      </c>
    </row>
    <row r="160" spans="1:10" ht="10.5" customHeight="1" x14ac:dyDescent="0.15">
      <c r="A160" s="34"/>
      <c r="B160" s="149" t="s">
        <v>884</v>
      </c>
      <c r="C160" s="114" t="s">
        <v>1064</v>
      </c>
      <c r="D160" s="144">
        <v>0</v>
      </c>
      <c r="E160" s="308">
        <v>0</v>
      </c>
      <c r="F160" s="144">
        <v>0</v>
      </c>
      <c r="G160" s="144">
        <v>0</v>
      </c>
      <c r="H160" s="308">
        <v>0</v>
      </c>
      <c r="I160" s="464">
        <f t="shared" si="8"/>
        <v>0</v>
      </c>
    </row>
    <row r="161" spans="1:9" ht="10.5" customHeight="1" x14ac:dyDescent="0.15">
      <c r="A161" s="34"/>
      <c r="B161" s="718" t="s">
        <v>155</v>
      </c>
      <c r="C161" s="719" t="s">
        <v>178</v>
      </c>
      <c r="D161" s="144">
        <v>0</v>
      </c>
      <c r="E161" s="308">
        <v>0</v>
      </c>
      <c r="F161" s="144">
        <v>0</v>
      </c>
      <c r="G161" s="144">
        <v>0</v>
      </c>
      <c r="H161" s="308">
        <v>0</v>
      </c>
      <c r="I161" s="464">
        <f t="shared" si="8"/>
        <v>0</v>
      </c>
    </row>
    <row r="162" spans="1:9" ht="10.5" customHeight="1" x14ac:dyDescent="0.15">
      <c r="A162" s="34"/>
      <c r="B162" s="149" t="s">
        <v>927</v>
      </c>
      <c r="C162" s="114" t="s">
        <v>959</v>
      </c>
      <c r="D162" s="144">
        <v>0</v>
      </c>
      <c r="E162" s="308">
        <v>0</v>
      </c>
      <c r="F162" s="144">
        <v>0</v>
      </c>
      <c r="G162" s="144">
        <v>0</v>
      </c>
      <c r="H162" s="308">
        <v>0</v>
      </c>
      <c r="I162" s="464">
        <f t="shared" si="8"/>
        <v>0</v>
      </c>
    </row>
    <row r="163" spans="1:9" ht="10.5" customHeight="1" x14ac:dyDescent="0.15">
      <c r="A163" s="34"/>
      <c r="B163" s="149" t="s">
        <v>928</v>
      </c>
      <c r="C163" s="114" t="s">
        <v>961</v>
      </c>
      <c r="D163" s="144">
        <v>0</v>
      </c>
      <c r="E163" s="308">
        <v>0</v>
      </c>
      <c r="F163" s="144">
        <v>0</v>
      </c>
      <c r="G163" s="144">
        <v>0</v>
      </c>
      <c r="H163" s="308">
        <v>0</v>
      </c>
      <c r="I163" s="464">
        <f t="shared" si="8"/>
        <v>0</v>
      </c>
    </row>
    <row r="164" spans="1:9" ht="10.5" customHeight="1" x14ac:dyDescent="0.15">
      <c r="A164" s="34"/>
      <c r="B164" s="149" t="s">
        <v>962</v>
      </c>
      <c r="C164" s="114" t="s">
        <v>967</v>
      </c>
      <c r="D164" s="144">
        <v>0</v>
      </c>
      <c r="E164" s="308">
        <v>0</v>
      </c>
      <c r="F164" s="144">
        <v>0</v>
      </c>
      <c r="G164" s="144">
        <v>0</v>
      </c>
      <c r="H164" s="308">
        <v>0</v>
      </c>
      <c r="I164" s="464">
        <f t="shared" si="8"/>
        <v>0</v>
      </c>
    </row>
    <row r="165" spans="1:9" ht="10.5" customHeight="1" x14ac:dyDescent="0.15">
      <c r="A165" s="34"/>
      <c r="B165" s="149" t="s">
        <v>963</v>
      </c>
      <c r="C165" s="114" t="s">
        <v>1124</v>
      </c>
      <c r="D165" s="144">
        <v>0</v>
      </c>
      <c r="E165" s="308">
        <v>0</v>
      </c>
      <c r="F165" s="144">
        <v>0</v>
      </c>
      <c r="G165" s="144">
        <v>0</v>
      </c>
      <c r="H165" s="308">
        <v>0</v>
      </c>
      <c r="I165" s="464">
        <f t="shared" si="8"/>
        <v>0</v>
      </c>
    </row>
    <row r="166" spans="1:9" ht="10.5" customHeight="1" x14ac:dyDescent="0.15">
      <c r="A166" s="34"/>
      <c r="B166" s="149" t="s">
        <v>964</v>
      </c>
      <c r="C166" s="114" t="s">
        <v>1094</v>
      </c>
      <c r="D166" s="144">
        <v>0</v>
      </c>
      <c r="E166" s="308">
        <v>0</v>
      </c>
      <c r="F166" s="144">
        <v>0</v>
      </c>
      <c r="G166" s="144">
        <v>0</v>
      </c>
      <c r="H166" s="308">
        <v>0</v>
      </c>
      <c r="I166" s="464">
        <f t="shared" si="8"/>
        <v>0</v>
      </c>
    </row>
    <row r="167" spans="1:9" ht="10.5" customHeight="1" x14ac:dyDescent="0.15">
      <c r="A167" s="34"/>
      <c r="B167" s="149" t="s">
        <v>965</v>
      </c>
      <c r="C167" s="114" t="s">
        <v>1095</v>
      </c>
      <c r="D167" s="144">
        <v>0</v>
      </c>
      <c r="E167" s="308">
        <v>0</v>
      </c>
      <c r="F167" s="144">
        <v>0</v>
      </c>
      <c r="G167" s="144">
        <v>0</v>
      </c>
      <c r="H167" s="308">
        <v>0</v>
      </c>
      <c r="I167" s="464">
        <f t="shared" si="8"/>
        <v>0</v>
      </c>
    </row>
    <row r="168" spans="1:9" ht="10.5" customHeight="1" x14ac:dyDescent="0.15">
      <c r="A168" s="34"/>
      <c r="B168" s="149" t="s">
        <v>1239</v>
      </c>
      <c r="C168" s="114" t="s">
        <v>1352</v>
      </c>
      <c r="D168" s="144">
        <v>0</v>
      </c>
      <c r="E168" s="308">
        <v>0</v>
      </c>
      <c r="F168" s="144">
        <v>0</v>
      </c>
      <c r="G168" s="144">
        <v>0</v>
      </c>
      <c r="H168" s="308">
        <v>0</v>
      </c>
      <c r="I168" s="464">
        <f t="shared" si="8"/>
        <v>0</v>
      </c>
    </row>
    <row r="169" spans="1:9" ht="10.5" customHeight="1" x14ac:dyDescent="0.15">
      <c r="A169" s="34"/>
      <c r="B169" s="149" t="s">
        <v>885</v>
      </c>
      <c r="C169" s="114" t="s">
        <v>1096</v>
      </c>
      <c r="D169" s="144">
        <v>0</v>
      </c>
      <c r="E169" s="308">
        <v>0</v>
      </c>
      <c r="F169" s="144">
        <v>0</v>
      </c>
      <c r="G169" s="144">
        <v>0</v>
      </c>
      <c r="H169" s="308">
        <v>0</v>
      </c>
      <c r="I169" s="464">
        <f t="shared" si="8"/>
        <v>0</v>
      </c>
    </row>
    <row r="170" spans="1:9" ht="10.5" customHeight="1" x14ac:dyDescent="0.15">
      <c r="A170" s="34"/>
      <c r="B170" s="149" t="s">
        <v>966</v>
      </c>
      <c r="C170" s="114" t="s">
        <v>1097</v>
      </c>
      <c r="D170" s="144">
        <v>0</v>
      </c>
      <c r="E170" s="308">
        <v>0</v>
      </c>
      <c r="F170" s="144">
        <v>0</v>
      </c>
      <c r="G170" s="144">
        <v>0</v>
      </c>
      <c r="H170" s="308">
        <v>0</v>
      </c>
      <c r="I170" s="464">
        <f t="shared" si="8"/>
        <v>0</v>
      </c>
    </row>
    <row r="171" spans="1:9" ht="10.5" customHeight="1" x14ac:dyDescent="0.15">
      <c r="A171" s="34"/>
      <c r="B171" s="149" t="s">
        <v>886</v>
      </c>
      <c r="C171" s="114" t="s">
        <v>1100</v>
      </c>
      <c r="D171" s="144">
        <v>0</v>
      </c>
      <c r="E171" s="308">
        <v>0</v>
      </c>
      <c r="F171" s="144">
        <v>0</v>
      </c>
      <c r="G171" s="144">
        <v>0</v>
      </c>
      <c r="H171" s="308">
        <v>0</v>
      </c>
      <c r="I171" s="464">
        <f t="shared" si="8"/>
        <v>0</v>
      </c>
    </row>
    <row r="172" spans="1:9" ht="10.5" customHeight="1" x14ac:dyDescent="0.15">
      <c r="A172" s="34"/>
      <c r="B172" s="149" t="s">
        <v>116</v>
      </c>
      <c r="C172" s="114" t="s">
        <v>1105</v>
      </c>
      <c r="D172" s="144">
        <v>0</v>
      </c>
      <c r="E172" s="308">
        <v>0</v>
      </c>
      <c r="F172" s="144">
        <v>0</v>
      </c>
      <c r="G172" s="144">
        <v>0</v>
      </c>
      <c r="H172" s="308">
        <v>0</v>
      </c>
      <c r="I172" s="464">
        <f t="shared" si="8"/>
        <v>0</v>
      </c>
    </row>
    <row r="173" spans="1:9" ht="10.5" customHeight="1" x14ac:dyDescent="0.15">
      <c r="A173" s="34"/>
      <c r="B173" s="149" t="s">
        <v>112</v>
      </c>
      <c r="C173" s="114" t="s">
        <v>1110</v>
      </c>
      <c r="D173" s="144">
        <v>0</v>
      </c>
      <c r="E173" s="308">
        <v>0</v>
      </c>
      <c r="F173" s="144">
        <v>0</v>
      </c>
      <c r="G173" s="144">
        <v>0</v>
      </c>
      <c r="H173" s="308">
        <v>0</v>
      </c>
      <c r="I173" s="464">
        <f t="shared" si="8"/>
        <v>0</v>
      </c>
    </row>
    <row r="174" spans="1:9" ht="10.5" customHeight="1" x14ac:dyDescent="0.15">
      <c r="A174" s="34"/>
      <c r="B174" s="149" t="s">
        <v>887</v>
      </c>
      <c r="C174" s="114" t="s">
        <v>1116</v>
      </c>
      <c r="D174" s="144">
        <v>0</v>
      </c>
      <c r="E174" s="308">
        <v>0</v>
      </c>
      <c r="F174" s="144">
        <v>0</v>
      </c>
      <c r="G174" s="144">
        <v>0</v>
      </c>
      <c r="H174" s="308">
        <v>0</v>
      </c>
      <c r="I174" s="464">
        <f t="shared" si="8"/>
        <v>0</v>
      </c>
    </row>
    <row r="175" spans="1:9" ht="10.5" customHeight="1" x14ac:dyDescent="0.15">
      <c r="A175" s="34"/>
      <c r="B175" s="149" t="s">
        <v>1112</v>
      </c>
      <c r="C175" s="114" t="s">
        <v>1117</v>
      </c>
      <c r="D175" s="144">
        <v>0</v>
      </c>
      <c r="E175" s="308">
        <v>0</v>
      </c>
      <c r="F175" s="144">
        <v>0</v>
      </c>
      <c r="G175" s="144">
        <v>0</v>
      </c>
      <c r="H175" s="308">
        <v>0</v>
      </c>
      <c r="I175" s="464">
        <f t="shared" si="8"/>
        <v>0</v>
      </c>
    </row>
    <row r="176" spans="1:9" ht="10.5" customHeight="1" x14ac:dyDescent="0.15">
      <c r="A176" s="34"/>
      <c r="B176" s="149" t="s">
        <v>1113</v>
      </c>
      <c r="C176" s="114" t="s">
        <v>1118</v>
      </c>
      <c r="D176" s="144">
        <v>0</v>
      </c>
      <c r="E176" s="308">
        <v>0</v>
      </c>
      <c r="F176" s="144">
        <v>0</v>
      </c>
      <c r="G176" s="144">
        <v>0</v>
      </c>
      <c r="H176" s="308">
        <v>0</v>
      </c>
      <c r="I176" s="464">
        <f t="shared" si="8"/>
        <v>0</v>
      </c>
    </row>
    <row r="177" spans="1:10" ht="10.5" customHeight="1" x14ac:dyDescent="0.15">
      <c r="A177" s="34"/>
      <c r="B177" s="149" t="s">
        <v>1114</v>
      </c>
      <c r="C177" s="114" t="s">
        <v>1119</v>
      </c>
      <c r="D177" s="144">
        <v>0</v>
      </c>
      <c r="E177" s="308">
        <v>0</v>
      </c>
      <c r="F177" s="144">
        <v>0</v>
      </c>
      <c r="G177" s="144">
        <v>0</v>
      </c>
      <c r="H177" s="308">
        <v>0</v>
      </c>
      <c r="I177" s="464">
        <f t="shared" si="8"/>
        <v>0</v>
      </c>
    </row>
    <row r="178" spans="1:10" ht="10.5" customHeight="1" x14ac:dyDescent="0.15">
      <c r="A178" s="34"/>
      <c r="B178" s="149" t="s">
        <v>1115</v>
      </c>
      <c r="C178" s="114" t="s">
        <v>1120</v>
      </c>
      <c r="D178" s="144">
        <v>0</v>
      </c>
      <c r="E178" s="308">
        <v>0</v>
      </c>
      <c r="F178" s="144">
        <v>0</v>
      </c>
      <c r="G178" s="144">
        <v>0</v>
      </c>
      <c r="H178" s="308">
        <v>0</v>
      </c>
      <c r="I178" s="464">
        <f t="shared" si="8"/>
        <v>0</v>
      </c>
    </row>
    <row r="179" spans="1:10" ht="10.5" customHeight="1" thickBot="1" x14ac:dyDescent="0.2">
      <c r="A179" s="34"/>
      <c r="B179" s="149" t="s">
        <v>114</v>
      </c>
      <c r="C179" s="114" t="s">
        <v>1121</v>
      </c>
      <c r="D179" s="141">
        <v>0</v>
      </c>
      <c r="E179" s="309">
        <v>0</v>
      </c>
      <c r="F179" s="141">
        <v>0</v>
      </c>
      <c r="G179" s="144">
        <v>0</v>
      </c>
      <c r="H179" s="309">
        <v>0</v>
      </c>
      <c r="I179" s="501">
        <f t="shared" si="8"/>
        <v>0</v>
      </c>
    </row>
    <row r="180" spans="1:10" ht="10.5" customHeight="1" thickTop="1" thickBot="1" x14ac:dyDescent="0.2">
      <c r="A180" s="34"/>
      <c r="B180" s="149"/>
      <c r="C180" s="114" t="s">
        <v>128</v>
      </c>
      <c r="D180" s="166">
        <f>SUM(D152:D179)</f>
        <v>0</v>
      </c>
      <c r="E180" s="297">
        <f>SUM(E152:E179)</f>
        <v>0</v>
      </c>
      <c r="F180" s="166">
        <f>SUM(F152:F179)</f>
        <v>0</v>
      </c>
      <c r="G180" s="166">
        <f>SUM(G152:G179)</f>
        <v>0</v>
      </c>
      <c r="H180" s="166">
        <f>SUM(H152:H179)</f>
        <v>0</v>
      </c>
      <c r="I180" s="297">
        <f>SUM(G180+H180)</f>
        <v>0</v>
      </c>
    </row>
    <row r="181" spans="1:10" ht="10.5" customHeight="1" thickTop="1" x14ac:dyDescent="0.15">
      <c r="A181" s="34"/>
      <c r="B181" s="149"/>
      <c r="C181" s="114"/>
      <c r="D181" s="14"/>
      <c r="E181" s="301"/>
      <c r="F181" s="14"/>
      <c r="G181" s="14"/>
      <c r="H181" s="301"/>
      <c r="I181" s="498"/>
    </row>
    <row r="182" spans="1:10" ht="10.5" customHeight="1" x14ac:dyDescent="0.15">
      <c r="A182" s="34" t="s">
        <v>1588</v>
      </c>
      <c r="C182" s="114"/>
      <c r="D182" s="14"/>
      <c r="E182" s="301"/>
      <c r="F182" s="14"/>
      <c r="G182" s="14"/>
      <c r="H182" s="298"/>
      <c r="I182" s="298"/>
    </row>
    <row r="183" spans="1:10" s="302" customFormat="1" hidden="1" x14ac:dyDescent="0.15">
      <c r="B183" s="304" t="s">
        <v>880</v>
      </c>
      <c r="C183" s="305" t="s">
        <v>1164</v>
      </c>
      <c r="D183" s="308">
        <v>0</v>
      </c>
      <c r="E183" s="308">
        <v>0</v>
      </c>
      <c r="F183" s="308">
        <v>0</v>
      </c>
      <c r="G183" s="458"/>
      <c r="H183" s="457">
        <v>0</v>
      </c>
      <c r="I183" s="494">
        <f>SUM(G183+H183)</f>
        <v>0</v>
      </c>
    </row>
    <row r="184" spans="1:10" s="302" customFormat="1" x14ac:dyDescent="0.15">
      <c r="B184" s="304" t="s">
        <v>880</v>
      </c>
      <c r="C184" s="305" t="s">
        <v>337</v>
      </c>
      <c r="D184" s="308">
        <v>0</v>
      </c>
      <c r="E184" s="308">
        <v>0</v>
      </c>
      <c r="F184" s="308">
        <v>0</v>
      </c>
      <c r="G184" s="308">
        <v>0</v>
      </c>
      <c r="H184" s="457">
        <v>0</v>
      </c>
      <c r="I184" s="494">
        <f>SUM(G184+H184)</f>
        <v>0</v>
      </c>
    </row>
    <row r="185" spans="1:10" s="302" customFormat="1" hidden="1" x14ac:dyDescent="0.15">
      <c r="A185" s="305"/>
      <c r="B185" s="304" t="s">
        <v>881</v>
      </c>
      <c r="C185" s="305" t="s">
        <v>382</v>
      </c>
      <c r="D185" s="308">
        <v>0</v>
      </c>
      <c r="E185" s="308">
        <v>0</v>
      </c>
      <c r="F185" s="308">
        <v>0</v>
      </c>
      <c r="G185" s="459"/>
      <c r="H185" s="457">
        <v>0</v>
      </c>
      <c r="I185" s="494">
        <f>SUM(G185+H185)</f>
        <v>0</v>
      </c>
    </row>
    <row r="186" spans="1:10" x14ac:dyDescent="0.15">
      <c r="A186" s="114"/>
      <c r="B186" s="149" t="s">
        <v>881</v>
      </c>
      <c r="C186" s="114" t="s">
        <v>338</v>
      </c>
      <c r="D186" s="144">
        <v>0</v>
      </c>
      <c r="E186" s="308">
        <v>0</v>
      </c>
      <c r="F186" s="144">
        <v>0</v>
      </c>
      <c r="G186" s="144">
        <v>0</v>
      </c>
      <c r="H186" s="147">
        <v>0</v>
      </c>
      <c r="I186" s="495">
        <f>SUM(G186+H186)</f>
        <v>0</v>
      </c>
      <c r="J186" s="302"/>
    </row>
    <row r="187" spans="1:10" ht="10.5" customHeight="1" x14ac:dyDescent="0.15">
      <c r="A187" s="34"/>
      <c r="B187" s="149" t="s">
        <v>882</v>
      </c>
      <c r="C187" s="114" t="s">
        <v>1058</v>
      </c>
      <c r="D187" s="144">
        <v>0</v>
      </c>
      <c r="E187" s="308">
        <v>0</v>
      </c>
      <c r="F187" s="144">
        <v>0</v>
      </c>
      <c r="G187" s="144">
        <v>0</v>
      </c>
      <c r="H187" s="308">
        <v>0</v>
      </c>
      <c r="I187" s="464">
        <f t="shared" ref="I187:I210" si="9">SUM(G187+H187)</f>
        <v>0</v>
      </c>
    </row>
    <row r="188" spans="1:10" ht="10.5" customHeight="1" x14ac:dyDescent="0.15">
      <c r="A188" s="34"/>
      <c r="B188" s="149" t="s">
        <v>883</v>
      </c>
      <c r="C188" s="114" t="s">
        <v>1059</v>
      </c>
      <c r="D188" s="144">
        <v>0</v>
      </c>
      <c r="E188" s="308">
        <v>0</v>
      </c>
      <c r="F188" s="144">
        <v>0</v>
      </c>
      <c r="G188" s="144">
        <v>0</v>
      </c>
      <c r="H188" s="308">
        <v>0</v>
      </c>
      <c r="I188" s="464">
        <f t="shared" si="9"/>
        <v>0</v>
      </c>
    </row>
    <row r="189" spans="1:10" ht="10.5" customHeight="1" x14ac:dyDescent="0.15">
      <c r="A189" s="34"/>
      <c r="B189" s="149" t="s">
        <v>1060</v>
      </c>
      <c r="C189" s="114" t="s">
        <v>1061</v>
      </c>
      <c r="D189" s="144">
        <v>0</v>
      </c>
      <c r="E189" s="308">
        <v>0</v>
      </c>
      <c r="F189" s="144">
        <v>0</v>
      </c>
      <c r="G189" s="144">
        <v>0</v>
      </c>
      <c r="H189" s="308">
        <v>0</v>
      </c>
      <c r="I189" s="464">
        <f t="shared" si="9"/>
        <v>0</v>
      </c>
    </row>
    <row r="190" spans="1:10" ht="10.5" customHeight="1" x14ac:dyDescent="0.15">
      <c r="A190" s="34"/>
      <c r="B190" s="149" t="s">
        <v>1062</v>
      </c>
      <c r="C190" s="114" t="s">
        <v>1063</v>
      </c>
      <c r="D190" s="144">
        <v>0</v>
      </c>
      <c r="E190" s="308">
        <v>0</v>
      </c>
      <c r="F190" s="144">
        <v>0</v>
      </c>
      <c r="G190" s="144">
        <v>0</v>
      </c>
      <c r="H190" s="308">
        <v>0</v>
      </c>
      <c r="I190" s="464">
        <f t="shared" si="9"/>
        <v>0</v>
      </c>
    </row>
    <row r="191" spans="1:10" ht="10.5" customHeight="1" x14ac:dyDescent="0.15">
      <c r="A191" s="34"/>
      <c r="B191" s="149" t="s">
        <v>884</v>
      </c>
      <c r="C191" s="114" t="s">
        <v>1064</v>
      </c>
      <c r="D191" s="144">
        <v>0</v>
      </c>
      <c r="E191" s="308">
        <v>0</v>
      </c>
      <c r="F191" s="144">
        <v>0</v>
      </c>
      <c r="G191" s="144">
        <v>0</v>
      </c>
      <c r="H191" s="308">
        <v>0</v>
      </c>
      <c r="I191" s="464">
        <f t="shared" si="9"/>
        <v>0</v>
      </c>
    </row>
    <row r="192" spans="1:10" ht="10.5" customHeight="1" x14ac:dyDescent="0.15">
      <c r="A192" s="34"/>
      <c r="B192" s="718" t="s">
        <v>155</v>
      </c>
      <c r="C192" s="719" t="s">
        <v>178</v>
      </c>
      <c r="D192" s="144">
        <v>0</v>
      </c>
      <c r="E192" s="308">
        <v>0</v>
      </c>
      <c r="F192" s="144">
        <v>0</v>
      </c>
      <c r="G192" s="144">
        <v>0</v>
      </c>
      <c r="H192" s="308">
        <v>0</v>
      </c>
      <c r="I192" s="464">
        <f t="shared" si="9"/>
        <v>0</v>
      </c>
    </row>
    <row r="193" spans="1:9" ht="10.5" customHeight="1" x14ac:dyDescent="0.15">
      <c r="A193" s="34"/>
      <c r="B193" s="149" t="s">
        <v>927</v>
      </c>
      <c r="C193" s="114" t="s">
        <v>959</v>
      </c>
      <c r="D193" s="144">
        <v>0</v>
      </c>
      <c r="E193" s="308">
        <v>0</v>
      </c>
      <c r="F193" s="144">
        <v>0</v>
      </c>
      <c r="G193" s="144">
        <v>0</v>
      </c>
      <c r="H193" s="308">
        <v>0</v>
      </c>
      <c r="I193" s="464">
        <f t="shared" si="9"/>
        <v>0</v>
      </c>
    </row>
    <row r="194" spans="1:9" ht="10.5" customHeight="1" x14ac:dyDescent="0.15">
      <c r="A194" s="34"/>
      <c r="B194" s="149" t="s">
        <v>928</v>
      </c>
      <c r="C194" s="114" t="s">
        <v>961</v>
      </c>
      <c r="D194" s="144">
        <v>0</v>
      </c>
      <c r="E194" s="308">
        <v>0</v>
      </c>
      <c r="F194" s="144">
        <v>0</v>
      </c>
      <c r="G194" s="144">
        <v>0</v>
      </c>
      <c r="H194" s="308">
        <v>0</v>
      </c>
      <c r="I194" s="464">
        <f t="shared" si="9"/>
        <v>0</v>
      </c>
    </row>
    <row r="195" spans="1:9" ht="10.5" customHeight="1" x14ac:dyDescent="0.15">
      <c r="A195" s="34"/>
      <c r="B195" s="149" t="s">
        <v>962</v>
      </c>
      <c r="C195" s="114" t="s">
        <v>967</v>
      </c>
      <c r="D195" s="144">
        <v>0</v>
      </c>
      <c r="E195" s="308">
        <v>0</v>
      </c>
      <c r="F195" s="144">
        <v>0</v>
      </c>
      <c r="G195" s="144">
        <v>0</v>
      </c>
      <c r="H195" s="308">
        <v>0</v>
      </c>
      <c r="I195" s="464">
        <f t="shared" si="9"/>
        <v>0</v>
      </c>
    </row>
    <row r="196" spans="1:9" ht="10.5" customHeight="1" x14ac:dyDescent="0.15">
      <c r="A196" s="34"/>
      <c r="B196" s="149" t="s">
        <v>963</v>
      </c>
      <c r="C196" s="114" t="s">
        <v>1124</v>
      </c>
      <c r="D196" s="144">
        <v>0</v>
      </c>
      <c r="E196" s="308">
        <v>0</v>
      </c>
      <c r="F196" s="144">
        <v>0</v>
      </c>
      <c r="G196" s="144">
        <v>0</v>
      </c>
      <c r="H196" s="308">
        <v>0</v>
      </c>
      <c r="I196" s="464">
        <f t="shared" si="9"/>
        <v>0</v>
      </c>
    </row>
    <row r="197" spans="1:9" ht="10.5" customHeight="1" x14ac:dyDescent="0.15">
      <c r="A197" s="34"/>
      <c r="B197" s="149" t="s">
        <v>964</v>
      </c>
      <c r="C197" s="114" t="s">
        <v>1094</v>
      </c>
      <c r="D197" s="144">
        <v>0</v>
      </c>
      <c r="E197" s="308">
        <v>0</v>
      </c>
      <c r="F197" s="144">
        <v>0</v>
      </c>
      <c r="G197" s="144">
        <v>0</v>
      </c>
      <c r="H197" s="308">
        <v>0</v>
      </c>
      <c r="I197" s="464">
        <f t="shared" si="9"/>
        <v>0</v>
      </c>
    </row>
    <row r="198" spans="1:9" ht="10.5" customHeight="1" x14ac:dyDescent="0.15">
      <c r="A198" s="34"/>
      <c r="B198" s="149" t="s">
        <v>965</v>
      </c>
      <c r="C198" s="114" t="s">
        <v>1095</v>
      </c>
      <c r="D198" s="144">
        <v>0</v>
      </c>
      <c r="E198" s="308">
        <v>0</v>
      </c>
      <c r="F198" s="144">
        <v>0</v>
      </c>
      <c r="G198" s="144">
        <v>0</v>
      </c>
      <c r="H198" s="308">
        <v>0</v>
      </c>
      <c r="I198" s="464">
        <f t="shared" si="9"/>
        <v>0</v>
      </c>
    </row>
    <row r="199" spans="1:9" ht="10.5" customHeight="1" x14ac:dyDescent="0.15">
      <c r="A199" s="34"/>
      <c r="B199" s="149" t="s">
        <v>1239</v>
      </c>
      <c r="C199" s="114" t="s">
        <v>1352</v>
      </c>
      <c r="D199" s="144">
        <v>0</v>
      </c>
      <c r="E199" s="308">
        <v>0</v>
      </c>
      <c r="F199" s="144">
        <v>0</v>
      </c>
      <c r="G199" s="144">
        <v>0</v>
      </c>
      <c r="H199" s="308">
        <v>0</v>
      </c>
      <c r="I199" s="464">
        <f t="shared" si="9"/>
        <v>0</v>
      </c>
    </row>
    <row r="200" spans="1:9" ht="10.5" customHeight="1" x14ac:dyDescent="0.15">
      <c r="A200" s="34"/>
      <c r="B200" s="149" t="s">
        <v>885</v>
      </c>
      <c r="C200" s="114" t="s">
        <v>1096</v>
      </c>
      <c r="D200" s="144">
        <v>0</v>
      </c>
      <c r="E200" s="308">
        <v>0</v>
      </c>
      <c r="F200" s="144">
        <v>0</v>
      </c>
      <c r="G200" s="144">
        <v>0</v>
      </c>
      <c r="H200" s="308">
        <v>0</v>
      </c>
      <c r="I200" s="464">
        <f t="shared" si="9"/>
        <v>0</v>
      </c>
    </row>
    <row r="201" spans="1:9" ht="10.5" customHeight="1" x14ac:dyDescent="0.15">
      <c r="A201" s="34"/>
      <c r="B201" s="149" t="s">
        <v>966</v>
      </c>
      <c r="C201" s="114" t="s">
        <v>1097</v>
      </c>
      <c r="D201" s="144">
        <v>0</v>
      </c>
      <c r="E201" s="308">
        <v>0</v>
      </c>
      <c r="F201" s="144">
        <v>0</v>
      </c>
      <c r="G201" s="144">
        <v>0</v>
      </c>
      <c r="H201" s="308">
        <v>0</v>
      </c>
      <c r="I201" s="464">
        <f t="shared" si="9"/>
        <v>0</v>
      </c>
    </row>
    <row r="202" spans="1:9" ht="10.5" customHeight="1" x14ac:dyDescent="0.15">
      <c r="A202" s="34"/>
      <c r="B202" s="149" t="s">
        <v>886</v>
      </c>
      <c r="C202" s="114" t="s">
        <v>1100</v>
      </c>
      <c r="D202" s="144">
        <v>0</v>
      </c>
      <c r="E202" s="308">
        <v>0</v>
      </c>
      <c r="F202" s="144">
        <v>0</v>
      </c>
      <c r="G202" s="144">
        <v>0</v>
      </c>
      <c r="H202" s="308">
        <v>0</v>
      </c>
      <c r="I202" s="464">
        <f t="shared" si="9"/>
        <v>0</v>
      </c>
    </row>
    <row r="203" spans="1:9" ht="10.5" customHeight="1" x14ac:dyDescent="0.15">
      <c r="A203" s="34"/>
      <c r="B203" s="149" t="s">
        <v>116</v>
      </c>
      <c r="C203" s="114" t="s">
        <v>1105</v>
      </c>
      <c r="D203" s="144">
        <v>0</v>
      </c>
      <c r="E203" s="308">
        <v>0</v>
      </c>
      <c r="F203" s="144">
        <v>0</v>
      </c>
      <c r="G203" s="144">
        <v>0</v>
      </c>
      <c r="H203" s="308">
        <v>0</v>
      </c>
      <c r="I203" s="464">
        <f t="shared" si="9"/>
        <v>0</v>
      </c>
    </row>
    <row r="204" spans="1:9" ht="10.5" customHeight="1" x14ac:dyDescent="0.15">
      <c r="A204" s="34"/>
      <c r="B204" s="149" t="s">
        <v>112</v>
      </c>
      <c r="C204" s="114" t="s">
        <v>1110</v>
      </c>
      <c r="D204" s="144">
        <v>0</v>
      </c>
      <c r="E204" s="308">
        <v>0</v>
      </c>
      <c r="F204" s="144">
        <v>0</v>
      </c>
      <c r="G204" s="144">
        <v>0</v>
      </c>
      <c r="H204" s="308">
        <v>0</v>
      </c>
      <c r="I204" s="464">
        <f t="shared" si="9"/>
        <v>0</v>
      </c>
    </row>
    <row r="205" spans="1:9" ht="10.5" customHeight="1" x14ac:dyDescent="0.15">
      <c r="A205" s="34"/>
      <c r="B205" s="149" t="s">
        <v>887</v>
      </c>
      <c r="C205" s="114" t="s">
        <v>1116</v>
      </c>
      <c r="D205" s="144">
        <v>0</v>
      </c>
      <c r="E205" s="308">
        <v>0</v>
      </c>
      <c r="F205" s="144">
        <v>0</v>
      </c>
      <c r="G205" s="144">
        <v>0</v>
      </c>
      <c r="H205" s="308">
        <v>0</v>
      </c>
      <c r="I205" s="464">
        <f t="shared" si="9"/>
        <v>0</v>
      </c>
    </row>
    <row r="206" spans="1:9" ht="10.5" customHeight="1" x14ac:dyDescent="0.15">
      <c r="A206" s="34"/>
      <c r="B206" s="149" t="s">
        <v>1112</v>
      </c>
      <c r="C206" s="114" t="s">
        <v>1117</v>
      </c>
      <c r="D206" s="144">
        <v>0</v>
      </c>
      <c r="E206" s="308">
        <v>0</v>
      </c>
      <c r="F206" s="144">
        <v>0</v>
      </c>
      <c r="G206" s="144">
        <v>0</v>
      </c>
      <c r="H206" s="308">
        <v>0</v>
      </c>
      <c r="I206" s="464">
        <f t="shared" si="9"/>
        <v>0</v>
      </c>
    </row>
    <row r="207" spans="1:9" ht="10.5" customHeight="1" x14ac:dyDescent="0.15">
      <c r="A207" s="34"/>
      <c r="B207" s="149" t="s">
        <v>1113</v>
      </c>
      <c r="C207" s="114" t="s">
        <v>1118</v>
      </c>
      <c r="D207" s="144">
        <v>0</v>
      </c>
      <c r="E207" s="308">
        <v>0</v>
      </c>
      <c r="F207" s="144">
        <v>0</v>
      </c>
      <c r="G207" s="144">
        <v>0</v>
      </c>
      <c r="H207" s="308">
        <v>0</v>
      </c>
      <c r="I207" s="464">
        <f t="shared" si="9"/>
        <v>0</v>
      </c>
    </row>
    <row r="208" spans="1:9" ht="10.5" customHeight="1" x14ac:dyDescent="0.15">
      <c r="A208" s="34"/>
      <c r="B208" s="149" t="s">
        <v>1114</v>
      </c>
      <c r="C208" s="114" t="s">
        <v>1119</v>
      </c>
      <c r="D208" s="144">
        <v>0</v>
      </c>
      <c r="E208" s="308">
        <v>0</v>
      </c>
      <c r="F208" s="144">
        <v>0</v>
      </c>
      <c r="G208" s="144">
        <v>0</v>
      </c>
      <c r="H208" s="308">
        <v>0</v>
      </c>
      <c r="I208" s="464">
        <f t="shared" si="9"/>
        <v>0</v>
      </c>
    </row>
    <row r="209" spans="1:9" ht="10.5" customHeight="1" x14ac:dyDescent="0.15">
      <c r="A209" s="34"/>
      <c r="B209" s="149" t="s">
        <v>1115</v>
      </c>
      <c r="C209" s="114" t="s">
        <v>1120</v>
      </c>
      <c r="D209" s="144">
        <v>0</v>
      </c>
      <c r="E209" s="308">
        <v>0</v>
      </c>
      <c r="F209" s="144">
        <v>0</v>
      </c>
      <c r="G209" s="144">
        <v>0</v>
      </c>
      <c r="H209" s="308">
        <v>0</v>
      </c>
      <c r="I209" s="464">
        <f t="shared" si="9"/>
        <v>0</v>
      </c>
    </row>
    <row r="210" spans="1:9" ht="10.5" customHeight="1" thickBot="1" x14ac:dyDescent="0.2">
      <c r="A210" s="34"/>
      <c r="B210" s="149" t="s">
        <v>114</v>
      </c>
      <c r="C210" s="114" t="s">
        <v>1121</v>
      </c>
      <c r="D210" s="141">
        <v>0</v>
      </c>
      <c r="E210" s="309">
        <v>0</v>
      </c>
      <c r="F210" s="141">
        <v>0</v>
      </c>
      <c r="G210" s="144">
        <v>0</v>
      </c>
      <c r="H210" s="309">
        <v>0</v>
      </c>
      <c r="I210" s="501">
        <f t="shared" si="9"/>
        <v>0</v>
      </c>
    </row>
    <row r="211" spans="1:9" ht="10.5" customHeight="1" thickTop="1" thickBot="1" x14ac:dyDescent="0.2">
      <c r="A211" s="34"/>
      <c r="B211" s="149"/>
      <c r="C211" s="114" t="s">
        <v>128</v>
      </c>
      <c r="D211" s="166">
        <f>SUM(D183:D210)</f>
        <v>0</v>
      </c>
      <c r="E211" s="297">
        <f>SUM(E183:E210)</f>
        <v>0</v>
      </c>
      <c r="F211" s="166">
        <f>SUM(F183:F210)</f>
        <v>0</v>
      </c>
      <c r="G211" s="166">
        <f>SUM(G183:G210)</f>
        <v>0</v>
      </c>
      <c r="H211" s="166">
        <f>SUM(H183:H210)</f>
        <v>0</v>
      </c>
      <c r="I211" s="297">
        <f>SUM(G211+H211)</f>
        <v>0</v>
      </c>
    </row>
    <row r="212" spans="1:9" ht="10.5" customHeight="1" thickTop="1" x14ac:dyDescent="0.15">
      <c r="A212" s="34"/>
      <c r="B212" s="149"/>
      <c r="C212" s="114"/>
      <c r="D212" s="14"/>
      <c r="E212" s="301"/>
      <c r="F212" s="14"/>
      <c r="G212" s="14"/>
      <c r="H212" s="301"/>
      <c r="I212" s="498"/>
    </row>
    <row r="213" spans="1:9" ht="10.5" customHeight="1" x14ac:dyDescent="0.15">
      <c r="A213" s="34" t="s">
        <v>104</v>
      </c>
      <c r="C213" s="114"/>
      <c r="D213" s="14"/>
      <c r="E213" s="301"/>
      <c r="F213" s="14"/>
      <c r="G213" s="14"/>
      <c r="H213" s="301"/>
      <c r="I213" s="498"/>
    </row>
    <row r="214" spans="1:9" s="302" customFormat="1" hidden="1" x14ac:dyDescent="0.15">
      <c r="B214" s="304" t="s">
        <v>880</v>
      </c>
      <c r="C214" s="305" t="s">
        <v>1164</v>
      </c>
      <c r="D214" s="308">
        <v>0</v>
      </c>
      <c r="E214" s="308">
        <v>0</v>
      </c>
      <c r="F214" s="308">
        <v>0</v>
      </c>
      <c r="G214" s="458"/>
      <c r="H214" s="457">
        <v>0</v>
      </c>
      <c r="I214" s="494">
        <f>SUM(G214+H214)</f>
        <v>0</v>
      </c>
    </row>
    <row r="215" spans="1:9" s="302" customFormat="1" x14ac:dyDescent="0.15">
      <c r="B215" s="304" t="s">
        <v>880</v>
      </c>
      <c r="C215" s="305" t="s">
        <v>337</v>
      </c>
      <c r="D215" s="308">
        <v>0</v>
      </c>
      <c r="E215" s="308">
        <v>0</v>
      </c>
      <c r="F215" s="308">
        <v>0</v>
      </c>
      <c r="G215" s="308">
        <v>0</v>
      </c>
      <c r="H215" s="457">
        <v>0</v>
      </c>
      <c r="I215" s="494">
        <f>SUM(G215+H215)</f>
        <v>0</v>
      </c>
    </row>
    <row r="216" spans="1:9" s="302" customFormat="1" hidden="1" x14ac:dyDescent="0.15">
      <c r="A216" s="305"/>
      <c r="B216" s="304" t="s">
        <v>881</v>
      </c>
      <c r="C216" s="305" t="s">
        <v>382</v>
      </c>
      <c r="D216" s="308">
        <v>0</v>
      </c>
      <c r="E216" s="308">
        <v>0</v>
      </c>
      <c r="F216" s="308">
        <v>0</v>
      </c>
      <c r="G216" s="459"/>
      <c r="H216" s="457">
        <v>0</v>
      </c>
      <c r="I216" s="494">
        <f>SUM(G216+H216)</f>
        <v>0</v>
      </c>
    </row>
    <row r="217" spans="1:9" s="302" customFormat="1" x14ac:dyDescent="0.15">
      <c r="A217" s="305"/>
      <c r="B217" s="304" t="s">
        <v>881</v>
      </c>
      <c r="C217" s="305" t="s">
        <v>338</v>
      </c>
      <c r="D217" s="308">
        <v>0</v>
      </c>
      <c r="E217" s="308">
        <v>0</v>
      </c>
      <c r="F217" s="308">
        <v>0</v>
      </c>
      <c r="G217" s="308">
        <v>0</v>
      </c>
      <c r="H217" s="457">
        <v>0</v>
      </c>
      <c r="I217" s="494">
        <f>SUM(G217+H217)</f>
        <v>0</v>
      </c>
    </row>
    <row r="218" spans="1:9" ht="10.5" customHeight="1" x14ac:dyDescent="0.15">
      <c r="A218" s="34"/>
      <c r="B218" s="149" t="s">
        <v>882</v>
      </c>
      <c r="C218" s="114" t="s">
        <v>1058</v>
      </c>
      <c r="D218" s="144">
        <v>0</v>
      </c>
      <c r="E218" s="308">
        <v>0</v>
      </c>
      <c r="F218" s="144">
        <v>0</v>
      </c>
      <c r="G218" s="144">
        <v>0</v>
      </c>
      <c r="H218" s="308">
        <v>0</v>
      </c>
      <c r="I218" s="464">
        <f t="shared" ref="I218:I247" si="10">SUM(G218+H218)</f>
        <v>0</v>
      </c>
    </row>
    <row r="219" spans="1:9" ht="10.5" customHeight="1" x14ac:dyDescent="0.15">
      <c r="A219" s="34"/>
      <c r="B219" s="149" t="s">
        <v>883</v>
      </c>
      <c r="C219" s="114" t="s">
        <v>1059</v>
      </c>
      <c r="D219" s="144">
        <v>0</v>
      </c>
      <c r="E219" s="308">
        <v>0</v>
      </c>
      <c r="F219" s="144">
        <v>0</v>
      </c>
      <c r="G219" s="144">
        <v>0</v>
      </c>
      <c r="H219" s="308">
        <v>0</v>
      </c>
      <c r="I219" s="464">
        <f t="shared" si="10"/>
        <v>0</v>
      </c>
    </row>
    <row r="220" spans="1:9" ht="10.5" customHeight="1" x14ac:dyDescent="0.15">
      <c r="A220" s="34"/>
      <c r="B220" s="149" t="s">
        <v>1060</v>
      </c>
      <c r="C220" s="114" t="s">
        <v>1061</v>
      </c>
      <c r="D220" s="144">
        <v>0</v>
      </c>
      <c r="E220" s="308">
        <v>0</v>
      </c>
      <c r="F220" s="144">
        <v>0</v>
      </c>
      <c r="G220" s="144">
        <v>0</v>
      </c>
      <c r="H220" s="308">
        <v>0</v>
      </c>
      <c r="I220" s="464">
        <f t="shared" si="10"/>
        <v>0</v>
      </c>
    </row>
    <row r="221" spans="1:9" ht="10.5" customHeight="1" x14ac:dyDescent="0.15">
      <c r="A221" s="34"/>
      <c r="B221" s="149" t="s">
        <v>1062</v>
      </c>
      <c r="C221" s="114" t="s">
        <v>1063</v>
      </c>
      <c r="D221" s="144">
        <v>0</v>
      </c>
      <c r="E221" s="308">
        <v>0</v>
      </c>
      <c r="F221" s="144">
        <v>0</v>
      </c>
      <c r="G221" s="144">
        <v>0</v>
      </c>
      <c r="H221" s="308">
        <v>0</v>
      </c>
      <c r="I221" s="464">
        <f t="shared" si="10"/>
        <v>0</v>
      </c>
    </row>
    <row r="222" spans="1:9" ht="10.5" customHeight="1" x14ac:dyDescent="0.15">
      <c r="A222" s="34"/>
      <c r="B222" s="149" t="s">
        <v>884</v>
      </c>
      <c r="C222" s="114" t="s">
        <v>1064</v>
      </c>
      <c r="D222" s="144">
        <v>0</v>
      </c>
      <c r="E222" s="308">
        <v>0</v>
      </c>
      <c r="F222" s="144">
        <v>0</v>
      </c>
      <c r="G222" s="144">
        <v>0</v>
      </c>
      <c r="H222" s="308">
        <v>0</v>
      </c>
      <c r="I222" s="464">
        <f t="shared" si="10"/>
        <v>0</v>
      </c>
    </row>
    <row r="223" spans="1:9" ht="10.5" customHeight="1" x14ac:dyDescent="0.15">
      <c r="A223" s="34"/>
      <c r="B223" s="149" t="s">
        <v>1065</v>
      </c>
      <c r="C223" s="114" t="s">
        <v>1073</v>
      </c>
      <c r="D223" s="144">
        <v>0</v>
      </c>
      <c r="E223" s="308">
        <v>0</v>
      </c>
      <c r="F223" s="144">
        <v>0</v>
      </c>
      <c r="G223" s="144">
        <v>0</v>
      </c>
      <c r="H223" s="308">
        <v>0</v>
      </c>
      <c r="I223" s="464">
        <f t="shared" si="10"/>
        <v>0</v>
      </c>
    </row>
    <row r="224" spans="1:9" ht="10.5" customHeight="1" x14ac:dyDescent="0.15">
      <c r="A224" s="34"/>
      <c r="B224" s="149" t="s">
        <v>1066</v>
      </c>
      <c r="C224" s="114" t="s">
        <v>1125</v>
      </c>
      <c r="D224" s="144">
        <v>0</v>
      </c>
      <c r="E224" s="308">
        <v>0</v>
      </c>
      <c r="F224" s="144">
        <v>0</v>
      </c>
      <c r="G224" s="144">
        <v>0</v>
      </c>
      <c r="H224" s="308">
        <v>0</v>
      </c>
      <c r="I224" s="464">
        <f t="shared" si="10"/>
        <v>0</v>
      </c>
    </row>
    <row r="225" spans="1:9" ht="10.5" customHeight="1" x14ac:dyDescent="0.15">
      <c r="A225" s="34"/>
      <c r="B225" s="149" t="s">
        <v>1067</v>
      </c>
      <c r="C225" s="114" t="s">
        <v>1074</v>
      </c>
      <c r="D225" s="144">
        <v>0</v>
      </c>
      <c r="E225" s="308">
        <v>0</v>
      </c>
      <c r="F225" s="144">
        <v>0</v>
      </c>
      <c r="G225" s="144">
        <v>0</v>
      </c>
      <c r="H225" s="308">
        <v>0</v>
      </c>
      <c r="I225" s="464">
        <f t="shared" si="10"/>
        <v>0</v>
      </c>
    </row>
    <row r="226" spans="1:9" ht="10.5" customHeight="1" x14ac:dyDescent="0.15">
      <c r="A226" s="34"/>
      <c r="B226" s="149" t="s">
        <v>1068</v>
      </c>
      <c r="C226" s="114" t="s">
        <v>1075</v>
      </c>
      <c r="D226" s="144">
        <v>0</v>
      </c>
      <c r="E226" s="308">
        <v>0</v>
      </c>
      <c r="F226" s="144">
        <v>0</v>
      </c>
      <c r="G226" s="144">
        <v>0</v>
      </c>
      <c r="H226" s="308">
        <v>0</v>
      </c>
      <c r="I226" s="464">
        <f t="shared" si="10"/>
        <v>0</v>
      </c>
    </row>
    <row r="227" spans="1:9" ht="10.5" customHeight="1" x14ac:dyDescent="0.15">
      <c r="A227" s="34"/>
      <c r="B227" s="149" t="s">
        <v>1069</v>
      </c>
      <c r="C227" s="114" t="s">
        <v>1076</v>
      </c>
      <c r="D227" s="144">
        <v>0</v>
      </c>
      <c r="E227" s="308">
        <v>0</v>
      </c>
      <c r="F227" s="144">
        <v>0</v>
      </c>
      <c r="G227" s="144">
        <v>0</v>
      </c>
      <c r="H227" s="308">
        <v>0</v>
      </c>
      <c r="I227" s="464">
        <f t="shared" si="10"/>
        <v>0</v>
      </c>
    </row>
    <row r="228" spans="1:9" ht="10.5" customHeight="1" x14ac:dyDescent="0.15">
      <c r="A228" s="34"/>
      <c r="B228" s="149" t="s">
        <v>1070</v>
      </c>
      <c r="C228" s="114" t="s">
        <v>1126</v>
      </c>
      <c r="D228" s="144">
        <v>0</v>
      </c>
      <c r="E228" s="308">
        <v>0</v>
      </c>
      <c r="F228" s="144">
        <v>0</v>
      </c>
      <c r="G228" s="144">
        <v>0</v>
      </c>
      <c r="H228" s="308">
        <v>0</v>
      </c>
      <c r="I228" s="464">
        <f t="shared" si="10"/>
        <v>0</v>
      </c>
    </row>
    <row r="229" spans="1:9" ht="10.5" customHeight="1" x14ac:dyDescent="0.15">
      <c r="A229" s="34"/>
      <c r="B229" s="149" t="s">
        <v>1071</v>
      </c>
      <c r="C229" s="114" t="s">
        <v>1077</v>
      </c>
      <c r="D229" s="144">
        <v>0</v>
      </c>
      <c r="E229" s="308">
        <v>0</v>
      </c>
      <c r="F229" s="144">
        <v>0</v>
      </c>
      <c r="G229" s="144">
        <v>0</v>
      </c>
      <c r="H229" s="308">
        <v>0</v>
      </c>
      <c r="I229" s="464">
        <f t="shared" si="10"/>
        <v>0</v>
      </c>
    </row>
    <row r="230" spans="1:9" ht="10.5" customHeight="1" x14ac:dyDescent="0.15">
      <c r="A230" s="34"/>
      <c r="B230" s="149" t="s">
        <v>1072</v>
      </c>
      <c r="C230" s="114" t="s">
        <v>920</v>
      </c>
      <c r="D230" s="144">
        <v>0</v>
      </c>
      <c r="E230" s="308">
        <v>0</v>
      </c>
      <c r="F230" s="144">
        <v>0</v>
      </c>
      <c r="G230" s="144">
        <v>0</v>
      </c>
      <c r="H230" s="308">
        <v>0</v>
      </c>
      <c r="I230" s="464">
        <f t="shared" si="10"/>
        <v>0</v>
      </c>
    </row>
    <row r="231" spans="1:9" ht="10.5" customHeight="1" x14ac:dyDescent="0.15">
      <c r="A231" s="34"/>
      <c r="B231" s="718" t="s">
        <v>155</v>
      </c>
      <c r="C231" s="719" t="s">
        <v>178</v>
      </c>
      <c r="D231" s="144">
        <v>0</v>
      </c>
      <c r="E231" s="308">
        <v>0</v>
      </c>
      <c r="F231" s="144">
        <v>0</v>
      </c>
      <c r="G231" s="144">
        <v>0</v>
      </c>
      <c r="H231" s="308">
        <v>0</v>
      </c>
      <c r="I231" s="464">
        <f t="shared" ref="I231" si="11">SUM(G231+H231)</f>
        <v>0</v>
      </c>
    </row>
    <row r="232" spans="1:9" ht="10.5" customHeight="1" x14ac:dyDescent="0.15">
      <c r="A232" s="34"/>
      <c r="B232" s="149" t="s">
        <v>927</v>
      </c>
      <c r="C232" s="114" t="s">
        <v>959</v>
      </c>
      <c r="D232" s="144">
        <v>0</v>
      </c>
      <c r="E232" s="308">
        <v>0</v>
      </c>
      <c r="F232" s="144">
        <v>0</v>
      </c>
      <c r="G232" s="144">
        <v>0</v>
      </c>
      <c r="H232" s="308">
        <v>0</v>
      </c>
      <c r="I232" s="464">
        <f t="shared" si="10"/>
        <v>0</v>
      </c>
    </row>
    <row r="233" spans="1:9" ht="10.5" customHeight="1" x14ac:dyDescent="0.15">
      <c r="A233" s="34"/>
      <c r="B233" s="149" t="s">
        <v>928</v>
      </c>
      <c r="C233" s="114" t="s">
        <v>961</v>
      </c>
      <c r="D233" s="144">
        <v>0</v>
      </c>
      <c r="E233" s="308">
        <v>0</v>
      </c>
      <c r="F233" s="144">
        <v>0</v>
      </c>
      <c r="G233" s="144">
        <v>0</v>
      </c>
      <c r="H233" s="308">
        <v>0</v>
      </c>
      <c r="I233" s="464">
        <f t="shared" si="10"/>
        <v>0</v>
      </c>
    </row>
    <row r="234" spans="1:9" ht="10.5" customHeight="1" x14ac:dyDescent="0.15">
      <c r="A234" s="34"/>
      <c r="B234" s="149" t="s">
        <v>962</v>
      </c>
      <c r="C234" s="114" t="s">
        <v>967</v>
      </c>
      <c r="D234" s="144">
        <v>0</v>
      </c>
      <c r="E234" s="308">
        <v>0</v>
      </c>
      <c r="F234" s="144">
        <v>0</v>
      </c>
      <c r="G234" s="144">
        <v>0</v>
      </c>
      <c r="H234" s="308">
        <v>0</v>
      </c>
      <c r="I234" s="464">
        <f t="shared" si="10"/>
        <v>0</v>
      </c>
    </row>
    <row r="235" spans="1:9" ht="10.5" customHeight="1" x14ac:dyDescent="0.15">
      <c r="A235" s="34"/>
      <c r="B235" s="149" t="s">
        <v>963</v>
      </c>
      <c r="C235" s="114" t="s">
        <v>1124</v>
      </c>
      <c r="D235" s="144">
        <v>0</v>
      </c>
      <c r="E235" s="308">
        <v>0</v>
      </c>
      <c r="F235" s="144">
        <v>0</v>
      </c>
      <c r="G235" s="144">
        <v>0</v>
      </c>
      <c r="H235" s="308">
        <v>0</v>
      </c>
      <c r="I235" s="464">
        <f t="shared" si="10"/>
        <v>0</v>
      </c>
    </row>
    <row r="236" spans="1:9" ht="10.5" customHeight="1" x14ac:dyDescent="0.15">
      <c r="A236" s="34"/>
      <c r="B236" s="149" t="s">
        <v>964</v>
      </c>
      <c r="C236" s="114" t="s">
        <v>1094</v>
      </c>
      <c r="D236" s="144">
        <v>0</v>
      </c>
      <c r="E236" s="308">
        <v>0</v>
      </c>
      <c r="F236" s="144">
        <v>0</v>
      </c>
      <c r="G236" s="144">
        <v>0</v>
      </c>
      <c r="H236" s="308">
        <v>0</v>
      </c>
      <c r="I236" s="464">
        <f t="shared" si="10"/>
        <v>0</v>
      </c>
    </row>
    <row r="237" spans="1:9" ht="10.5" customHeight="1" x14ac:dyDescent="0.15">
      <c r="A237" s="34"/>
      <c r="B237" s="149" t="s">
        <v>965</v>
      </c>
      <c r="C237" s="114" t="s">
        <v>1095</v>
      </c>
      <c r="D237" s="144">
        <v>0</v>
      </c>
      <c r="E237" s="308">
        <v>0</v>
      </c>
      <c r="F237" s="144">
        <v>0</v>
      </c>
      <c r="G237" s="144">
        <v>0</v>
      </c>
      <c r="H237" s="308">
        <v>0</v>
      </c>
      <c r="I237" s="464">
        <f t="shared" si="10"/>
        <v>0</v>
      </c>
    </row>
    <row r="238" spans="1:9" ht="10.5" customHeight="1" x14ac:dyDescent="0.15">
      <c r="A238" s="34"/>
      <c r="B238" s="149" t="s">
        <v>885</v>
      </c>
      <c r="C238" s="114" t="s">
        <v>1096</v>
      </c>
      <c r="D238" s="144">
        <v>0</v>
      </c>
      <c r="E238" s="308">
        <v>0</v>
      </c>
      <c r="F238" s="144">
        <v>0</v>
      </c>
      <c r="G238" s="144">
        <v>0</v>
      </c>
      <c r="H238" s="308">
        <v>0</v>
      </c>
      <c r="I238" s="464">
        <f t="shared" si="10"/>
        <v>0</v>
      </c>
    </row>
    <row r="239" spans="1:9" ht="10.5" customHeight="1" x14ac:dyDescent="0.15">
      <c r="A239" s="34"/>
      <c r="B239" s="149" t="s">
        <v>966</v>
      </c>
      <c r="C239" s="114" t="s">
        <v>1097</v>
      </c>
      <c r="D239" s="144">
        <v>0</v>
      </c>
      <c r="E239" s="308">
        <v>0</v>
      </c>
      <c r="F239" s="144">
        <v>0</v>
      </c>
      <c r="G239" s="144">
        <v>0</v>
      </c>
      <c r="H239" s="308">
        <v>0</v>
      </c>
      <c r="I239" s="464">
        <f t="shared" si="10"/>
        <v>0</v>
      </c>
    </row>
    <row r="240" spans="1:9" ht="10.5" customHeight="1" x14ac:dyDescent="0.15">
      <c r="A240" s="34"/>
      <c r="B240" s="149" t="s">
        <v>886</v>
      </c>
      <c r="C240" s="114" t="s">
        <v>1100</v>
      </c>
      <c r="D240" s="144">
        <v>0</v>
      </c>
      <c r="E240" s="308">
        <v>0</v>
      </c>
      <c r="F240" s="144">
        <v>0</v>
      </c>
      <c r="G240" s="144">
        <v>0</v>
      </c>
      <c r="H240" s="308">
        <v>0</v>
      </c>
      <c r="I240" s="464">
        <f t="shared" si="10"/>
        <v>0</v>
      </c>
    </row>
    <row r="241" spans="1:10" ht="10.5" customHeight="1" x14ac:dyDescent="0.15">
      <c r="A241" s="34"/>
      <c r="B241" s="149" t="s">
        <v>116</v>
      </c>
      <c r="C241" s="114" t="s">
        <v>1105</v>
      </c>
      <c r="D241" s="144">
        <v>0</v>
      </c>
      <c r="E241" s="308">
        <v>0</v>
      </c>
      <c r="F241" s="144">
        <v>0</v>
      </c>
      <c r="G241" s="144">
        <v>0</v>
      </c>
      <c r="H241" s="308">
        <v>0</v>
      </c>
      <c r="I241" s="464">
        <f t="shared" si="10"/>
        <v>0</v>
      </c>
    </row>
    <row r="242" spans="1:10" ht="10.5" customHeight="1" x14ac:dyDescent="0.15">
      <c r="A242" s="34"/>
      <c r="B242" s="149" t="s">
        <v>112</v>
      </c>
      <c r="C242" s="114" t="s">
        <v>1110</v>
      </c>
      <c r="D242" s="144">
        <v>0</v>
      </c>
      <c r="E242" s="308">
        <v>0</v>
      </c>
      <c r="F242" s="144">
        <v>0</v>
      </c>
      <c r="G242" s="144">
        <v>0</v>
      </c>
      <c r="H242" s="308">
        <v>0</v>
      </c>
      <c r="I242" s="464">
        <f t="shared" si="10"/>
        <v>0</v>
      </c>
    </row>
    <row r="243" spans="1:10" ht="10.5" customHeight="1" x14ac:dyDescent="0.15">
      <c r="A243" s="34"/>
      <c r="B243" s="149" t="s">
        <v>887</v>
      </c>
      <c r="C243" s="114" t="s">
        <v>1116</v>
      </c>
      <c r="D243" s="144">
        <v>0</v>
      </c>
      <c r="E243" s="308">
        <v>0</v>
      </c>
      <c r="F243" s="144">
        <v>0</v>
      </c>
      <c r="G243" s="144">
        <v>0</v>
      </c>
      <c r="H243" s="308">
        <v>0</v>
      </c>
      <c r="I243" s="464">
        <f t="shared" si="10"/>
        <v>0</v>
      </c>
    </row>
    <row r="244" spans="1:10" ht="10.5" customHeight="1" x14ac:dyDescent="0.15">
      <c r="A244" s="34"/>
      <c r="B244" s="149" t="s">
        <v>1112</v>
      </c>
      <c r="C244" s="114" t="s">
        <v>1117</v>
      </c>
      <c r="D244" s="144">
        <v>0</v>
      </c>
      <c r="E244" s="308">
        <v>0</v>
      </c>
      <c r="F244" s="144">
        <v>0</v>
      </c>
      <c r="G244" s="144">
        <v>0</v>
      </c>
      <c r="H244" s="308">
        <v>0</v>
      </c>
      <c r="I244" s="464">
        <f t="shared" si="10"/>
        <v>0</v>
      </c>
    </row>
    <row r="245" spans="1:10" ht="10.5" customHeight="1" x14ac:dyDescent="0.15">
      <c r="A245" s="34"/>
      <c r="B245" s="149" t="s">
        <v>1113</v>
      </c>
      <c r="C245" s="114" t="s">
        <v>1118</v>
      </c>
      <c r="D245" s="144">
        <v>0</v>
      </c>
      <c r="E245" s="308">
        <v>0</v>
      </c>
      <c r="F245" s="144">
        <v>0</v>
      </c>
      <c r="G245" s="144">
        <v>0</v>
      </c>
      <c r="H245" s="308">
        <v>0</v>
      </c>
      <c r="I245" s="464">
        <f t="shared" si="10"/>
        <v>0</v>
      </c>
    </row>
    <row r="246" spans="1:10" ht="10.5" customHeight="1" x14ac:dyDescent="0.15">
      <c r="A246" s="34"/>
      <c r="B246" s="149" t="s">
        <v>1114</v>
      </c>
      <c r="C246" s="114" t="s">
        <v>1119</v>
      </c>
      <c r="D246" s="144">
        <v>0</v>
      </c>
      <c r="E246" s="308">
        <v>0</v>
      </c>
      <c r="F246" s="144">
        <v>0</v>
      </c>
      <c r="G246" s="144">
        <v>0</v>
      </c>
      <c r="H246" s="308">
        <v>0</v>
      </c>
      <c r="I246" s="464">
        <f t="shared" si="10"/>
        <v>0</v>
      </c>
    </row>
    <row r="247" spans="1:10" ht="10.5" customHeight="1" x14ac:dyDescent="0.15">
      <c r="A247" s="34"/>
      <c r="B247" s="149" t="s">
        <v>1115</v>
      </c>
      <c r="C247" s="114" t="s">
        <v>1120</v>
      </c>
      <c r="D247" s="144">
        <v>0</v>
      </c>
      <c r="E247" s="308">
        <v>0</v>
      </c>
      <c r="F247" s="144">
        <v>0</v>
      </c>
      <c r="G247" s="144">
        <v>0</v>
      </c>
      <c r="H247" s="308">
        <v>0</v>
      </c>
      <c r="I247" s="464">
        <f t="shared" si="10"/>
        <v>0</v>
      </c>
    </row>
    <row r="248" spans="1:10" ht="10.5" customHeight="1" thickBot="1" x14ac:dyDescent="0.2">
      <c r="A248" s="34"/>
      <c r="B248" s="149" t="s">
        <v>114</v>
      </c>
      <c r="C248" s="114" t="s">
        <v>1121</v>
      </c>
      <c r="D248" s="141">
        <v>0</v>
      </c>
      <c r="E248" s="309">
        <v>0</v>
      </c>
      <c r="F248" s="141">
        <v>0</v>
      </c>
      <c r="G248" s="144">
        <v>0</v>
      </c>
      <c r="H248" s="309">
        <v>0</v>
      </c>
      <c r="I248" s="501">
        <f>SUM(G248+H248)</f>
        <v>0</v>
      </c>
    </row>
    <row r="249" spans="1:10" ht="10.5" customHeight="1" thickTop="1" thickBot="1" x14ac:dyDescent="0.2">
      <c r="B249" s="149"/>
      <c r="C249" s="114" t="s">
        <v>105</v>
      </c>
      <c r="D249" s="166">
        <f>SUM(D214:D248)</f>
        <v>0</v>
      </c>
      <c r="E249" s="297">
        <f>SUM(E214:E248)</f>
        <v>0</v>
      </c>
      <c r="F249" s="166">
        <f>SUM(F214:F248)</f>
        <v>0</v>
      </c>
      <c r="G249" s="166">
        <f>SUM(G214:G248)</f>
        <v>0</v>
      </c>
      <c r="H249" s="166">
        <f>SUM(H214:H248)</f>
        <v>0</v>
      </c>
      <c r="I249" s="297">
        <f>SUM(G249+H249)</f>
        <v>0</v>
      </c>
    </row>
    <row r="250" spans="1:10" ht="10.5" customHeight="1" thickTop="1" x14ac:dyDescent="0.15">
      <c r="B250" s="149"/>
      <c r="C250" s="114"/>
      <c r="D250" s="14"/>
      <c r="E250" s="301"/>
      <c r="F250" s="14"/>
      <c r="G250" s="14"/>
      <c r="H250" s="298"/>
      <c r="I250" s="298"/>
    </row>
    <row r="251" spans="1:10" ht="10.5" customHeight="1" x14ac:dyDescent="0.15">
      <c r="A251" s="34" t="s">
        <v>106</v>
      </c>
      <c r="C251" s="114"/>
      <c r="D251" s="14"/>
      <c r="E251" s="301"/>
      <c r="F251" s="14"/>
      <c r="G251" s="14"/>
      <c r="H251" s="298"/>
      <c r="I251" s="298"/>
    </row>
    <row r="252" spans="1:10" s="302" customFormat="1" hidden="1" x14ac:dyDescent="0.15">
      <c r="B252" s="304" t="s">
        <v>880</v>
      </c>
      <c r="C252" s="305" t="s">
        <v>1164</v>
      </c>
      <c r="D252" s="308">
        <v>0</v>
      </c>
      <c r="E252" s="308">
        <v>0</v>
      </c>
      <c r="F252" s="308">
        <v>0</v>
      </c>
      <c r="G252" s="458"/>
      <c r="H252" s="457">
        <v>0</v>
      </c>
      <c r="I252" s="494">
        <f>SUM(G252+H252)</f>
        <v>0</v>
      </c>
    </row>
    <row r="253" spans="1:10" s="302" customFormat="1" x14ac:dyDescent="0.15">
      <c r="B253" s="304" t="s">
        <v>880</v>
      </c>
      <c r="C253" s="305" t="s">
        <v>337</v>
      </c>
      <c r="D253" s="308">
        <v>0</v>
      </c>
      <c r="E253" s="308">
        <v>0</v>
      </c>
      <c r="F253" s="308">
        <v>0</v>
      </c>
      <c r="G253" s="308">
        <v>0</v>
      </c>
      <c r="H253" s="457">
        <v>0</v>
      </c>
      <c r="I253" s="494">
        <f>SUM(G253+H253)</f>
        <v>0</v>
      </c>
    </row>
    <row r="254" spans="1:10" s="302" customFormat="1" hidden="1" x14ac:dyDescent="0.15">
      <c r="A254" s="305"/>
      <c r="B254" s="304" t="s">
        <v>881</v>
      </c>
      <c r="C254" s="305" t="s">
        <v>382</v>
      </c>
      <c r="D254" s="308">
        <v>0</v>
      </c>
      <c r="E254" s="308">
        <v>0</v>
      </c>
      <c r="F254" s="308">
        <v>0</v>
      </c>
      <c r="G254" s="459"/>
      <c r="H254" s="457">
        <v>0</v>
      </c>
      <c r="I254" s="494">
        <f>SUM(G254+H254)</f>
        <v>0</v>
      </c>
    </row>
    <row r="255" spans="1:10" x14ac:dyDescent="0.15">
      <c r="A255" s="114"/>
      <c r="B255" s="149" t="s">
        <v>881</v>
      </c>
      <c r="C255" s="114" t="s">
        <v>338</v>
      </c>
      <c r="D255" s="144">
        <v>0</v>
      </c>
      <c r="E255" s="308">
        <v>0</v>
      </c>
      <c r="F255" s="144">
        <v>0</v>
      </c>
      <c r="G255" s="144">
        <v>0</v>
      </c>
      <c r="H255" s="147">
        <v>0</v>
      </c>
      <c r="I255" s="495">
        <f>SUM(G255+H255)</f>
        <v>0</v>
      </c>
      <c r="J255" s="302"/>
    </row>
    <row r="256" spans="1:10" ht="10.5" customHeight="1" x14ac:dyDescent="0.15">
      <c r="A256" s="34"/>
      <c r="B256" s="149" t="s">
        <v>882</v>
      </c>
      <c r="C256" s="114" t="s">
        <v>1058</v>
      </c>
      <c r="D256" s="144">
        <v>0</v>
      </c>
      <c r="E256" s="308">
        <v>0</v>
      </c>
      <c r="F256" s="144">
        <v>0</v>
      </c>
      <c r="G256" s="144">
        <v>0</v>
      </c>
      <c r="H256" s="308">
        <v>0</v>
      </c>
      <c r="I256" s="464">
        <f t="shared" ref="I256:I279" si="12">SUM(G256+H256)</f>
        <v>0</v>
      </c>
    </row>
    <row r="257" spans="1:9" ht="10.5" customHeight="1" x14ac:dyDescent="0.15">
      <c r="A257" s="34"/>
      <c r="B257" s="149" t="s">
        <v>883</v>
      </c>
      <c r="C257" s="114" t="s">
        <v>1059</v>
      </c>
      <c r="D257" s="144">
        <v>0</v>
      </c>
      <c r="E257" s="308">
        <v>0</v>
      </c>
      <c r="F257" s="144">
        <v>0</v>
      </c>
      <c r="G257" s="144">
        <v>0</v>
      </c>
      <c r="H257" s="308">
        <v>0</v>
      </c>
      <c r="I257" s="464">
        <f t="shared" si="12"/>
        <v>0</v>
      </c>
    </row>
    <row r="258" spans="1:9" ht="10.5" customHeight="1" x14ac:dyDescent="0.15">
      <c r="A258" s="34"/>
      <c r="B258" s="149" t="s">
        <v>1060</v>
      </c>
      <c r="C258" s="114" t="s">
        <v>1061</v>
      </c>
      <c r="D258" s="144">
        <v>0</v>
      </c>
      <c r="E258" s="308">
        <v>0</v>
      </c>
      <c r="F258" s="144">
        <v>0</v>
      </c>
      <c r="G258" s="144">
        <v>0</v>
      </c>
      <c r="H258" s="308">
        <v>0</v>
      </c>
      <c r="I258" s="464">
        <f t="shared" si="12"/>
        <v>0</v>
      </c>
    </row>
    <row r="259" spans="1:9" ht="10.5" customHeight="1" x14ac:dyDescent="0.15">
      <c r="A259" s="34"/>
      <c r="B259" s="149" t="s">
        <v>1062</v>
      </c>
      <c r="C259" s="114" t="s">
        <v>1063</v>
      </c>
      <c r="D259" s="144">
        <v>0</v>
      </c>
      <c r="E259" s="308">
        <v>0</v>
      </c>
      <c r="F259" s="144">
        <v>0</v>
      </c>
      <c r="G259" s="144">
        <v>0</v>
      </c>
      <c r="H259" s="308">
        <v>0</v>
      </c>
      <c r="I259" s="464">
        <f t="shared" si="12"/>
        <v>0</v>
      </c>
    </row>
    <row r="260" spans="1:9" ht="10.5" customHeight="1" x14ac:dyDescent="0.15">
      <c r="A260" s="34"/>
      <c r="B260" s="149" t="s">
        <v>884</v>
      </c>
      <c r="C260" s="114" t="s">
        <v>1064</v>
      </c>
      <c r="D260" s="144">
        <v>0</v>
      </c>
      <c r="E260" s="308">
        <v>0</v>
      </c>
      <c r="F260" s="144">
        <v>0</v>
      </c>
      <c r="G260" s="144">
        <v>0</v>
      </c>
      <c r="H260" s="308">
        <v>0</v>
      </c>
      <c r="I260" s="464">
        <f t="shared" si="12"/>
        <v>0</v>
      </c>
    </row>
    <row r="261" spans="1:9" ht="10.5" customHeight="1" x14ac:dyDescent="0.15">
      <c r="A261" s="34"/>
      <c r="B261" s="718" t="s">
        <v>155</v>
      </c>
      <c r="C261" s="719" t="s">
        <v>178</v>
      </c>
      <c r="D261" s="144">
        <v>0</v>
      </c>
      <c r="E261" s="308">
        <v>0</v>
      </c>
      <c r="F261" s="144">
        <v>0</v>
      </c>
      <c r="G261" s="144">
        <v>0</v>
      </c>
      <c r="H261" s="308">
        <v>0</v>
      </c>
      <c r="I261" s="464">
        <f t="shared" ref="I261" si="13">SUM(G261+H261)</f>
        <v>0</v>
      </c>
    </row>
    <row r="262" spans="1:9" ht="10.5" customHeight="1" x14ac:dyDescent="0.15">
      <c r="A262" s="34"/>
      <c r="B262" s="149" t="s">
        <v>927</v>
      </c>
      <c r="C262" s="114" t="s">
        <v>959</v>
      </c>
      <c r="D262" s="144">
        <v>0</v>
      </c>
      <c r="E262" s="308">
        <v>0</v>
      </c>
      <c r="F262" s="144">
        <v>0</v>
      </c>
      <c r="G262" s="144">
        <v>0</v>
      </c>
      <c r="H262" s="308">
        <v>0</v>
      </c>
      <c r="I262" s="464">
        <f t="shared" si="12"/>
        <v>0</v>
      </c>
    </row>
    <row r="263" spans="1:9" ht="10.5" customHeight="1" x14ac:dyDescent="0.15">
      <c r="A263" s="34"/>
      <c r="B263" s="149" t="s">
        <v>928</v>
      </c>
      <c r="C263" s="114" t="s">
        <v>961</v>
      </c>
      <c r="D263" s="144">
        <v>0</v>
      </c>
      <c r="E263" s="308">
        <v>0</v>
      </c>
      <c r="F263" s="144">
        <v>0</v>
      </c>
      <c r="G263" s="144">
        <v>0</v>
      </c>
      <c r="H263" s="308">
        <v>0</v>
      </c>
      <c r="I263" s="464">
        <f t="shared" si="12"/>
        <v>0</v>
      </c>
    </row>
    <row r="264" spans="1:9" ht="10.5" customHeight="1" x14ac:dyDescent="0.15">
      <c r="A264" s="34"/>
      <c r="B264" s="149" t="s">
        <v>962</v>
      </c>
      <c r="C264" s="114" t="s">
        <v>967</v>
      </c>
      <c r="D264" s="144">
        <v>0</v>
      </c>
      <c r="E264" s="308">
        <v>0</v>
      </c>
      <c r="F264" s="144">
        <v>0</v>
      </c>
      <c r="G264" s="144">
        <v>0</v>
      </c>
      <c r="H264" s="308">
        <v>0</v>
      </c>
      <c r="I264" s="464">
        <f t="shared" si="12"/>
        <v>0</v>
      </c>
    </row>
    <row r="265" spans="1:9" ht="10.5" customHeight="1" x14ac:dyDescent="0.15">
      <c r="A265" s="34"/>
      <c r="B265" s="149" t="s">
        <v>963</v>
      </c>
      <c r="C265" s="114" t="s">
        <v>1124</v>
      </c>
      <c r="D265" s="144">
        <v>0</v>
      </c>
      <c r="E265" s="308">
        <v>0</v>
      </c>
      <c r="F265" s="144">
        <v>0</v>
      </c>
      <c r="G265" s="144">
        <v>0</v>
      </c>
      <c r="H265" s="308">
        <v>0</v>
      </c>
      <c r="I265" s="464">
        <f t="shared" si="12"/>
        <v>0</v>
      </c>
    </row>
    <row r="266" spans="1:9" ht="10.5" customHeight="1" x14ac:dyDescent="0.15">
      <c r="A266" s="34"/>
      <c r="B266" s="149" t="s">
        <v>964</v>
      </c>
      <c r="C266" s="114" t="s">
        <v>1094</v>
      </c>
      <c r="D266" s="144">
        <v>0</v>
      </c>
      <c r="E266" s="308">
        <v>0</v>
      </c>
      <c r="F266" s="144">
        <v>0</v>
      </c>
      <c r="G266" s="144">
        <v>0</v>
      </c>
      <c r="H266" s="308">
        <v>0</v>
      </c>
      <c r="I266" s="464">
        <f t="shared" si="12"/>
        <v>0</v>
      </c>
    </row>
    <row r="267" spans="1:9" ht="10.5" customHeight="1" x14ac:dyDescent="0.15">
      <c r="A267" s="34"/>
      <c r="B267" s="149" t="s">
        <v>965</v>
      </c>
      <c r="C267" s="114" t="s">
        <v>1095</v>
      </c>
      <c r="D267" s="144">
        <v>0</v>
      </c>
      <c r="E267" s="308">
        <v>0</v>
      </c>
      <c r="F267" s="144">
        <v>0</v>
      </c>
      <c r="G267" s="144">
        <v>0</v>
      </c>
      <c r="H267" s="308">
        <v>0</v>
      </c>
      <c r="I267" s="464">
        <f t="shared" si="12"/>
        <v>0</v>
      </c>
    </row>
    <row r="268" spans="1:9" ht="10.5" customHeight="1" x14ac:dyDescent="0.15">
      <c r="A268" s="34"/>
      <c r="B268" s="149" t="s">
        <v>1239</v>
      </c>
      <c r="C268" s="114" t="s">
        <v>1352</v>
      </c>
      <c r="D268" s="144">
        <v>0</v>
      </c>
      <c r="E268" s="308">
        <v>0</v>
      </c>
      <c r="F268" s="144">
        <v>0</v>
      </c>
      <c r="G268" s="144">
        <v>0</v>
      </c>
      <c r="H268" s="308">
        <v>0</v>
      </c>
      <c r="I268" s="464">
        <f t="shared" si="12"/>
        <v>0</v>
      </c>
    </row>
    <row r="269" spans="1:9" ht="10.5" customHeight="1" x14ac:dyDescent="0.15">
      <c r="A269" s="34"/>
      <c r="B269" s="149" t="s">
        <v>885</v>
      </c>
      <c r="C269" s="114" t="s">
        <v>1096</v>
      </c>
      <c r="D269" s="144">
        <v>0</v>
      </c>
      <c r="E269" s="308">
        <v>0</v>
      </c>
      <c r="F269" s="144">
        <v>0</v>
      </c>
      <c r="G269" s="144">
        <v>0</v>
      </c>
      <c r="H269" s="308">
        <v>0</v>
      </c>
      <c r="I269" s="464">
        <f t="shared" si="12"/>
        <v>0</v>
      </c>
    </row>
    <row r="270" spans="1:9" ht="10.5" customHeight="1" x14ac:dyDescent="0.15">
      <c r="A270" s="34"/>
      <c r="B270" s="149" t="s">
        <v>966</v>
      </c>
      <c r="C270" s="114" t="s">
        <v>1097</v>
      </c>
      <c r="D270" s="144">
        <v>0</v>
      </c>
      <c r="E270" s="308">
        <v>0</v>
      </c>
      <c r="F270" s="144">
        <v>0</v>
      </c>
      <c r="G270" s="144">
        <v>0</v>
      </c>
      <c r="H270" s="308">
        <v>0</v>
      </c>
      <c r="I270" s="464">
        <f t="shared" si="12"/>
        <v>0</v>
      </c>
    </row>
    <row r="271" spans="1:9" ht="10.5" customHeight="1" x14ac:dyDescent="0.15">
      <c r="A271" s="34"/>
      <c r="B271" s="149" t="s">
        <v>886</v>
      </c>
      <c r="C271" s="114" t="s">
        <v>1100</v>
      </c>
      <c r="D271" s="144">
        <v>0</v>
      </c>
      <c r="E271" s="308">
        <v>0</v>
      </c>
      <c r="F271" s="144">
        <v>0</v>
      </c>
      <c r="G271" s="144">
        <v>0</v>
      </c>
      <c r="H271" s="308">
        <v>0</v>
      </c>
      <c r="I271" s="464">
        <f t="shared" si="12"/>
        <v>0</v>
      </c>
    </row>
    <row r="272" spans="1:9" ht="10.5" customHeight="1" x14ac:dyDescent="0.15">
      <c r="A272" s="34"/>
      <c r="B272" s="149" t="s">
        <v>116</v>
      </c>
      <c r="C272" s="114" t="s">
        <v>1105</v>
      </c>
      <c r="D272" s="144">
        <v>0</v>
      </c>
      <c r="E272" s="308">
        <v>0</v>
      </c>
      <c r="F272" s="144">
        <v>0</v>
      </c>
      <c r="G272" s="144">
        <v>0</v>
      </c>
      <c r="H272" s="308">
        <v>0</v>
      </c>
      <c r="I272" s="464">
        <f t="shared" si="12"/>
        <v>0</v>
      </c>
    </row>
    <row r="273" spans="1:10" ht="10.5" customHeight="1" x14ac:dyDescent="0.15">
      <c r="A273" s="34"/>
      <c r="B273" s="149" t="s">
        <v>112</v>
      </c>
      <c r="C273" s="114" t="s">
        <v>1110</v>
      </c>
      <c r="D273" s="144">
        <v>0</v>
      </c>
      <c r="E273" s="308">
        <v>0</v>
      </c>
      <c r="F273" s="144">
        <v>0</v>
      </c>
      <c r="G273" s="144">
        <v>0</v>
      </c>
      <c r="H273" s="308">
        <v>0</v>
      </c>
      <c r="I273" s="464">
        <f t="shared" si="12"/>
        <v>0</v>
      </c>
    </row>
    <row r="274" spans="1:10" ht="10.5" customHeight="1" x14ac:dyDescent="0.15">
      <c r="A274" s="34"/>
      <c r="B274" s="149" t="s">
        <v>887</v>
      </c>
      <c r="C274" s="114" t="s">
        <v>1116</v>
      </c>
      <c r="D274" s="144">
        <v>0</v>
      </c>
      <c r="E274" s="308">
        <v>0</v>
      </c>
      <c r="F274" s="144">
        <v>0</v>
      </c>
      <c r="G274" s="144">
        <v>0</v>
      </c>
      <c r="H274" s="308">
        <v>0</v>
      </c>
      <c r="I274" s="464">
        <f t="shared" si="12"/>
        <v>0</v>
      </c>
    </row>
    <row r="275" spans="1:10" ht="10.5" customHeight="1" x14ac:dyDescent="0.15">
      <c r="A275" s="34"/>
      <c r="B275" s="149" t="s">
        <v>1112</v>
      </c>
      <c r="C275" s="114" t="s">
        <v>1117</v>
      </c>
      <c r="D275" s="144">
        <v>0</v>
      </c>
      <c r="E275" s="308">
        <v>0</v>
      </c>
      <c r="F275" s="144">
        <v>0</v>
      </c>
      <c r="G275" s="144">
        <v>0</v>
      </c>
      <c r="H275" s="308">
        <v>0</v>
      </c>
      <c r="I275" s="464">
        <f t="shared" si="12"/>
        <v>0</v>
      </c>
    </row>
    <row r="276" spans="1:10" ht="10.5" customHeight="1" x14ac:dyDescent="0.15">
      <c r="A276" s="34"/>
      <c r="B276" s="149" t="s">
        <v>1113</v>
      </c>
      <c r="C276" s="114" t="s">
        <v>1118</v>
      </c>
      <c r="D276" s="144">
        <v>0</v>
      </c>
      <c r="E276" s="308">
        <v>0</v>
      </c>
      <c r="F276" s="144">
        <v>0</v>
      </c>
      <c r="G276" s="144">
        <v>0</v>
      </c>
      <c r="H276" s="308">
        <v>0</v>
      </c>
      <c r="I276" s="464">
        <f t="shared" si="12"/>
        <v>0</v>
      </c>
    </row>
    <row r="277" spans="1:10" ht="10.5" customHeight="1" x14ac:dyDescent="0.15">
      <c r="A277" s="34"/>
      <c r="B277" s="149" t="s">
        <v>1114</v>
      </c>
      <c r="C277" s="114" t="s">
        <v>1119</v>
      </c>
      <c r="D277" s="144">
        <v>0</v>
      </c>
      <c r="E277" s="308">
        <v>0</v>
      </c>
      <c r="F277" s="144">
        <v>0</v>
      </c>
      <c r="G277" s="144">
        <v>0</v>
      </c>
      <c r="H277" s="308">
        <v>0</v>
      </c>
      <c r="I277" s="464">
        <f t="shared" si="12"/>
        <v>0</v>
      </c>
    </row>
    <row r="278" spans="1:10" ht="10.5" customHeight="1" x14ac:dyDescent="0.15">
      <c r="A278" s="34"/>
      <c r="B278" s="149" t="s">
        <v>1115</v>
      </c>
      <c r="C278" s="114" t="s">
        <v>1120</v>
      </c>
      <c r="D278" s="144">
        <v>0</v>
      </c>
      <c r="E278" s="308">
        <v>0</v>
      </c>
      <c r="F278" s="144">
        <v>0</v>
      </c>
      <c r="G278" s="144">
        <v>0</v>
      </c>
      <c r="H278" s="308">
        <v>0</v>
      </c>
      <c r="I278" s="464">
        <f t="shared" si="12"/>
        <v>0</v>
      </c>
    </row>
    <row r="279" spans="1:10" ht="10.5" customHeight="1" thickBot="1" x14ac:dyDescent="0.2">
      <c r="A279" s="34"/>
      <c r="B279" s="149" t="s">
        <v>114</v>
      </c>
      <c r="C279" s="114" t="s">
        <v>1121</v>
      </c>
      <c r="D279" s="141">
        <v>0</v>
      </c>
      <c r="E279" s="309">
        <v>0</v>
      </c>
      <c r="F279" s="141">
        <v>0</v>
      </c>
      <c r="G279" s="144">
        <v>0</v>
      </c>
      <c r="H279" s="310">
        <v>0</v>
      </c>
      <c r="I279" s="502">
        <f t="shared" si="12"/>
        <v>0</v>
      </c>
    </row>
    <row r="280" spans="1:10" ht="10.5" customHeight="1" thickTop="1" thickBot="1" x14ac:dyDescent="0.2">
      <c r="A280" s="34"/>
      <c r="B280" s="149"/>
      <c r="C280" s="114" t="s">
        <v>107</v>
      </c>
      <c r="D280" s="166">
        <f>SUM(D252:D279)</f>
        <v>0</v>
      </c>
      <c r="E280" s="297">
        <f>SUM(E252:E279)</f>
        <v>0</v>
      </c>
      <c r="F280" s="166">
        <f>SUM(F252:F279)</f>
        <v>0</v>
      </c>
      <c r="G280" s="166">
        <f>SUM(G252:G279)</f>
        <v>0</v>
      </c>
      <c r="H280" s="166">
        <f>SUM(H252:H279)</f>
        <v>0</v>
      </c>
      <c r="I280" s="297">
        <f>G280+H280</f>
        <v>0</v>
      </c>
    </row>
    <row r="281" spans="1:10" ht="10.5" customHeight="1" thickTop="1" x14ac:dyDescent="0.15">
      <c r="A281" s="34"/>
      <c r="B281" s="149"/>
      <c r="C281" s="114"/>
      <c r="D281" s="14"/>
      <c r="E281" s="301"/>
      <c r="F281" s="14"/>
      <c r="G281" s="14"/>
      <c r="H281" s="311"/>
      <c r="I281" s="499"/>
    </row>
    <row r="282" spans="1:10" ht="10.5" customHeight="1" x14ac:dyDescent="0.15">
      <c r="A282" s="34" t="s">
        <v>1589</v>
      </c>
      <c r="C282" s="114"/>
      <c r="D282" s="14"/>
      <c r="E282" s="301"/>
      <c r="F282" s="14"/>
      <c r="G282" s="14"/>
      <c r="H282" s="298"/>
      <c r="I282" s="298"/>
    </row>
    <row r="283" spans="1:10" s="302" customFormat="1" hidden="1" x14ac:dyDescent="0.15">
      <c r="B283" s="304" t="s">
        <v>880</v>
      </c>
      <c r="C283" s="305" t="s">
        <v>1164</v>
      </c>
      <c r="D283" s="308">
        <v>0</v>
      </c>
      <c r="E283" s="308">
        <v>0</v>
      </c>
      <c r="F283" s="308">
        <v>0</v>
      </c>
      <c r="G283" s="458"/>
      <c r="H283" s="457">
        <v>0</v>
      </c>
      <c r="I283" s="494">
        <f>SUM(G283+H283)</f>
        <v>0</v>
      </c>
    </row>
    <row r="284" spans="1:10" s="302" customFormat="1" x14ac:dyDescent="0.15">
      <c r="B284" s="304" t="s">
        <v>880</v>
      </c>
      <c r="C284" s="305" t="s">
        <v>337</v>
      </c>
      <c r="D284" s="308">
        <v>0</v>
      </c>
      <c r="E284" s="308">
        <v>0</v>
      </c>
      <c r="F284" s="308">
        <v>0</v>
      </c>
      <c r="G284" s="308">
        <v>0</v>
      </c>
      <c r="H284" s="457">
        <v>0</v>
      </c>
      <c r="I284" s="494">
        <f>SUM(G284+H284)</f>
        <v>0</v>
      </c>
    </row>
    <row r="285" spans="1:10" s="302" customFormat="1" hidden="1" x14ac:dyDescent="0.15">
      <c r="A285" s="305"/>
      <c r="B285" s="304" t="s">
        <v>881</v>
      </c>
      <c r="C285" s="305" t="s">
        <v>382</v>
      </c>
      <c r="D285" s="308">
        <v>0</v>
      </c>
      <c r="E285" s="308">
        <v>0</v>
      </c>
      <c r="F285" s="308">
        <v>0</v>
      </c>
      <c r="G285" s="459"/>
      <c r="H285" s="457">
        <v>0</v>
      </c>
      <c r="I285" s="494">
        <f>SUM(G285+H285)</f>
        <v>0</v>
      </c>
    </row>
    <row r="286" spans="1:10" x14ac:dyDescent="0.15">
      <c r="A286" s="114"/>
      <c r="B286" s="149" t="s">
        <v>881</v>
      </c>
      <c r="C286" s="114" t="s">
        <v>338</v>
      </c>
      <c r="D286" s="144">
        <v>0</v>
      </c>
      <c r="E286" s="308">
        <v>0</v>
      </c>
      <c r="F286" s="144">
        <v>0</v>
      </c>
      <c r="G286" s="144">
        <v>0</v>
      </c>
      <c r="H286" s="147">
        <v>0</v>
      </c>
      <c r="I286" s="495">
        <f>SUM(G286+H286)</f>
        <v>0</v>
      </c>
      <c r="J286" s="302"/>
    </row>
    <row r="287" spans="1:10" ht="10.5" customHeight="1" x14ac:dyDescent="0.15">
      <c r="A287" s="34"/>
      <c r="B287" s="149" t="s">
        <v>882</v>
      </c>
      <c r="C287" s="114" t="s">
        <v>1058</v>
      </c>
      <c r="D287" s="144">
        <v>0</v>
      </c>
      <c r="E287" s="308">
        <v>0</v>
      </c>
      <c r="F287" s="144">
        <v>0</v>
      </c>
      <c r="G287" s="144">
        <v>0</v>
      </c>
      <c r="H287" s="308">
        <v>0</v>
      </c>
      <c r="I287" s="464">
        <f t="shared" ref="I287:I310" si="14">SUM(G287+H287)</f>
        <v>0</v>
      </c>
    </row>
    <row r="288" spans="1:10" ht="10.5" customHeight="1" x14ac:dyDescent="0.15">
      <c r="A288" s="34"/>
      <c r="B288" s="149" t="s">
        <v>883</v>
      </c>
      <c r="C288" s="114" t="s">
        <v>1059</v>
      </c>
      <c r="D288" s="144">
        <v>0</v>
      </c>
      <c r="E288" s="308">
        <v>0</v>
      </c>
      <c r="F288" s="144">
        <v>0</v>
      </c>
      <c r="G288" s="144">
        <v>0</v>
      </c>
      <c r="H288" s="308">
        <v>0</v>
      </c>
      <c r="I288" s="464">
        <f t="shared" si="14"/>
        <v>0</v>
      </c>
    </row>
    <row r="289" spans="1:9" ht="10.5" customHeight="1" x14ac:dyDescent="0.15">
      <c r="A289" s="34"/>
      <c r="B289" s="149" t="s">
        <v>1060</v>
      </c>
      <c r="C289" s="114" t="s">
        <v>1061</v>
      </c>
      <c r="D289" s="144">
        <v>0</v>
      </c>
      <c r="E289" s="308">
        <v>0</v>
      </c>
      <c r="F289" s="144">
        <v>0</v>
      </c>
      <c r="G289" s="144">
        <v>0</v>
      </c>
      <c r="H289" s="308">
        <v>0</v>
      </c>
      <c r="I289" s="464">
        <f t="shared" si="14"/>
        <v>0</v>
      </c>
    </row>
    <row r="290" spans="1:9" ht="10.5" customHeight="1" x14ac:dyDescent="0.15">
      <c r="A290" s="34"/>
      <c r="B290" s="149" t="s">
        <v>1062</v>
      </c>
      <c r="C290" s="114" t="s">
        <v>1063</v>
      </c>
      <c r="D290" s="144">
        <v>0</v>
      </c>
      <c r="E290" s="308">
        <v>0</v>
      </c>
      <c r="F290" s="144">
        <v>0</v>
      </c>
      <c r="G290" s="144">
        <v>0</v>
      </c>
      <c r="H290" s="308">
        <v>0</v>
      </c>
      <c r="I290" s="464">
        <f t="shared" si="14"/>
        <v>0</v>
      </c>
    </row>
    <row r="291" spans="1:9" ht="10.5" customHeight="1" x14ac:dyDescent="0.15">
      <c r="A291" s="34"/>
      <c r="B291" s="149" t="s">
        <v>884</v>
      </c>
      <c r="C291" s="114" t="s">
        <v>1064</v>
      </c>
      <c r="D291" s="144">
        <v>0</v>
      </c>
      <c r="E291" s="308">
        <v>0</v>
      </c>
      <c r="F291" s="144">
        <v>0</v>
      </c>
      <c r="G291" s="144">
        <v>0</v>
      </c>
      <c r="H291" s="308">
        <v>0</v>
      </c>
      <c r="I291" s="464">
        <f t="shared" si="14"/>
        <v>0</v>
      </c>
    </row>
    <row r="292" spans="1:9" ht="10.5" customHeight="1" x14ac:dyDescent="0.15">
      <c r="A292" s="34"/>
      <c r="B292" s="718" t="s">
        <v>155</v>
      </c>
      <c r="C292" s="719" t="s">
        <v>178</v>
      </c>
      <c r="D292" s="144">
        <v>0</v>
      </c>
      <c r="E292" s="308">
        <v>0</v>
      </c>
      <c r="F292" s="144">
        <v>0</v>
      </c>
      <c r="G292" s="144">
        <v>0</v>
      </c>
      <c r="H292" s="308">
        <v>0</v>
      </c>
      <c r="I292" s="464">
        <f t="shared" si="14"/>
        <v>0</v>
      </c>
    </row>
    <row r="293" spans="1:9" ht="10.5" customHeight="1" x14ac:dyDescent="0.15">
      <c r="A293" s="34"/>
      <c r="B293" s="149" t="s">
        <v>927</v>
      </c>
      <c r="C293" s="114" t="s">
        <v>959</v>
      </c>
      <c r="D293" s="144">
        <v>0</v>
      </c>
      <c r="E293" s="308">
        <v>0</v>
      </c>
      <c r="F293" s="144">
        <v>0</v>
      </c>
      <c r="G293" s="144">
        <v>0</v>
      </c>
      <c r="H293" s="308">
        <v>0</v>
      </c>
      <c r="I293" s="464">
        <f t="shared" si="14"/>
        <v>0</v>
      </c>
    </row>
    <row r="294" spans="1:9" ht="10.5" customHeight="1" x14ac:dyDescent="0.15">
      <c r="A294" s="34"/>
      <c r="B294" s="149" t="s">
        <v>928</v>
      </c>
      <c r="C294" s="114" t="s">
        <v>961</v>
      </c>
      <c r="D294" s="144">
        <v>0</v>
      </c>
      <c r="E294" s="308">
        <v>0</v>
      </c>
      <c r="F294" s="144">
        <v>0</v>
      </c>
      <c r="G294" s="144">
        <v>0</v>
      </c>
      <c r="H294" s="308">
        <v>0</v>
      </c>
      <c r="I294" s="464">
        <f t="shared" si="14"/>
        <v>0</v>
      </c>
    </row>
    <row r="295" spans="1:9" ht="10.5" customHeight="1" x14ac:dyDescent="0.15">
      <c r="A295" s="34"/>
      <c r="B295" s="149" t="s">
        <v>962</v>
      </c>
      <c r="C295" s="114" t="s">
        <v>967</v>
      </c>
      <c r="D295" s="144">
        <v>0</v>
      </c>
      <c r="E295" s="308">
        <v>0</v>
      </c>
      <c r="F295" s="144">
        <v>0</v>
      </c>
      <c r="G295" s="144">
        <v>0</v>
      </c>
      <c r="H295" s="308">
        <v>0</v>
      </c>
      <c r="I295" s="464">
        <f t="shared" si="14"/>
        <v>0</v>
      </c>
    </row>
    <row r="296" spans="1:9" ht="10.5" customHeight="1" x14ac:dyDescent="0.15">
      <c r="A296" s="34"/>
      <c r="B296" s="149" t="s">
        <v>963</v>
      </c>
      <c r="C296" s="114" t="s">
        <v>1124</v>
      </c>
      <c r="D296" s="144">
        <v>0</v>
      </c>
      <c r="E296" s="308">
        <v>0</v>
      </c>
      <c r="F296" s="144">
        <v>0</v>
      </c>
      <c r="G296" s="144">
        <v>0</v>
      </c>
      <c r="H296" s="308">
        <v>0</v>
      </c>
      <c r="I296" s="464">
        <f t="shared" si="14"/>
        <v>0</v>
      </c>
    </row>
    <row r="297" spans="1:9" ht="10.5" customHeight="1" x14ac:dyDescent="0.15">
      <c r="A297" s="34"/>
      <c r="B297" s="149" t="s">
        <v>964</v>
      </c>
      <c r="C297" s="114" t="s">
        <v>1094</v>
      </c>
      <c r="D297" s="144">
        <v>0</v>
      </c>
      <c r="E297" s="308">
        <v>0</v>
      </c>
      <c r="F297" s="144">
        <v>0</v>
      </c>
      <c r="G297" s="144">
        <v>0</v>
      </c>
      <c r="H297" s="308">
        <v>0</v>
      </c>
      <c r="I297" s="464">
        <f t="shared" si="14"/>
        <v>0</v>
      </c>
    </row>
    <row r="298" spans="1:9" ht="10.5" customHeight="1" x14ac:dyDescent="0.15">
      <c r="A298" s="34"/>
      <c r="B298" s="149" t="s">
        <v>965</v>
      </c>
      <c r="C298" s="114" t="s">
        <v>1095</v>
      </c>
      <c r="D298" s="144">
        <v>0</v>
      </c>
      <c r="E298" s="308">
        <v>0</v>
      </c>
      <c r="F298" s="144">
        <v>0</v>
      </c>
      <c r="G298" s="144">
        <v>0</v>
      </c>
      <c r="H298" s="308">
        <v>0</v>
      </c>
      <c r="I298" s="464">
        <f t="shared" si="14"/>
        <v>0</v>
      </c>
    </row>
    <row r="299" spans="1:9" ht="10.5" customHeight="1" x14ac:dyDescent="0.15">
      <c r="A299" s="34"/>
      <c r="B299" s="149" t="s">
        <v>1239</v>
      </c>
      <c r="C299" s="114" t="s">
        <v>1352</v>
      </c>
      <c r="D299" s="144">
        <v>0</v>
      </c>
      <c r="E299" s="308">
        <v>0</v>
      </c>
      <c r="F299" s="144">
        <v>0</v>
      </c>
      <c r="G299" s="144">
        <v>0</v>
      </c>
      <c r="H299" s="308">
        <v>0</v>
      </c>
      <c r="I299" s="464">
        <f t="shared" si="14"/>
        <v>0</v>
      </c>
    </row>
    <row r="300" spans="1:9" ht="10.5" customHeight="1" x14ac:dyDescent="0.15">
      <c r="A300" s="34"/>
      <c r="B300" s="149" t="s">
        <v>885</v>
      </c>
      <c r="C300" s="114" t="s">
        <v>1096</v>
      </c>
      <c r="D300" s="144">
        <v>0</v>
      </c>
      <c r="E300" s="308">
        <v>0</v>
      </c>
      <c r="F300" s="144">
        <v>0</v>
      </c>
      <c r="G300" s="144">
        <v>0</v>
      </c>
      <c r="H300" s="308">
        <v>0</v>
      </c>
      <c r="I300" s="464">
        <f t="shared" si="14"/>
        <v>0</v>
      </c>
    </row>
    <row r="301" spans="1:9" ht="10.5" customHeight="1" x14ac:dyDescent="0.15">
      <c r="A301" s="34"/>
      <c r="B301" s="149" t="s">
        <v>966</v>
      </c>
      <c r="C301" s="114" t="s">
        <v>1097</v>
      </c>
      <c r="D301" s="144">
        <v>0</v>
      </c>
      <c r="E301" s="308">
        <v>0</v>
      </c>
      <c r="F301" s="144">
        <v>0</v>
      </c>
      <c r="G301" s="144">
        <v>0</v>
      </c>
      <c r="H301" s="308">
        <v>0</v>
      </c>
      <c r="I301" s="464">
        <f t="shared" si="14"/>
        <v>0</v>
      </c>
    </row>
    <row r="302" spans="1:9" ht="10.5" customHeight="1" x14ac:dyDescent="0.15">
      <c r="A302" s="34"/>
      <c r="B302" s="149" t="s">
        <v>886</v>
      </c>
      <c r="C302" s="114" t="s">
        <v>1100</v>
      </c>
      <c r="D302" s="144">
        <v>0</v>
      </c>
      <c r="E302" s="308">
        <v>0</v>
      </c>
      <c r="F302" s="144">
        <v>0</v>
      </c>
      <c r="G302" s="144">
        <v>0</v>
      </c>
      <c r="H302" s="308">
        <v>0</v>
      </c>
      <c r="I302" s="464">
        <f t="shared" si="14"/>
        <v>0</v>
      </c>
    </row>
    <row r="303" spans="1:9" ht="10.5" customHeight="1" x14ac:dyDescent="0.15">
      <c r="A303" s="34"/>
      <c r="B303" s="149" t="s">
        <v>116</v>
      </c>
      <c r="C303" s="114" t="s">
        <v>1105</v>
      </c>
      <c r="D303" s="144">
        <v>0</v>
      </c>
      <c r="E303" s="308">
        <v>0</v>
      </c>
      <c r="F303" s="144">
        <v>0</v>
      </c>
      <c r="G303" s="144">
        <v>0</v>
      </c>
      <c r="H303" s="308">
        <v>0</v>
      </c>
      <c r="I303" s="464">
        <f t="shared" si="14"/>
        <v>0</v>
      </c>
    </row>
    <row r="304" spans="1:9" ht="10.5" customHeight="1" x14ac:dyDescent="0.15">
      <c r="A304" s="34"/>
      <c r="B304" s="149" t="s">
        <v>112</v>
      </c>
      <c r="C304" s="114" t="s">
        <v>1110</v>
      </c>
      <c r="D304" s="144">
        <v>0</v>
      </c>
      <c r="E304" s="308">
        <v>0</v>
      </c>
      <c r="F304" s="144">
        <v>0</v>
      </c>
      <c r="G304" s="144">
        <v>0</v>
      </c>
      <c r="H304" s="308">
        <v>0</v>
      </c>
      <c r="I304" s="464">
        <f t="shared" si="14"/>
        <v>0</v>
      </c>
    </row>
    <row r="305" spans="1:10" ht="10.5" customHeight="1" x14ac:dyDescent="0.15">
      <c r="A305" s="34"/>
      <c r="B305" s="149" t="s">
        <v>887</v>
      </c>
      <c r="C305" s="114" t="s">
        <v>1116</v>
      </c>
      <c r="D305" s="144">
        <v>0</v>
      </c>
      <c r="E305" s="308">
        <v>0</v>
      </c>
      <c r="F305" s="144">
        <v>0</v>
      </c>
      <c r="G305" s="144">
        <v>0</v>
      </c>
      <c r="H305" s="308">
        <v>0</v>
      </c>
      <c r="I305" s="464">
        <f t="shared" si="14"/>
        <v>0</v>
      </c>
    </row>
    <row r="306" spans="1:10" ht="10.5" customHeight="1" x14ac:dyDescent="0.15">
      <c r="A306" s="34"/>
      <c r="B306" s="149" t="s">
        <v>1112</v>
      </c>
      <c r="C306" s="114" t="s">
        <v>1117</v>
      </c>
      <c r="D306" s="144">
        <v>0</v>
      </c>
      <c r="E306" s="308">
        <v>0</v>
      </c>
      <c r="F306" s="144">
        <v>0</v>
      </c>
      <c r="G306" s="144">
        <v>0</v>
      </c>
      <c r="H306" s="308">
        <v>0</v>
      </c>
      <c r="I306" s="464">
        <f t="shared" si="14"/>
        <v>0</v>
      </c>
    </row>
    <row r="307" spans="1:10" ht="10.5" customHeight="1" x14ac:dyDescent="0.15">
      <c r="A307" s="34"/>
      <c r="B307" s="149" t="s">
        <v>1113</v>
      </c>
      <c r="C307" s="114" t="s">
        <v>1118</v>
      </c>
      <c r="D307" s="144">
        <v>0</v>
      </c>
      <c r="E307" s="308">
        <v>0</v>
      </c>
      <c r="F307" s="144">
        <v>0</v>
      </c>
      <c r="G307" s="144">
        <v>0</v>
      </c>
      <c r="H307" s="308">
        <v>0</v>
      </c>
      <c r="I307" s="464">
        <f t="shared" si="14"/>
        <v>0</v>
      </c>
    </row>
    <row r="308" spans="1:10" ht="10.5" customHeight="1" x14ac:dyDescent="0.15">
      <c r="A308" s="34"/>
      <c r="B308" s="149" t="s">
        <v>1114</v>
      </c>
      <c r="C308" s="114" t="s">
        <v>1119</v>
      </c>
      <c r="D308" s="144">
        <v>0</v>
      </c>
      <c r="E308" s="308">
        <v>0</v>
      </c>
      <c r="F308" s="144">
        <v>0</v>
      </c>
      <c r="G308" s="144">
        <v>0</v>
      </c>
      <c r="H308" s="308">
        <v>0</v>
      </c>
      <c r="I308" s="464">
        <f t="shared" si="14"/>
        <v>0</v>
      </c>
    </row>
    <row r="309" spans="1:10" ht="10.5" customHeight="1" x14ac:dyDescent="0.15">
      <c r="A309" s="34"/>
      <c r="B309" s="149" t="s">
        <v>1115</v>
      </c>
      <c r="C309" s="114" t="s">
        <v>1120</v>
      </c>
      <c r="D309" s="144">
        <v>0</v>
      </c>
      <c r="E309" s="308">
        <v>0</v>
      </c>
      <c r="F309" s="144">
        <v>0</v>
      </c>
      <c r="G309" s="144">
        <v>0</v>
      </c>
      <c r="H309" s="308">
        <v>0</v>
      </c>
      <c r="I309" s="464">
        <f t="shared" si="14"/>
        <v>0</v>
      </c>
    </row>
    <row r="310" spans="1:10" ht="10.5" customHeight="1" thickBot="1" x14ac:dyDescent="0.2">
      <c r="A310" s="34"/>
      <c r="B310" s="149" t="s">
        <v>114</v>
      </c>
      <c r="C310" s="114" t="s">
        <v>1121</v>
      </c>
      <c r="D310" s="141">
        <v>0</v>
      </c>
      <c r="E310" s="309">
        <v>0</v>
      </c>
      <c r="F310" s="141">
        <v>0</v>
      </c>
      <c r="G310" s="144">
        <v>0</v>
      </c>
      <c r="H310" s="310">
        <v>0</v>
      </c>
      <c r="I310" s="502">
        <f t="shared" si="14"/>
        <v>0</v>
      </c>
    </row>
    <row r="311" spans="1:10" ht="10.5" customHeight="1" thickTop="1" thickBot="1" x14ac:dyDescent="0.2">
      <c r="A311" s="34"/>
      <c r="B311" s="149"/>
      <c r="C311" s="114" t="s">
        <v>107</v>
      </c>
      <c r="D311" s="166">
        <f>SUM(D283:D310)</f>
        <v>0</v>
      </c>
      <c r="E311" s="297">
        <f>SUM(E283:E310)</f>
        <v>0</v>
      </c>
      <c r="F311" s="166">
        <f>SUM(F283:F310)</f>
        <v>0</v>
      </c>
      <c r="G311" s="166">
        <f>SUM(G283:G310)</f>
        <v>0</v>
      </c>
      <c r="H311" s="166">
        <f>SUM(H283:H310)</f>
        <v>0</v>
      </c>
      <c r="I311" s="297">
        <f>G311+H311</f>
        <v>0</v>
      </c>
    </row>
    <row r="312" spans="1:10" ht="10.5" customHeight="1" thickTop="1" x14ac:dyDescent="0.15">
      <c r="A312" s="34"/>
      <c r="B312" s="149"/>
      <c r="C312" s="114"/>
      <c r="D312" s="14"/>
      <c r="E312" s="301"/>
      <c r="F312" s="14"/>
      <c r="G312" s="14"/>
      <c r="H312" s="311"/>
      <c r="I312" s="499"/>
    </row>
    <row r="313" spans="1:10" ht="10.5" customHeight="1" x14ac:dyDescent="0.15">
      <c r="A313" s="34" t="s">
        <v>136</v>
      </c>
      <c r="C313" s="114"/>
      <c r="D313" s="14"/>
      <c r="E313" s="301"/>
      <c r="F313" s="14"/>
      <c r="G313" s="14"/>
      <c r="H313" s="307"/>
      <c r="I313" s="497"/>
    </row>
    <row r="314" spans="1:10" s="302" customFormat="1" hidden="1" x14ac:dyDescent="0.15">
      <c r="B314" s="304" t="s">
        <v>880</v>
      </c>
      <c r="C314" s="305" t="s">
        <v>1164</v>
      </c>
      <c r="D314" s="308">
        <v>0</v>
      </c>
      <c r="E314" s="308">
        <v>0</v>
      </c>
      <c r="F314" s="308">
        <v>0</v>
      </c>
      <c r="G314" s="458"/>
      <c r="H314" s="457">
        <v>0</v>
      </c>
      <c r="I314" s="494">
        <f>SUM(G314+H314)</f>
        <v>0</v>
      </c>
    </row>
    <row r="315" spans="1:10" s="302" customFormat="1" x14ac:dyDescent="0.15">
      <c r="B315" s="304" t="s">
        <v>880</v>
      </c>
      <c r="C315" s="305" t="s">
        <v>337</v>
      </c>
      <c r="D315" s="308">
        <v>0</v>
      </c>
      <c r="E315" s="308">
        <v>0</v>
      </c>
      <c r="F315" s="308">
        <v>0</v>
      </c>
      <c r="G315" s="308">
        <v>0</v>
      </c>
      <c r="H315" s="457">
        <v>0</v>
      </c>
      <c r="I315" s="494">
        <f>SUM(G315+H315)</f>
        <v>0</v>
      </c>
    </row>
    <row r="316" spans="1:10" s="302" customFormat="1" hidden="1" x14ac:dyDescent="0.15">
      <c r="A316" s="305"/>
      <c r="B316" s="304" t="s">
        <v>881</v>
      </c>
      <c r="C316" s="305" t="s">
        <v>382</v>
      </c>
      <c r="D316" s="308">
        <v>0</v>
      </c>
      <c r="E316" s="308">
        <v>0</v>
      </c>
      <c r="F316" s="308">
        <v>0</v>
      </c>
      <c r="G316" s="459"/>
      <c r="H316" s="457">
        <v>0</v>
      </c>
      <c r="I316" s="494">
        <f>SUM(G316+H316)</f>
        <v>0</v>
      </c>
    </row>
    <row r="317" spans="1:10" x14ac:dyDescent="0.15">
      <c r="A317" s="114"/>
      <c r="B317" s="149" t="s">
        <v>881</v>
      </c>
      <c r="C317" s="114" t="s">
        <v>338</v>
      </c>
      <c r="D317" s="144">
        <v>0</v>
      </c>
      <c r="E317" s="308">
        <v>0</v>
      </c>
      <c r="F317" s="144">
        <v>0</v>
      </c>
      <c r="G317" s="144">
        <v>0</v>
      </c>
      <c r="H317" s="147">
        <v>0</v>
      </c>
      <c r="I317" s="495">
        <f>SUM(G317+H317)</f>
        <v>0</v>
      </c>
      <c r="J317" s="302"/>
    </row>
    <row r="318" spans="1:10" ht="10.5" customHeight="1" x14ac:dyDescent="0.15">
      <c r="A318" s="34"/>
      <c r="B318" s="149" t="s">
        <v>882</v>
      </c>
      <c r="C318" s="114" t="s">
        <v>1058</v>
      </c>
      <c r="D318" s="144">
        <v>0</v>
      </c>
      <c r="E318" s="308">
        <v>0</v>
      </c>
      <c r="F318" s="144">
        <v>0</v>
      </c>
      <c r="G318" s="144">
        <v>0</v>
      </c>
      <c r="H318" s="308">
        <v>0</v>
      </c>
      <c r="I318" s="464">
        <f t="shared" ref="I318:I340" si="15">SUM(G318+H318)</f>
        <v>0</v>
      </c>
    </row>
    <row r="319" spans="1:10" ht="10.5" customHeight="1" x14ac:dyDescent="0.15">
      <c r="A319" s="34"/>
      <c r="B319" s="149" t="s">
        <v>883</v>
      </c>
      <c r="C319" s="114" t="s">
        <v>1059</v>
      </c>
      <c r="D319" s="144">
        <v>0</v>
      </c>
      <c r="E319" s="308">
        <v>0</v>
      </c>
      <c r="F319" s="144">
        <v>0</v>
      </c>
      <c r="G319" s="144">
        <v>0</v>
      </c>
      <c r="H319" s="308">
        <v>0</v>
      </c>
      <c r="I319" s="464">
        <f t="shared" si="15"/>
        <v>0</v>
      </c>
    </row>
    <row r="320" spans="1:10" ht="10.5" customHeight="1" x14ac:dyDescent="0.15">
      <c r="A320" s="34"/>
      <c r="B320" s="149" t="s">
        <v>1060</v>
      </c>
      <c r="C320" s="114" t="s">
        <v>1061</v>
      </c>
      <c r="D320" s="144">
        <v>0</v>
      </c>
      <c r="E320" s="308">
        <v>0</v>
      </c>
      <c r="F320" s="144">
        <v>0</v>
      </c>
      <c r="G320" s="144">
        <v>0</v>
      </c>
      <c r="H320" s="308">
        <v>0</v>
      </c>
      <c r="I320" s="464">
        <f t="shared" si="15"/>
        <v>0</v>
      </c>
    </row>
    <row r="321" spans="1:9" ht="10.5" customHeight="1" x14ac:dyDescent="0.15">
      <c r="A321" s="34"/>
      <c r="B321" s="149" t="s">
        <v>1062</v>
      </c>
      <c r="C321" s="114" t="s">
        <v>1063</v>
      </c>
      <c r="D321" s="144">
        <v>0</v>
      </c>
      <c r="E321" s="308">
        <v>0</v>
      </c>
      <c r="F321" s="144">
        <v>0</v>
      </c>
      <c r="G321" s="144">
        <v>0</v>
      </c>
      <c r="H321" s="308">
        <v>0</v>
      </c>
      <c r="I321" s="464">
        <f t="shared" si="15"/>
        <v>0</v>
      </c>
    </row>
    <row r="322" spans="1:9" ht="10.5" customHeight="1" x14ac:dyDescent="0.15">
      <c r="A322" s="34"/>
      <c r="B322" s="149" t="s">
        <v>884</v>
      </c>
      <c r="C322" s="114" t="s">
        <v>1064</v>
      </c>
      <c r="D322" s="144">
        <v>0</v>
      </c>
      <c r="E322" s="308">
        <v>0</v>
      </c>
      <c r="F322" s="144">
        <v>0</v>
      </c>
      <c r="G322" s="144">
        <v>0</v>
      </c>
      <c r="H322" s="308">
        <v>0</v>
      </c>
      <c r="I322" s="464">
        <f t="shared" si="15"/>
        <v>0</v>
      </c>
    </row>
    <row r="323" spans="1:9" ht="10.5" customHeight="1" x14ac:dyDescent="0.15">
      <c r="A323" s="34"/>
      <c r="B323" s="149" t="s">
        <v>1072</v>
      </c>
      <c r="C323" s="114" t="s">
        <v>920</v>
      </c>
      <c r="D323" s="144">
        <v>0</v>
      </c>
      <c r="E323" s="308">
        <v>0</v>
      </c>
      <c r="F323" s="144">
        <v>0</v>
      </c>
      <c r="G323" s="144">
        <v>0</v>
      </c>
      <c r="H323" s="308">
        <v>0</v>
      </c>
      <c r="I323" s="464">
        <f t="shared" si="15"/>
        <v>0</v>
      </c>
    </row>
    <row r="324" spans="1:9" ht="10.5" customHeight="1" x14ac:dyDescent="0.15">
      <c r="A324" s="34"/>
      <c r="B324" s="149" t="s">
        <v>155</v>
      </c>
      <c r="C324" s="114" t="s">
        <v>178</v>
      </c>
      <c r="D324" s="144">
        <v>0</v>
      </c>
      <c r="E324" s="308">
        <v>0</v>
      </c>
      <c r="F324" s="144">
        <v>0</v>
      </c>
      <c r="G324" s="144">
        <v>0</v>
      </c>
      <c r="H324" s="308">
        <v>0</v>
      </c>
      <c r="I324" s="464">
        <f t="shared" si="15"/>
        <v>0</v>
      </c>
    </row>
    <row r="325" spans="1:9" ht="10.5" customHeight="1" x14ac:dyDescent="0.15">
      <c r="A325" s="34"/>
      <c r="B325" s="149" t="s">
        <v>927</v>
      </c>
      <c r="C325" s="114" t="s">
        <v>959</v>
      </c>
      <c r="D325" s="144">
        <v>0</v>
      </c>
      <c r="E325" s="308">
        <v>0</v>
      </c>
      <c r="F325" s="144">
        <v>0</v>
      </c>
      <c r="G325" s="144">
        <v>0</v>
      </c>
      <c r="H325" s="308">
        <v>0</v>
      </c>
      <c r="I325" s="464">
        <f t="shared" si="15"/>
        <v>0</v>
      </c>
    </row>
    <row r="326" spans="1:9" ht="10.5" customHeight="1" x14ac:dyDescent="0.15">
      <c r="A326" s="34"/>
      <c r="B326" s="149" t="s">
        <v>928</v>
      </c>
      <c r="C326" s="114" t="s">
        <v>961</v>
      </c>
      <c r="D326" s="144">
        <v>0</v>
      </c>
      <c r="E326" s="308">
        <v>0</v>
      </c>
      <c r="F326" s="144">
        <v>0</v>
      </c>
      <c r="G326" s="144">
        <v>0</v>
      </c>
      <c r="H326" s="308">
        <v>0</v>
      </c>
      <c r="I326" s="464">
        <f t="shared" si="15"/>
        <v>0</v>
      </c>
    </row>
    <row r="327" spans="1:9" ht="10.5" customHeight="1" x14ac:dyDescent="0.15">
      <c r="A327" s="34"/>
      <c r="B327" s="149" t="s">
        <v>962</v>
      </c>
      <c r="C327" s="114" t="s">
        <v>967</v>
      </c>
      <c r="D327" s="144">
        <v>0</v>
      </c>
      <c r="E327" s="308">
        <v>0</v>
      </c>
      <c r="F327" s="144">
        <v>0</v>
      </c>
      <c r="G327" s="144">
        <v>0</v>
      </c>
      <c r="H327" s="308">
        <v>0</v>
      </c>
      <c r="I327" s="464">
        <f t="shared" si="15"/>
        <v>0</v>
      </c>
    </row>
    <row r="328" spans="1:9" ht="10.5" customHeight="1" x14ac:dyDescent="0.15">
      <c r="A328" s="34"/>
      <c r="B328" s="149" t="s">
        <v>963</v>
      </c>
      <c r="C328" s="114" t="s">
        <v>1124</v>
      </c>
      <c r="D328" s="144">
        <v>0</v>
      </c>
      <c r="E328" s="308">
        <v>0</v>
      </c>
      <c r="F328" s="144">
        <v>0</v>
      </c>
      <c r="G328" s="144">
        <v>0</v>
      </c>
      <c r="H328" s="308">
        <v>0</v>
      </c>
      <c r="I328" s="464">
        <f t="shared" si="15"/>
        <v>0</v>
      </c>
    </row>
    <row r="329" spans="1:9" ht="10.5" customHeight="1" x14ac:dyDescent="0.15">
      <c r="A329" s="34"/>
      <c r="B329" s="149" t="s">
        <v>964</v>
      </c>
      <c r="C329" s="114" t="s">
        <v>1094</v>
      </c>
      <c r="D329" s="144">
        <v>0</v>
      </c>
      <c r="E329" s="308">
        <v>0</v>
      </c>
      <c r="F329" s="144">
        <v>0</v>
      </c>
      <c r="G329" s="144">
        <v>0</v>
      </c>
      <c r="H329" s="308">
        <v>0</v>
      </c>
      <c r="I329" s="464">
        <f t="shared" si="15"/>
        <v>0</v>
      </c>
    </row>
    <row r="330" spans="1:9" ht="10.5" customHeight="1" x14ac:dyDescent="0.15">
      <c r="A330" s="34"/>
      <c r="B330" s="149" t="s">
        <v>965</v>
      </c>
      <c r="C330" s="114" t="s">
        <v>1095</v>
      </c>
      <c r="D330" s="144">
        <v>0</v>
      </c>
      <c r="E330" s="308">
        <v>0</v>
      </c>
      <c r="F330" s="144">
        <v>0</v>
      </c>
      <c r="G330" s="144">
        <v>0</v>
      </c>
      <c r="H330" s="308">
        <v>0</v>
      </c>
      <c r="I330" s="464">
        <f t="shared" si="15"/>
        <v>0</v>
      </c>
    </row>
    <row r="331" spans="1:9" ht="10.5" customHeight="1" x14ac:dyDescent="0.15">
      <c r="A331" s="34"/>
      <c r="B331" s="149" t="s">
        <v>885</v>
      </c>
      <c r="C331" s="114" t="s">
        <v>1096</v>
      </c>
      <c r="D331" s="144">
        <v>0</v>
      </c>
      <c r="E331" s="308">
        <v>0</v>
      </c>
      <c r="F331" s="144">
        <v>0</v>
      </c>
      <c r="G331" s="144">
        <v>0</v>
      </c>
      <c r="H331" s="308">
        <v>0</v>
      </c>
      <c r="I331" s="464">
        <f t="shared" si="15"/>
        <v>0</v>
      </c>
    </row>
    <row r="332" spans="1:9" ht="10.5" customHeight="1" x14ac:dyDescent="0.15">
      <c r="A332" s="34"/>
      <c r="B332" s="149" t="s">
        <v>966</v>
      </c>
      <c r="C332" s="114" t="s">
        <v>1097</v>
      </c>
      <c r="D332" s="144">
        <v>0</v>
      </c>
      <c r="E332" s="308">
        <v>0</v>
      </c>
      <c r="F332" s="144">
        <v>0</v>
      </c>
      <c r="G332" s="144">
        <v>0</v>
      </c>
      <c r="H332" s="308">
        <v>0</v>
      </c>
      <c r="I332" s="464">
        <f t="shared" si="15"/>
        <v>0</v>
      </c>
    </row>
    <row r="333" spans="1:9" ht="10.5" customHeight="1" x14ac:dyDescent="0.15">
      <c r="A333" s="34"/>
      <c r="B333" s="149" t="s">
        <v>886</v>
      </c>
      <c r="C333" s="114" t="s">
        <v>1100</v>
      </c>
      <c r="D333" s="144">
        <v>0</v>
      </c>
      <c r="E333" s="308">
        <v>0</v>
      </c>
      <c r="F333" s="144">
        <v>0</v>
      </c>
      <c r="G333" s="144">
        <v>0</v>
      </c>
      <c r="H333" s="308">
        <v>0</v>
      </c>
      <c r="I333" s="464">
        <f t="shared" si="15"/>
        <v>0</v>
      </c>
    </row>
    <row r="334" spans="1:9" ht="10.5" customHeight="1" x14ac:dyDescent="0.15">
      <c r="A334" s="34"/>
      <c r="B334" s="149" t="s">
        <v>116</v>
      </c>
      <c r="C334" s="114" t="s">
        <v>1105</v>
      </c>
      <c r="D334" s="144">
        <v>0</v>
      </c>
      <c r="E334" s="308">
        <v>0</v>
      </c>
      <c r="F334" s="144">
        <v>0</v>
      </c>
      <c r="G334" s="144">
        <v>0</v>
      </c>
      <c r="H334" s="308">
        <v>0</v>
      </c>
      <c r="I334" s="464">
        <f t="shared" si="15"/>
        <v>0</v>
      </c>
    </row>
    <row r="335" spans="1:9" ht="10.5" customHeight="1" x14ac:dyDescent="0.15">
      <c r="A335" s="34"/>
      <c r="B335" s="149" t="s">
        <v>1139</v>
      </c>
      <c r="C335" s="114" t="s">
        <v>1109</v>
      </c>
      <c r="D335" s="144">
        <v>0</v>
      </c>
      <c r="E335" s="308">
        <v>0</v>
      </c>
      <c r="F335" s="144">
        <v>0</v>
      </c>
      <c r="G335" s="144">
        <v>0</v>
      </c>
      <c r="H335" s="308">
        <v>0</v>
      </c>
      <c r="I335" s="464">
        <f t="shared" si="15"/>
        <v>0</v>
      </c>
    </row>
    <row r="336" spans="1:9" ht="10.5" customHeight="1" x14ac:dyDescent="0.15">
      <c r="A336" s="34"/>
      <c r="B336" s="149" t="s">
        <v>112</v>
      </c>
      <c r="C336" s="114" t="s">
        <v>1110</v>
      </c>
      <c r="D336" s="144">
        <v>0</v>
      </c>
      <c r="E336" s="308">
        <v>0</v>
      </c>
      <c r="F336" s="144">
        <v>0</v>
      </c>
      <c r="G336" s="144">
        <v>0</v>
      </c>
      <c r="H336" s="308">
        <v>0</v>
      </c>
      <c r="I336" s="464">
        <f t="shared" si="15"/>
        <v>0</v>
      </c>
    </row>
    <row r="337" spans="1:10" ht="10.5" customHeight="1" x14ac:dyDescent="0.15">
      <c r="A337" s="34"/>
      <c r="B337" s="149" t="s">
        <v>887</v>
      </c>
      <c r="C337" s="114" t="s">
        <v>1116</v>
      </c>
      <c r="D337" s="144">
        <v>0</v>
      </c>
      <c r="E337" s="308">
        <v>0</v>
      </c>
      <c r="F337" s="144">
        <v>0</v>
      </c>
      <c r="G337" s="144">
        <v>0</v>
      </c>
      <c r="H337" s="308">
        <v>0</v>
      </c>
      <c r="I337" s="464">
        <f t="shared" si="15"/>
        <v>0</v>
      </c>
    </row>
    <row r="338" spans="1:10" ht="10.5" customHeight="1" x14ac:dyDescent="0.15">
      <c r="A338" s="34"/>
      <c r="B338" s="149" t="s">
        <v>1112</v>
      </c>
      <c r="C338" s="114" t="s">
        <v>1117</v>
      </c>
      <c r="D338" s="144">
        <v>0</v>
      </c>
      <c r="E338" s="308">
        <v>0</v>
      </c>
      <c r="F338" s="144">
        <v>0</v>
      </c>
      <c r="G338" s="144">
        <v>0</v>
      </c>
      <c r="H338" s="308">
        <v>0</v>
      </c>
      <c r="I338" s="464">
        <f t="shared" si="15"/>
        <v>0</v>
      </c>
    </row>
    <row r="339" spans="1:10" ht="10.5" customHeight="1" x14ac:dyDescent="0.15">
      <c r="A339" s="34"/>
      <c r="B339" s="149" t="s">
        <v>1113</v>
      </c>
      <c r="C339" s="114" t="s">
        <v>1118</v>
      </c>
      <c r="D339" s="144">
        <v>0</v>
      </c>
      <c r="E339" s="308">
        <v>0</v>
      </c>
      <c r="F339" s="144">
        <v>0</v>
      </c>
      <c r="G339" s="144">
        <v>0</v>
      </c>
      <c r="H339" s="308">
        <v>0</v>
      </c>
      <c r="I339" s="464">
        <f t="shared" si="15"/>
        <v>0</v>
      </c>
    </row>
    <row r="340" spans="1:10" ht="10.5" customHeight="1" x14ac:dyDescent="0.15">
      <c r="A340" s="34"/>
      <c r="B340" s="149" t="s">
        <v>1114</v>
      </c>
      <c r="C340" s="114" t="s">
        <v>1119</v>
      </c>
      <c r="D340" s="144">
        <v>0</v>
      </c>
      <c r="E340" s="308">
        <v>0</v>
      </c>
      <c r="F340" s="144">
        <v>0</v>
      </c>
      <c r="G340" s="144">
        <v>0</v>
      </c>
      <c r="H340" s="308">
        <v>0</v>
      </c>
      <c r="I340" s="464">
        <f t="shared" si="15"/>
        <v>0</v>
      </c>
    </row>
    <row r="341" spans="1:10" ht="10.5" customHeight="1" x14ac:dyDescent="0.15">
      <c r="A341" s="34"/>
      <c r="B341" s="149" t="s">
        <v>1115</v>
      </c>
      <c r="C341" s="114" t="s">
        <v>1120</v>
      </c>
      <c r="D341" s="144">
        <v>0</v>
      </c>
      <c r="E341" s="308">
        <v>0</v>
      </c>
      <c r="F341" s="144">
        <v>0</v>
      </c>
      <c r="G341" s="144">
        <v>0</v>
      </c>
      <c r="H341" s="308">
        <v>0</v>
      </c>
      <c r="I341" s="464">
        <f>SUM(G341+H341)</f>
        <v>0</v>
      </c>
    </row>
    <row r="342" spans="1:10" ht="10.5" customHeight="1" thickBot="1" x14ac:dyDescent="0.2">
      <c r="A342" s="34"/>
      <c r="B342" s="149" t="s">
        <v>114</v>
      </c>
      <c r="C342" s="114" t="s">
        <v>1121</v>
      </c>
      <c r="D342" s="141">
        <v>0</v>
      </c>
      <c r="E342" s="309">
        <v>0</v>
      </c>
      <c r="F342" s="141">
        <v>0</v>
      </c>
      <c r="G342" s="144">
        <v>0</v>
      </c>
      <c r="H342" s="309">
        <v>0</v>
      </c>
      <c r="I342" s="501">
        <f>SUM(G342+H342)</f>
        <v>0</v>
      </c>
    </row>
    <row r="343" spans="1:10" ht="10.5" customHeight="1" thickTop="1" thickBot="1" x14ac:dyDescent="0.2">
      <c r="A343" s="34"/>
      <c r="B343" s="149"/>
      <c r="C343" s="114" t="s">
        <v>137</v>
      </c>
      <c r="D343" s="166">
        <f>SUM(D314:D342)</f>
        <v>0</v>
      </c>
      <c r="E343" s="297">
        <f>SUM(E314:E342)</f>
        <v>0</v>
      </c>
      <c r="F343" s="166">
        <f>SUM(F314:F342)</f>
        <v>0</v>
      </c>
      <c r="G343" s="166">
        <f>SUM(G314:G342)</f>
        <v>0</v>
      </c>
      <c r="H343" s="166">
        <f>SUM(H314:H342)</f>
        <v>0</v>
      </c>
      <c r="I343" s="297">
        <f>G343+H343</f>
        <v>0</v>
      </c>
    </row>
    <row r="344" spans="1:10" ht="10.5" customHeight="1" thickTop="1" x14ac:dyDescent="0.15">
      <c r="A344" s="34"/>
      <c r="B344" s="149"/>
      <c r="C344" s="114"/>
      <c r="D344" s="14"/>
      <c r="E344" s="301"/>
      <c r="F344" s="14"/>
      <c r="G344" s="14"/>
      <c r="H344" s="298"/>
      <c r="I344" s="298"/>
    </row>
    <row r="345" spans="1:10" ht="10.5" customHeight="1" x14ac:dyDescent="0.15">
      <c r="A345" s="34" t="s">
        <v>138</v>
      </c>
      <c r="C345" s="114"/>
      <c r="D345" s="14"/>
      <c r="E345" s="301"/>
      <c r="F345" s="14"/>
      <c r="G345" s="14"/>
      <c r="H345" s="298"/>
      <c r="I345" s="298"/>
    </row>
    <row r="346" spans="1:10" s="302" customFormat="1" hidden="1" x14ac:dyDescent="0.15">
      <c r="B346" s="304" t="s">
        <v>880</v>
      </c>
      <c r="C346" s="305" t="s">
        <v>1164</v>
      </c>
      <c r="D346" s="308">
        <v>0</v>
      </c>
      <c r="E346" s="308">
        <v>0</v>
      </c>
      <c r="F346" s="308">
        <v>0</v>
      </c>
      <c r="G346" s="458"/>
      <c r="H346" s="457">
        <v>0</v>
      </c>
      <c r="I346" s="494">
        <f>SUM(G346+H346)</f>
        <v>0</v>
      </c>
    </row>
    <row r="347" spans="1:10" s="302" customFormat="1" x14ac:dyDescent="0.15">
      <c r="B347" s="304" t="s">
        <v>880</v>
      </c>
      <c r="C347" s="305" t="s">
        <v>337</v>
      </c>
      <c r="D347" s="308">
        <v>0</v>
      </c>
      <c r="E347" s="308">
        <v>0</v>
      </c>
      <c r="F347" s="308">
        <v>0</v>
      </c>
      <c r="G347" s="308">
        <v>0</v>
      </c>
      <c r="H347" s="457">
        <v>0</v>
      </c>
      <c r="I347" s="494">
        <f>SUM(G347+H347)</f>
        <v>0</v>
      </c>
    </row>
    <row r="348" spans="1:10" s="302" customFormat="1" hidden="1" x14ac:dyDescent="0.15">
      <c r="A348" s="305"/>
      <c r="B348" s="304" t="s">
        <v>881</v>
      </c>
      <c r="C348" s="305" t="s">
        <v>382</v>
      </c>
      <c r="D348" s="308">
        <v>0</v>
      </c>
      <c r="E348" s="308">
        <v>0</v>
      </c>
      <c r="F348" s="308">
        <v>0</v>
      </c>
      <c r="G348" s="459"/>
      <c r="H348" s="457">
        <v>0</v>
      </c>
      <c r="I348" s="494">
        <f>SUM(G348+H348)</f>
        <v>0</v>
      </c>
    </row>
    <row r="349" spans="1:10" x14ac:dyDescent="0.15">
      <c r="A349" s="114"/>
      <c r="B349" s="149" t="s">
        <v>881</v>
      </c>
      <c r="C349" s="114" t="s">
        <v>338</v>
      </c>
      <c r="D349" s="144">
        <v>0</v>
      </c>
      <c r="E349" s="308">
        <v>0</v>
      </c>
      <c r="F349" s="144">
        <v>0</v>
      </c>
      <c r="G349" s="144">
        <v>0</v>
      </c>
      <c r="H349" s="147">
        <v>0</v>
      </c>
      <c r="I349" s="495">
        <f>SUM(G349+H349)</f>
        <v>0</v>
      </c>
      <c r="J349" s="302"/>
    </row>
    <row r="350" spans="1:10" ht="10.5" customHeight="1" x14ac:dyDescent="0.15">
      <c r="A350" s="34"/>
      <c r="B350" s="149" t="s">
        <v>882</v>
      </c>
      <c r="C350" s="114" t="s">
        <v>1058</v>
      </c>
      <c r="D350" s="144">
        <v>0</v>
      </c>
      <c r="E350" s="308">
        <v>0</v>
      </c>
      <c r="F350" s="144">
        <v>0</v>
      </c>
      <c r="G350" s="144">
        <v>0</v>
      </c>
      <c r="H350" s="308">
        <v>0</v>
      </c>
      <c r="I350" s="464">
        <f t="shared" ref="I350:I379" si="16">SUM(G350+H350)</f>
        <v>0</v>
      </c>
    </row>
    <row r="351" spans="1:10" ht="10.5" customHeight="1" x14ac:dyDescent="0.15">
      <c r="A351" s="34"/>
      <c r="B351" s="149" t="s">
        <v>883</v>
      </c>
      <c r="C351" s="114" t="s">
        <v>1059</v>
      </c>
      <c r="D351" s="144">
        <v>0</v>
      </c>
      <c r="E351" s="308">
        <v>0</v>
      </c>
      <c r="F351" s="144">
        <v>0</v>
      </c>
      <c r="G351" s="144">
        <v>0</v>
      </c>
      <c r="H351" s="308">
        <v>0</v>
      </c>
      <c r="I351" s="464">
        <f t="shared" si="16"/>
        <v>0</v>
      </c>
    </row>
    <row r="352" spans="1:10" ht="10.5" customHeight="1" x14ac:dyDescent="0.15">
      <c r="A352" s="34"/>
      <c r="B352" s="149" t="s">
        <v>1060</v>
      </c>
      <c r="C352" s="114" t="s">
        <v>1061</v>
      </c>
      <c r="D352" s="144">
        <v>0</v>
      </c>
      <c r="E352" s="308">
        <v>0</v>
      </c>
      <c r="F352" s="144">
        <v>0</v>
      </c>
      <c r="G352" s="144">
        <v>0</v>
      </c>
      <c r="H352" s="308">
        <v>0</v>
      </c>
      <c r="I352" s="464">
        <f t="shared" si="16"/>
        <v>0</v>
      </c>
    </row>
    <row r="353" spans="1:9" ht="10.5" customHeight="1" x14ac:dyDescent="0.15">
      <c r="A353" s="34"/>
      <c r="B353" s="149" t="s">
        <v>1062</v>
      </c>
      <c r="C353" s="114" t="s">
        <v>1063</v>
      </c>
      <c r="D353" s="144">
        <v>0</v>
      </c>
      <c r="E353" s="308">
        <v>0</v>
      </c>
      <c r="F353" s="144">
        <v>0</v>
      </c>
      <c r="G353" s="144">
        <v>0</v>
      </c>
      <c r="H353" s="308">
        <v>0</v>
      </c>
      <c r="I353" s="464">
        <f t="shared" si="16"/>
        <v>0</v>
      </c>
    </row>
    <row r="354" spans="1:9" ht="10.5" customHeight="1" x14ac:dyDescent="0.15">
      <c r="A354" s="34"/>
      <c r="B354" s="149" t="s">
        <v>884</v>
      </c>
      <c r="C354" s="114" t="s">
        <v>1064</v>
      </c>
      <c r="D354" s="144">
        <v>0</v>
      </c>
      <c r="E354" s="308">
        <v>0</v>
      </c>
      <c r="F354" s="144">
        <v>0</v>
      </c>
      <c r="G354" s="144">
        <v>0</v>
      </c>
      <c r="H354" s="308">
        <v>0</v>
      </c>
      <c r="I354" s="464">
        <f t="shared" si="16"/>
        <v>0</v>
      </c>
    </row>
    <row r="355" spans="1:9" ht="10.5" customHeight="1" x14ac:dyDescent="0.15">
      <c r="A355" s="34"/>
      <c r="B355" s="149" t="s">
        <v>1065</v>
      </c>
      <c r="C355" s="114" t="s">
        <v>1073</v>
      </c>
      <c r="D355" s="144">
        <v>0</v>
      </c>
      <c r="E355" s="308">
        <v>0</v>
      </c>
      <c r="F355" s="144">
        <v>0</v>
      </c>
      <c r="G355" s="144">
        <v>0</v>
      </c>
      <c r="H355" s="308">
        <v>0</v>
      </c>
      <c r="I355" s="464">
        <f t="shared" si="16"/>
        <v>0</v>
      </c>
    </row>
    <row r="356" spans="1:9" ht="10.5" customHeight="1" x14ac:dyDescent="0.15">
      <c r="A356" s="34"/>
      <c r="B356" s="149" t="s">
        <v>1066</v>
      </c>
      <c r="C356" s="114" t="s">
        <v>1125</v>
      </c>
      <c r="D356" s="144">
        <v>0</v>
      </c>
      <c r="E356" s="308">
        <v>0</v>
      </c>
      <c r="F356" s="144">
        <v>0</v>
      </c>
      <c r="G356" s="144">
        <v>0</v>
      </c>
      <c r="H356" s="308">
        <v>0</v>
      </c>
      <c r="I356" s="464">
        <f t="shared" si="16"/>
        <v>0</v>
      </c>
    </row>
    <row r="357" spans="1:9" ht="10.5" customHeight="1" x14ac:dyDescent="0.15">
      <c r="A357" s="34"/>
      <c r="B357" s="149" t="s">
        <v>1067</v>
      </c>
      <c r="C357" s="114" t="s">
        <v>1074</v>
      </c>
      <c r="D357" s="144">
        <v>0</v>
      </c>
      <c r="E357" s="308">
        <v>0</v>
      </c>
      <c r="F357" s="144">
        <v>0</v>
      </c>
      <c r="G357" s="144">
        <v>0</v>
      </c>
      <c r="H357" s="308">
        <v>0</v>
      </c>
      <c r="I357" s="464">
        <f t="shared" si="16"/>
        <v>0</v>
      </c>
    </row>
    <row r="358" spans="1:9" ht="10.5" customHeight="1" x14ac:dyDescent="0.15">
      <c r="A358" s="34"/>
      <c r="B358" s="149" t="s">
        <v>1068</v>
      </c>
      <c r="C358" s="114" t="s">
        <v>1075</v>
      </c>
      <c r="D358" s="144">
        <v>0</v>
      </c>
      <c r="E358" s="308">
        <v>0</v>
      </c>
      <c r="F358" s="144">
        <v>0</v>
      </c>
      <c r="G358" s="144">
        <v>0</v>
      </c>
      <c r="H358" s="308">
        <v>0</v>
      </c>
      <c r="I358" s="464">
        <f t="shared" si="16"/>
        <v>0</v>
      </c>
    </row>
    <row r="359" spans="1:9" ht="10.5" customHeight="1" x14ac:dyDescent="0.15">
      <c r="A359" s="34"/>
      <c r="B359" s="149" t="s">
        <v>1069</v>
      </c>
      <c r="C359" s="114" t="s">
        <v>1076</v>
      </c>
      <c r="D359" s="144">
        <v>0</v>
      </c>
      <c r="E359" s="308">
        <v>0</v>
      </c>
      <c r="F359" s="144">
        <v>0</v>
      </c>
      <c r="G359" s="144">
        <v>0</v>
      </c>
      <c r="H359" s="308">
        <v>0</v>
      </c>
      <c r="I359" s="464">
        <f t="shared" si="16"/>
        <v>0</v>
      </c>
    </row>
    <row r="360" spans="1:9" ht="10.5" customHeight="1" x14ac:dyDescent="0.15">
      <c r="A360" s="34"/>
      <c r="B360" s="149" t="s">
        <v>1070</v>
      </c>
      <c r="C360" s="114" t="s">
        <v>1126</v>
      </c>
      <c r="D360" s="144">
        <v>0</v>
      </c>
      <c r="E360" s="308">
        <v>0</v>
      </c>
      <c r="F360" s="144">
        <v>0</v>
      </c>
      <c r="G360" s="144">
        <v>0</v>
      </c>
      <c r="H360" s="308">
        <v>0</v>
      </c>
      <c r="I360" s="464">
        <f t="shared" si="16"/>
        <v>0</v>
      </c>
    </row>
    <row r="361" spans="1:9" ht="10.5" customHeight="1" x14ac:dyDescent="0.15">
      <c r="A361" s="34"/>
      <c r="B361" s="149" t="s">
        <v>1071</v>
      </c>
      <c r="C361" s="114" t="s">
        <v>1077</v>
      </c>
      <c r="D361" s="144">
        <v>0</v>
      </c>
      <c r="E361" s="308">
        <v>0</v>
      </c>
      <c r="F361" s="144">
        <v>0</v>
      </c>
      <c r="G361" s="144">
        <v>0</v>
      </c>
      <c r="H361" s="308">
        <v>0</v>
      </c>
      <c r="I361" s="464">
        <f t="shared" si="16"/>
        <v>0</v>
      </c>
    </row>
    <row r="362" spans="1:9" ht="10.5" customHeight="1" x14ac:dyDescent="0.15">
      <c r="A362" s="34"/>
      <c r="B362" s="149" t="s">
        <v>1072</v>
      </c>
      <c r="C362" s="114" t="s">
        <v>920</v>
      </c>
      <c r="D362" s="144">
        <v>0</v>
      </c>
      <c r="E362" s="308">
        <v>0</v>
      </c>
      <c r="F362" s="144">
        <v>0</v>
      </c>
      <c r="G362" s="144">
        <v>0</v>
      </c>
      <c r="H362" s="308">
        <v>0</v>
      </c>
      <c r="I362" s="464">
        <f t="shared" si="16"/>
        <v>0</v>
      </c>
    </row>
    <row r="363" spans="1:9" ht="10.5" customHeight="1" x14ac:dyDescent="0.15">
      <c r="A363" s="34"/>
      <c r="B363" s="149" t="s">
        <v>155</v>
      </c>
      <c r="C363" s="114" t="s">
        <v>178</v>
      </c>
      <c r="D363" s="144">
        <v>0</v>
      </c>
      <c r="E363" s="308">
        <v>0</v>
      </c>
      <c r="F363" s="144">
        <v>0</v>
      </c>
      <c r="G363" s="144">
        <v>0</v>
      </c>
      <c r="H363" s="308">
        <v>0</v>
      </c>
      <c r="I363" s="464">
        <f t="shared" si="16"/>
        <v>0</v>
      </c>
    </row>
    <row r="364" spans="1:9" ht="10.5" customHeight="1" x14ac:dyDescent="0.15">
      <c r="A364" s="34"/>
      <c r="B364" s="149" t="s">
        <v>927</v>
      </c>
      <c r="C364" s="114" t="s">
        <v>959</v>
      </c>
      <c r="D364" s="144">
        <v>0</v>
      </c>
      <c r="E364" s="308">
        <v>0</v>
      </c>
      <c r="F364" s="144">
        <v>0</v>
      </c>
      <c r="G364" s="144">
        <v>0</v>
      </c>
      <c r="H364" s="308">
        <v>0</v>
      </c>
      <c r="I364" s="464">
        <f t="shared" si="16"/>
        <v>0</v>
      </c>
    </row>
    <row r="365" spans="1:9" ht="10.5" customHeight="1" x14ac:dyDescent="0.15">
      <c r="A365" s="34"/>
      <c r="B365" s="149" t="s">
        <v>928</v>
      </c>
      <c r="C365" s="114" t="s">
        <v>961</v>
      </c>
      <c r="D365" s="144">
        <v>0</v>
      </c>
      <c r="E365" s="308">
        <v>0</v>
      </c>
      <c r="F365" s="144">
        <v>0</v>
      </c>
      <c r="G365" s="144">
        <v>0</v>
      </c>
      <c r="H365" s="308">
        <v>0</v>
      </c>
      <c r="I365" s="464">
        <f t="shared" si="16"/>
        <v>0</v>
      </c>
    </row>
    <row r="366" spans="1:9" ht="10.5" customHeight="1" x14ac:dyDescent="0.15">
      <c r="A366" s="34"/>
      <c r="B366" s="149" t="s">
        <v>962</v>
      </c>
      <c r="C366" s="114" t="s">
        <v>967</v>
      </c>
      <c r="D366" s="144">
        <v>0</v>
      </c>
      <c r="E366" s="308">
        <v>0</v>
      </c>
      <c r="F366" s="144">
        <v>0</v>
      </c>
      <c r="G366" s="144">
        <v>0</v>
      </c>
      <c r="H366" s="308">
        <v>0</v>
      </c>
      <c r="I366" s="464">
        <f t="shared" si="16"/>
        <v>0</v>
      </c>
    </row>
    <row r="367" spans="1:9" ht="10.5" customHeight="1" x14ac:dyDescent="0.15">
      <c r="A367" s="34"/>
      <c r="B367" s="149" t="s">
        <v>963</v>
      </c>
      <c r="C367" s="114" t="s">
        <v>1124</v>
      </c>
      <c r="D367" s="144">
        <v>0</v>
      </c>
      <c r="E367" s="308">
        <v>0</v>
      </c>
      <c r="F367" s="144">
        <v>0</v>
      </c>
      <c r="G367" s="144">
        <v>0</v>
      </c>
      <c r="H367" s="308">
        <v>0</v>
      </c>
      <c r="I367" s="464">
        <f t="shared" si="16"/>
        <v>0</v>
      </c>
    </row>
    <row r="368" spans="1:9" ht="10.5" customHeight="1" x14ac:dyDescent="0.15">
      <c r="A368" s="34"/>
      <c r="B368" s="149" t="s">
        <v>964</v>
      </c>
      <c r="C368" s="114" t="s">
        <v>1094</v>
      </c>
      <c r="D368" s="144">
        <v>0</v>
      </c>
      <c r="E368" s="308">
        <v>0</v>
      </c>
      <c r="F368" s="144">
        <v>0</v>
      </c>
      <c r="G368" s="144">
        <v>0</v>
      </c>
      <c r="H368" s="308">
        <v>0</v>
      </c>
      <c r="I368" s="464">
        <f t="shared" si="16"/>
        <v>0</v>
      </c>
    </row>
    <row r="369" spans="1:9" ht="10.5" customHeight="1" x14ac:dyDescent="0.15">
      <c r="A369" s="34"/>
      <c r="B369" s="149" t="s">
        <v>965</v>
      </c>
      <c r="C369" s="114" t="s">
        <v>1095</v>
      </c>
      <c r="D369" s="144">
        <v>0</v>
      </c>
      <c r="E369" s="308">
        <v>0</v>
      </c>
      <c r="F369" s="144">
        <v>0</v>
      </c>
      <c r="G369" s="144">
        <v>0</v>
      </c>
      <c r="H369" s="308">
        <v>0</v>
      </c>
      <c r="I369" s="464">
        <f t="shared" si="16"/>
        <v>0</v>
      </c>
    </row>
    <row r="370" spans="1:9" ht="10.5" customHeight="1" x14ac:dyDescent="0.15">
      <c r="A370" s="34"/>
      <c r="B370" s="149" t="s">
        <v>885</v>
      </c>
      <c r="C370" s="114" t="s">
        <v>1096</v>
      </c>
      <c r="D370" s="144">
        <v>0</v>
      </c>
      <c r="E370" s="308">
        <v>0</v>
      </c>
      <c r="F370" s="144">
        <v>0</v>
      </c>
      <c r="G370" s="144">
        <v>0</v>
      </c>
      <c r="H370" s="308">
        <v>0</v>
      </c>
      <c r="I370" s="464">
        <f t="shared" si="16"/>
        <v>0</v>
      </c>
    </row>
    <row r="371" spans="1:9" ht="10.5" customHeight="1" x14ac:dyDescent="0.15">
      <c r="A371" s="34"/>
      <c r="B371" s="149" t="s">
        <v>966</v>
      </c>
      <c r="C371" s="114" t="s">
        <v>1097</v>
      </c>
      <c r="D371" s="144">
        <v>0</v>
      </c>
      <c r="E371" s="308">
        <v>0</v>
      </c>
      <c r="F371" s="144">
        <v>0</v>
      </c>
      <c r="G371" s="144">
        <v>0</v>
      </c>
      <c r="H371" s="308">
        <v>0</v>
      </c>
      <c r="I371" s="464">
        <f t="shared" si="16"/>
        <v>0</v>
      </c>
    </row>
    <row r="372" spans="1:9" ht="10.5" customHeight="1" x14ac:dyDescent="0.15">
      <c r="A372" s="34"/>
      <c r="B372" s="149" t="s">
        <v>886</v>
      </c>
      <c r="C372" s="114" t="s">
        <v>1100</v>
      </c>
      <c r="D372" s="144">
        <v>0</v>
      </c>
      <c r="E372" s="308">
        <v>0</v>
      </c>
      <c r="F372" s="144">
        <v>0</v>
      </c>
      <c r="G372" s="144">
        <v>0</v>
      </c>
      <c r="H372" s="308">
        <v>0</v>
      </c>
      <c r="I372" s="464">
        <f t="shared" si="16"/>
        <v>0</v>
      </c>
    </row>
    <row r="373" spans="1:9" ht="10.5" customHeight="1" x14ac:dyDescent="0.15">
      <c r="A373" s="34"/>
      <c r="B373" s="149" t="s">
        <v>116</v>
      </c>
      <c r="C373" s="114" t="s">
        <v>1105</v>
      </c>
      <c r="D373" s="144">
        <v>0</v>
      </c>
      <c r="E373" s="308">
        <v>0</v>
      </c>
      <c r="F373" s="144">
        <v>0</v>
      </c>
      <c r="G373" s="144">
        <v>0</v>
      </c>
      <c r="H373" s="308">
        <v>0</v>
      </c>
      <c r="I373" s="464">
        <f t="shared" si="16"/>
        <v>0</v>
      </c>
    </row>
    <row r="374" spans="1:9" ht="10.5" customHeight="1" x14ac:dyDescent="0.15">
      <c r="A374" s="34"/>
      <c r="B374" s="149" t="s">
        <v>1139</v>
      </c>
      <c r="C374" s="114" t="s">
        <v>1109</v>
      </c>
      <c r="D374" s="144">
        <v>0</v>
      </c>
      <c r="E374" s="308">
        <v>0</v>
      </c>
      <c r="F374" s="144">
        <v>0</v>
      </c>
      <c r="G374" s="144">
        <v>0</v>
      </c>
      <c r="H374" s="308">
        <v>0</v>
      </c>
      <c r="I374" s="464">
        <f t="shared" si="16"/>
        <v>0</v>
      </c>
    </row>
    <row r="375" spans="1:9" ht="10.5" customHeight="1" x14ac:dyDescent="0.15">
      <c r="A375" s="34"/>
      <c r="B375" s="149" t="s">
        <v>112</v>
      </c>
      <c r="C375" s="114" t="s">
        <v>1110</v>
      </c>
      <c r="D375" s="144">
        <v>0</v>
      </c>
      <c r="E375" s="308">
        <v>0</v>
      </c>
      <c r="F375" s="144">
        <v>0</v>
      </c>
      <c r="G375" s="144">
        <v>0</v>
      </c>
      <c r="H375" s="308">
        <v>0</v>
      </c>
      <c r="I375" s="464">
        <f t="shared" si="16"/>
        <v>0</v>
      </c>
    </row>
    <row r="376" spans="1:9" ht="10.5" customHeight="1" x14ac:dyDescent="0.15">
      <c r="A376" s="34"/>
      <c r="B376" s="149" t="s">
        <v>887</v>
      </c>
      <c r="C376" s="114" t="s">
        <v>1116</v>
      </c>
      <c r="D376" s="144">
        <v>0</v>
      </c>
      <c r="E376" s="308">
        <v>0</v>
      </c>
      <c r="F376" s="144">
        <v>0</v>
      </c>
      <c r="G376" s="144">
        <v>0</v>
      </c>
      <c r="H376" s="308">
        <v>0</v>
      </c>
      <c r="I376" s="464">
        <f t="shared" si="16"/>
        <v>0</v>
      </c>
    </row>
    <row r="377" spans="1:9" ht="10.5" customHeight="1" x14ac:dyDescent="0.15">
      <c r="A377" s="34"/>
      <c r="B377" s="149" t="s">
        <v>1112</v>
      </c>
      <c r="C377" s="114" t="s">
        <v>1117</v>
      </c>
      <c r="D377" s="144">
        <v>0</v>
      </c>
      <c r="E377" s="308">
        <v>0</v>
      </c>
      <c r="F377" s="144">
        <v>0</v>
      </c>
      <c r="G377" s="144">
        <v>0</v>
      </c>
      <c r="H377" s="308">
        <v>0</v>
      </c>
      <c r="I377" s="464">
        <f t="shared" si="16"/>
        <v>0</v>
      </c>
    </row>
    <row r="378" spans="1:9" ht="10.5" customHeight="1" x14ac:dyDescent="0.15">
      <c r="A378" s="34"/>
      <c r="B378" s="149" t="s">
        <v>1113</v>
      </c>
      <c r="C378" s="114" t="s">
        <v>1118</v>
      </c>
      <c r="D378" s="144">
        <v>0</v>
      </c>
      <c r="E378" s="308">
        <v>0</v>
      </c>
      <c r="F378" s="144">
        <v>0</v>
      </c>
      <c r="G378" s="144">
        <v>0</v>
      </c>
      <c r="H378" s="308">
        <v>0</v>
      </c>
      <c r="I378" s="464">
        <f t="shared" si="16"/>
        <v>0</v>
      </c>
    </row>
    <row r="379" spans="1:9" ht="10.5" customHeight="1" x14ac:dyDescent="0.15">
      <c r="A379" s="34"/>
      <c r="B379" s="149" t="s">
        <v>1114</v>
      </c>
      <c r="C379" s="114" t="s">
        <v>1119</v>
      </c>
      <c r="D379" s="144">
        <v>0</v>
      </c>
      <c r="E379" s="308">
        <v>0</v>
      </c>
      <c r="F379" s="144">
        <v>0</v>
      </c>
      <c r="G379" s="144">
        <v>0</v>
      </c>
      <c r="H379" s="308">
        <v>0</v>
      </c>
      <c r="I379" s="464">
        <f t="shared" si="16"/>
        <v>0</v>
      </c>
    </row>
    <row r="380" spans="1:9" ht="10.5" customHeight="1" x14ac:dyDescent="0.15">
      <c r="A380" s="34"/>
      <c r="B380" s="149" t="s">
        <v>1115</v>
      </c>
      <c r="C380" s="114" t="s">
        <v>1120</v>
      </c>
      <c r="D380" s="144">
        <v>0</v>
      </c>
      <c r="E380" s="308">
        <v>0</v>
      </c>
      <c r="F380" s="144">
        <v>0</v>
      </c>
      <c r="G380" s="144">
        <v>0</v>
      </c>
      <c r="H380" s="308">
        <v>0</v>
      </c>
      <c r="I380" s="464">
        <f>SUM(G380+H380)</f>
        <v>0</v>
      </c>
    </row>
    <row r="381" spans="1:9" ht="10.5" customHeight="1" thickBot="1" x14ac:dyDescent="0.2">
      <c r="A381" s="34"/>
      <c r="B381" s="149" t="s">
        <v>114</v>
      </c>
      <c r="C381" s="114" t="s">
        <v>1121</v>
      </c>
      <c r="D381" s="141">
        <v>0</v>
      </c>
      <c r="E381" s="309">
        <v>0</v>
      </c>
      <c r="F381" s="141">
        <v>0</v>
      </c>
      <c r="G381" s="144">
        <v>0</v>
      </c>
      <c r="H381" s="309">
        <v>0</v>
      </c>
      <c r="I381" s="501">
        <f>SUM(G381+H381)</f>
        <v>0</v>
      </c>
    </row>
    <row r="382" spans="1:9" ht="10.5" customHeight="1" thickTop="1" thickBot="1" x14ac:dyDescent="0.2">
      <c r="A382" s="34"/>
      <c r="B382" s="149"/>
      <c r="C382" s="114" t="s">
        <v>139</v>
      </c>
      <c r="D382" s="166">
        <f>SUM(D346:D381)</f>
        <v>0</v>
      </c>
      <c r="E382" s="297">
        <f>SUM(E346:E381)</f>
        <v>0</v>
      </c>
      <c r="F382" s="166">
        <f>SUM(F346:F381)</f>
        <v>0</v>
      </c>
      <c r="G382" s="166">
        <f>SUM(G346:G381)</f>
        <v>0</v>
      </c>
      <c r="H382" s="166">
        <f>SUM(H346:H381)</f>
        <v>0</v>
      </c>
      <c r="I382" s="297">
        <f>G382+H382</f>
        <v>0</v>
      </c>
    </row>
    <row r="383" spans="1:9" ht="10.5" customHeight="1" thickTop="1" x14ac:dyDescent="0.15">
      <c r="A383" s="34"/>
      <c r="B383" s="149"/>
      <c r="C383" s="114"/>
      <c r="D383" s="14"/>
      <c r="E383" s="301"/>
      <c r="F383" s="14"/>
      <c r="G383" s="14"/>
      <c r="H383" s="298"/>
      <c r="I383" s="298"/>
    </row>
    <row r="384" spans="1:9" ht="10.5" customHeight="1" x14ac:dyDescent="0.15">
      <c r="A384" s="34" t="s">
        <v>140</v>
      </c>
      <c r="C384" s="114"/>
      <c r="D384" s="14"/>
      <c r="E384" s="301"/>
      <c r="F384" s="14"/>
      <c r="G384" s="14"/>
      <c r="H384" s="298"/>
      <c r="I384" s="298"/>
    </row>
    <row r="385" spans="1:9" s="302" customFormat="1" hidden="1" x14ac:dyDescent="0.15">
      <c r="B385" s="304" t="s">
        <v>880</v>
      </c>
      <c r="C385" s="305" t="s">
        <v>1164</v>
      </c>
      <c r="D385" s="308">
        <v>0</v>
      </c>
      <c r="E385" s="308">
        <v>0</v>
      </c>
      <c r="F385" s="308">
        <v>0</v>
      </c>
      <c r="G385" s="458"/>
      <c r="H385" s="457">
        <v>0</v>
      </c>
      <c r="I385" s="494">
        <f>SUM(G385+H385)</f>
        <v>0</v>
      </c>
    </row>
    <row r="386" spans="1:9" s="302" customFormat="1" x14ac:dyDescent="0.15">
      <c r="B386" s="304" t="s">
        <v>880</v>
      </c>
      <c r="C386" s="305" t="s">
        <v>337</v>
      </c>
      <c r="D386" s="308">
        <v>0</v>
      </c>
      <c r="E386" s="308">
        <v>0</v>
      </c>
      <c r="F386" s="308">
        <v>0</v>
      </c>
      <c r="G386" s="308">
        <v>0</v>
      </c>
      <c r="H386" s="457">
        <v>0</v>
      </c>
      <c r="I386" s="494">
        <f>SUM(G386+H386)</f>
        <v>0</v>
      </c>
    </row>
    <row r="387" spans="1:9" s="302" customFormat="1" hidden="1" x14ac:dyDescent="0.15">
      <c r="A387" s="305"/>
      <c r="B387" s="304" t="s">
        <v>881</v>
      </c>
      <c r="C387" s="305" t="s">
        <v>382</v>
      </c>
      <c r="D387" s="308">
        <v>0</v>
      </c>
      <c r="E387" s="308">
        <v>0</v>
      </c>
      <c r="F387" s="308">
        <v>0</v>
      </c>
      <c r="G387" s="459"/>
      <c r="H387" s="457">
        <v>0</v>
      </c>
      <c r="I387" s="494">
        <f>SUM(G387+H387)</f>
        <v>0</v>
      </c>
    </row>
    <row r="388" spans="1:9" s="302" customFormat="1" x14ac:dyDescent="0.15">
      <c r="A388" s="305"/>
      <c r="B388" s="304" t="s">
        <v>881</v>
      </c>
      <c r="C388" s="305" t="s">
        <v>338</v>
      </c>
      <c r="D388" s="308">
        <v>0</v>
      </c>
      <c r="E388" s="308">
        <v>0</v>
      </c>
      <c r="F388" s="308">
        <v>0</v>
      </c>
      <c r="G388" s="308">
        <v>0</v>
      </c>
      <c r="H388" s="457">
        <v>0</v>
      </c>
      <c r="I388" s="494">
        <f>SUM(G388+H388)</f>
        <v>0</v>
      </c>
    </row>
    <row r="389" spans="1:9" ht="10.5" customHeight="1" x14ac:dyDescent="0.15">
      <c r="A389" s="34"/>
      <c r="B389" s="149" t="s">
        <v>882</v>
      </c>
      <c r="C389" s="114" t="s">
        <v>1058</v>
      </c>
      <c r="D389" s="144">
        <v>0</v>
      </c>
      <c r="E389" s="308">
        <v>0</v>
      </c>
      <c r="F389" s="144">
        <v>0</v>
      </c>
      <c r="G389" s="144">
        <v>0</v>
      </c>
      <c r="H389" s="307">
        <v>0</v>
      </c>
      <c r="I389" s="500">
        <f t="shared" ref="I389:I412" si="17">SUM(G389+H389)</f>
        <v>0</v>
      </c>
    </row>
    <row r="390" spans="1:9" ht="10.5" customHeight="1" x14ac:dyDescent="0.15">
      <c r="A390" s="34"/>
      <c r="B390" s="149" t="s">
        <v>883</v>
      </c>
      <c r="C390" s="114" t="s">
        <v>1059</v>
      </c>
      <c r="D390" s="144">
        <v>0</v>
      </c>
      <c r="E390" s="308">
        <v>0</v>
      </c>
      <c r="F390" s="144">
        <v>0</v>
      </c>
      <c r="G390" s="144">
        <v>0</v>
      </c>
      <c r="H390" s="307">
        <v>0</v>
      </c>
      <c r="I390" s="500">
        <f t="shared" si="17"/>
        <v>0</v>
      </c>
    </row>
    <row r="391" spans="1:9" ht="10.5" customHeight="1" x14ac:dyDescent="0.15">
      <c r="A391" s="34"/>
      <c r="B391" s="149" t="s">
        <v>1060</v>
      </c>
      <c r="C391" s="114" t="s">
        <v>1061</v>
      </c>
      <c r="D391" s="144">
        <v>0</v>
      </c>
      <c r="E391" s="308">
        <v>0</v>
      </c>
      <c r="F391" s="144">
        <v>0</v>
      </c>
      <c r="G391" s="144">
        <v>0</v>
      </c>
      <c r="H391" s="307">
        <v>0</v>
      </c>
      <c r="I391" s="500">
        <f t="shared" si="17"/>
        <v>0</v>
      </c>
    </row>
    <row r="392" spans="1:9" ht="10.5" customHeight="1" x14ac:dyDescent="0.15">
      <c r="A392" s="34"/>
      <c r="B392" s="149" t="s">
        <v>1062</v>
      </c>
      <c r="C392" s="114" t="s">
        <v>1063</v>
      </c>
      <c r="D392" s="144">
        <v>0</v>
      </c>
      <c r="E392" s="308">
        <v>0</v>
      </c>
      <c r="F392" s="144">
        <v>0</v>
      </c>
      <c r="G392" s="144">
        <v>0</v>
      </c>
      <c r="H392" s="307">
        <v>0</v>
      </c>
      <c r="I392" s="500">
        <f t="shared" si="17"/>
        <v>0</v>
      </c>
    </row>
    <row r="393" spans="1:9" ht="10.5" customHeight="1" x14ac:dyDescent="0.15">
      <c r="A393" s="34"/>
      <c r="B393" s="149" t="s">
        <v>884</v>
      </c>
      <c r="C393" s="114" t="s">
        <v>1064</v>
      </c>
      <c r="D393" s="144">
        <v>0</v>
      </c>
      <c r="E393" s="308">
        <v>0</v>
      </c>
      <c r="F393" s="144">
        <v>0</v>
      </c>
      <c r="G393" s="144">
        <v>0</v>
      </c>
      <c r="H393" s="307">
        <v>0</v>
      </c>
      <c r="I393" s="500">
        <f t="shared" si="17"/>
        <v>0</v>
      </c>
    </row>
    <row r="394" spans="1:9" ht="10.5" customHeight="1" x14ac:dyDescent="0.15">
      <c r="A394" s="34"/>
      <c r="B394" s="149" t="s">
        <v>155</v>
      </c>
      <c r="C394" s="114" t="s">
        <v>178</v>
      </c>
      <c r="D394" s="144">
        <v>0</v>
      </c>
      <c r="E394" s="308">
        <v>0</v>
      </c>
      <c r="F394" s="144">
        <v>0</v>
      </c>
      <c r="G394" s="144">
        <v>0</v>
      </c>
      <c r="H394" s="307">
        <v>0</v>
      </c>
      <c r="I394" s="500">
        <f t="shared" si="17"/>
        <v>0</v>
      </c>
    </row>
    <row r="395" spans="1:9" ht="10.5" customHeight="1" x14ac:dyDescent="0.15">
      <c r="A395" s="34"/>
      <c r="B395" s="149" t="s">
        <v>927</v>
      </c>
      <c r="C395" s="114" t="s">
        <v>959</v>
      </c>
      <c r="D395" s="144">
        <v>0</v>
      </c>
      <c r="E395" s="308">
        <v>0</v>
      </c>
      <c r="F395" s="144">
        <v>0</v>
      </c>
      <c r="G395" s="144">
        <v>0</v>
      </c>
      <c r="H395" s="307">
        <v>0</v>
      </c>
      <c r="I395" s="500">
        <f t="shared" si="17"/>
        <v>0</v>
      </c>
    </row>
    <row r="396" spans="1:9" ht="10.5" customHeight="1" x14ac:dyDescent="0.15">
      <c r="A396" s="34"/>
      <c r="B396" s="149" t="s">
        <v>928</v>
      </c>
      <c r="C396" s="114" t="s">
        <v>961</v>
      </c>
      <c r="D396" s="144">
        <v>0</v>
      </c>
      <c r="E396" s="308">
        <v>0</v>
      </c>
      <c r="F396" s="144">
        <v>0</v>
      </c>
      <c r="G396" s="144">
        <v>0</v>
      </c>
      <c r="H396" s="307">
        <v>0</v>
      </c>
      <c r="I396" s="500">
        <f t="shared" si="17"/>
        <v>0</v>
      </c>
    </row>
    <row r="397" spans="1:9" ht="10.5" customHeight="1" x14ac:dyDescent="0.15">
      <c r="A397" s="34"/>
      <c r="B397" s="149" t="s">
        <v>962</v>
      </c>
      <c r="C397" s="114" t="s">
        <v>967</v>
      </c>
      <c r="D397" s="144">
        <v>0</v>
      </c>
      <c r="E397" s="308">
        <v>0</v>
      </c>
      <c r="F397" s="144">
        <v>0</v>
      </c>
      <c r="G397" s="144">
        <v>0</v>
      </c>
      <c r="H397" s="307">
        <v>0</v>
      </c>
      <c r="I397" s="500">
        <f t="shared" si="17"/>
        <v>0</v>
      </c>
    </row>
    <row r="398" spans="1:9" ht="10.5" customHeight="1" x14ac:dyDescent="0.15">
      <c r="A398" s="34"/>
      <c r="B398" s="149" t="s">
        <v>963</v>
      </c>
      <c r="C398" s="114" t="s">
        <v>1124</v>
      </c>
      <c r="D398" s="144">
        <v>0</v>
      </c>
      <c r="E398" s="308">
        <v>0</v>
      </c>
      <c r="F398" s="144">
        <v>0</v>
      </c>
      <c r="G398" s="144">
        <v>0</v>
      </c>
      <c r="H398" s="307">
        <v>0</v>
      </c>
      <c r="I398" s="500">
        <f t="shared" si="17"/>
        <v>0</v>
      </c>
    </row>
    <row r="399" spans="1:9" ht="10.5" customHeight="1" x14ac:dyDescent="0.15">
      <c r="A399" s="34"/>
      <c r="B399" s="149" t="s">
        <v>964</v>
      </c>
      <c r="C399" s="114" t="s">
        <v>1094</v>
      </c>
      <c r="D399" s="144">
        <v>0</v>
      </c>
      <c r="E399" s="308">
        <v>0</v>
      </c>
      <c r="F399" s="144">
        <v>0</v>
      </c>
      <c r="G399" s="144">
        <v>0</v>
      </c>
      <c r="H399" s="307">
        <v>0</v>
      </c>
      <c r="I399" s="500">
        <f t="shared" si="17"/>
        <v>0</v>
      </c>
    </row>
    <row r="400" spans="1:9" ht="10.5" customHeight="1" x14ac:dyDescent="0.15">
      <c r="A400" s="34"/>
      <c r="B400" s="149" t="s">
        <v>965</v>
      </c>
      <c r="C400" s="114" t="s">
        <v>1095</v>
      </c>
      <c r="D400" s="144">
        <v>0</v>
      </c>
      <c r="E400" s="308">
        <v>0</v>
      </c>
      <c r="F400" s="144">
        <v>0</v>
      </c>
      <c r="G400" s="144">
        <v>0</v>
      </c>
      <c r="H400" s="307">
        <v>0</v>
      </c>
      <c r="I400" s="500">
        <f t="shared" si="17"/>
        <v>0</v>
      </c>
    </row>
    <row r="401" spans="1:9" ht="10.5" customHeight="1" x14ac:dyDescent="0.15">
      <c r="A401" s="34"/>
      <c r="B401" s="149" t="s">
        <v>1239</v>
      </c>
      <c r="C401" s="114" t="s">
        <v>1352</v>
      </c>
      <c r="D401" s="144">
        <v>0</v>
      </c>
      <c r="E401" s="308">
        <v>0</v>
      </c>
      <c r="F401" s="144">
        <v>0</v>
      </c>
      <c r="G401" s="144">
        <v>0</v>
      </c>
      <c r="H401" s="307">
        <v>0</v>
      </c>
      <c r="I401" s="500">
        <f t="shared" si="17"/>
        <v>0</v>
      </c>
    </row>
    <row r="402" spans="1:9" ht="10.5" customHeight="1" x14ac:dyDescent="0.15">
      <c r="A402" s="34"/>
      <c r="B402" s="149" t="s">
        <v>885</v>
      </c>
      <c r="C402" s="114" t="s">
        <v>1096</v>
      </c>
      <c r="D402" s="144">
        <v>0</v>
      </c>
      <c r="E402" s="308">
        <v>0</v>
      </c>
      <c r="F402" s="144">
        <v>0</v>
      </c>
      <c r="G402" s="144">
        <v>0</v>
      </c>
      <c r="H402" s="307">
        <v>0</v>
      </c>
      <c r="I402" s="500">
        <f t="shared" si="17"/>
        <v>0</v>
      </c>
    </row>
    <row r="403" spans="1:9" ht="10.5" customHeight="1" x14ac:dyDescent="0.15">
      <c r="A403" s="34"/>
      <c r="B403" s="149" t="s">
        <v>966</v>
      </c>
      <c r="C403" s="114" t="s">
        <v>1097</v>
      </c>
      <c r="D403" s="144">
        <v>0</v>
      </c>
      <c r="E403" s="308">
        <v>0</v>
      </c>
      <c r="F403" s="144">
        <v>0</v>
      </c>
      <c r="G403" s="144">
        <v>0</v>
      </c>
      <c r="H403" s="307">
        <v>0</v>
      </c>
      <c r="I403" s="500">
        <f t="shared" si="17"/>
        <v>0</v>
      </c>
    </row>
    <row r="404" spans="1:9" ht="10.5" customHeight="1" x14ac:dyDescent="0.15">
      <c r="A404" s="34"/>
      <c r="B404" s="149" t="s">
        <v>886</v>
      </c>
      <c r="C404" s="114" t="s">
        <v>1100</v>
      </c>
      <c r="D404" s="144">
        <v>0</v>
      </c>
      <c r="E404" s="308">
        <v>0</v>
      </c>
      <c r="F404" s="144">
        <v>0</v>
      </c>
      <c r="G404" s="144">
        <v>0</v>
      </c>
      <c r="H404" s="307">
        <v>0</v>
      </c>
      <c r="I404" s="500">
        <f t="shared" si="17"/>
        <v>0</v>
      </c>
    </row>
    <row r="405" spans="1:9" ht="10.5" customHeight="1" x14ac:dyDescent="0.15">
      <c r="A405" s="34"/>
      <c r="B405" s="149" t="s">
        <v>116</v>
      </c>
      <c r="C405" s="114" t="s">
        <v>1105</v>
      </c>
      <c r="D405" s="144">
        <v>0</v>
      </c>
      <c r="E405" s="308">
        <v>0</v>
      </c>
      <c r="F405" s="144">
        <v>0</v>
      </c>
      <c r="G405" s="144">
        <v>0</v>
      </c>
      <c r="H405" s="307">
        <v>0</v>
      </c>
      <c r="I405" s="500">
        <f t="shared" si="17"/>
        <v>0</v>
      </c>
    </row>
    <row r="406" spans="1:9" ht="10.5" customHeight="1" x14ac:dyDescent="0.15">
      <c r="A406" s="34"/>
      <c r="B406" s="149" t="s">
        <v>112</v>
      </c>
      <c r="C406" s="114" t="s">
        <v>1110</v>
      </c>
      <c r="D406" s="144">
        <v>0</v>
      </c>
      <c r="E406" s="308">
        <v>0</v>
      </c>
      <c r="F406" s="144">
        <v>0</v>
      </c>
      <c r="G406" s="144">
        <v>0</v>
      </c>
      <c r="H406" s="307">
        <v>0</v>
      </c>
      <c r="I406" s="500">
        <f t="shared" si="17"/>
        <v>0</v>
      </c>
    </row>
    <row r="407" spans="1:9" ht="10.5" customHeight="1" x14ac:dyDescent="0.15">
      <c r="A407" s="34"/>
      <c r="B407" s="149" t="s">
        <v>887</v>
      </c>
      <c r="C407" s="114" t="s">
        <v>1116</v>
      </c>
      <c r="D407" s="144">
        <v>0</v>
      </c>
      <c r="E407" s="308">
        <v>0</v>
      </c>
      <c r="F407" s="144">
        <v>0</v>
      </c>
      <c r="G407" s="144">
        <v>0</v>
      </c>
      <c r="H407" s="307">
        <v>0</v>
      </c>
      <c r="I407" s="500">
        <f t="shared" si="17"/>
        <v>0</v>
      </c>
    </row>
    <row r="408" spans="1:9" ht="10.5" customHeight="1" x14ac:dyDescent="0.15">
      <c r="A408" s="34"/>
      <c r="B408" s="149" t="s">
        <v>1112</v>
      </c>
      <c r="C408" s="114" t="s">
        <v>1117</v>
      </c>
      <c r="D408" s="144">
        <v>0</v>
      </c>
      <c r="E408" s="308">
        <v>0</v>
      </c>
      <c r="F408" s="144">
        <v>0</v>
      </c>
      <c r="G408" s="144">
        <v>0</v>
      </c>
      <c r="H408" s="307">
        <v>0</v>
      </c>
      <c r="I408" s="500">
        <f t="shared" si="17"/>
        <v>0</v>
      </c>
    </row>
    <row r="409" spans="1:9" ht="10.5" customHeight="1" x14ac:dyDescent="0.15">
      <c r="A409" s="34"/>
      <c r="B409" s="149" t="s">
        <v>1113</v>
      </c>
      <c r="C409" s="114" t="s">
        <v>1118</v>
      </c>
      <c r="D409" s="144">
        <v>0</v>
      </c>
      <c r="E409" s="308">
        <v>0</v>
      </c>
      <c r="F409" s="144">
        <v>0</v>
      </c>
      <c r="G409" s="144">
        <v>0</v>
      </c>
      <c r="H409" s="307">
        <v>0</v>
      </c>
      <c r="I409" s="500">
        <f t="shared" si="17"/>
        <v>0</v>
      </c>
    </row>
    <row r="410" spans="1:9" ht="10.5" customHeight="1" x14ac:dyDescent="0.15">
      <c r="A410" s="34"/>
      <c r="B410" s="149" t="s">
        <v>1114</v>
      </c>
      <c r="C410" s="114" t="s">
        <v>1119</v>
      </c>
      <c r="D410" s="144">
        <v>0</v>
      </c>
      <c r="E410" s="308">
        <v>0</v>
      </c>
      <c r="F410" s="144">
        <v>0</v>
      </c>
      <c r="G410" s="144">
        <v>0</v>
      </c>
      <c r="H410" s="307">
        <v>0</v>
      </c>
      <c r="I410" s="500">
        <f t="shared" si="17"/>
        <v>0</v>
      </c>
    </row>
    <row r="411" spans="1:9" ht="10.5" customHeight="1" x14ac:dyDescent="0.15">
      <c r="A411" s="34"/>
      <c r="B411" s="149" t="s">
        <v>1115</v>
      </c>
      <c r="C411" s="114" t="s">
        <v>1120</v>
      </c>
      <c r="D411" s="144">
        <v>0</v>
      </c>
      <c r="E411" s="308">
        <v>0</v>
      </c>
      <c r="F411" s="144">
        <v>0</v>
      </c>
      <c r="G411" s="144">
        <v>0</v>
      </c>
      <c r="H411" s="307">
        <v>0</v>
      </c>
      <c r="I411" s="500">
        <f t="shared" si="17"/>
        <v>0</v>
      </c>
    </row>
    <row r="412" spans="1:9" ht="10.5" customHeight="1" thickBot="1" x14ac:dyDescent="0.2">
      <c r="A412" s="34"/>
      <c r="B412" s="149" t="s">
        <v>114</v>
      </c>
      <c r="C412" s="114" t="s">
        <v>1121</v>
      </c>
      <c r="D412" s="141">
        <v>0</v>
      </c>
      <c r="E412" s="309">
        <v>0</v>
      </c>
      <c r="F412" s="141">
        <v>0</v>
      </c>
      <c r="G412" s="141">
        <v>0</v>
      </c>
      <c r="H412" s="307">
        <v>0</v>
      </c>
      <c r="I412" s="500">
        <f t="shared" si="17"/>
        <v>0</v>
      </c>
    </row>
    <row r="413" spans="1:9" ht="10.5" customHeight="1" thickTop="1" thickBot="1" x14ac:dyDescent="0.2">
      <c r="A413" s="34"/>
      <c r="B413" s="149"/>
      <c r="C413" s="114" t="s">
        <v>141</v>
      </c>
      <c r="D413" s="166">
        <f>SUM(D385:D412)</f>
        <v>0</v>
      </c>
      <c r="E413" s="297">
        <f>SUM(E385:E412)</f>
        <v>0</v>
      </c>
      <c r="F413" s="166">
        <f>SUM(F385:F412)</f>
        <v>0</v>
      </c>
      <c r="G413" s="166">
        <f>SUM(G385:G412)</f>
        <v>0</v>
      </c>
      <c r="H413" s="166">
        <f>SUM(H385:H412)</f>
        <v>0</v>
      </c>
      <c r="I413" s="297">
        <f>G413+H413</f>
        <v>0</v>
      </c>
    </row>
    <row r="414" spans="1:9" ht="10.5" customHeight="1" thickTop="1" x14ac:dyDescent="0.15">
      <c r="A414" s="34"/>
      <c r="B414" s="149"/>
      <c r="C414" s="114"/>
      <c r="D414" s="14"/>
      <c r="E414" s="301"/>
      <c r="F414" s="14"/>
      <c r="G414" s="14"/>
      <c r="H414" s="312"/>
      <c r="I414" s="298"/>
    </row>
    <row r="415" spans="1:9" ht="10.5" customHeight="1" x14ac:dyDescent="0.15">
      <c r="A415" s="34" t="s">
        <v>1590</v>
      </c>
      <c r="C415" s="114"/>
      <c r="D415" s="14"/>
      <c r="E415" s="301"/>
      <c r="F415" s="14"/>
      <c r="G415" s="14"/>
      <c r="H415" s="298"/>
      <c r="I415" s="298"/>
    </row>
    <row r="416" spans="1:9" s="302" customFormat="1" hidden="1" x14ac:dyDescent="0.15">
      <c r="B416" s="304" t="s">
        <v>880</v>
      </c>
      <c r="C416" s="305" t="s">
        <v>1164</v>
      </c>
      <c r="D416" s="308">
        <v>0</v>
      </c>
      <c r="E416" s="308">
        <v>0</v>
      </c>
      <c r="F416" s="308">
        <v>0</v>
      </c>
      <c r="G416" s="458"/>
      <c r="H416" s="457">
        <v>0</v>
      </c>
      <c r="I416" s="494">
        <f>SUM(G416+H416)</f>
        <v>0</v>
      </c>
    </row>
    <row r="417" spans="1:9" s="302" customFormat="1" x14ac:dyDescent="0.15">
      <c r="B417" s="304" t="s">
        <v>880</v>
      </c>
      <c r="C417" s="305" t="s">
        <v>337</v>
      </c>
      <c r="D417" s="308">
        <v>0</v>
      </c>
      <c r="E417" s="308">
        <v>0</v>
      </c>
      <c r="F417" s="308">
        <v>0</v>
      </c>
      <c r="G417" s="308">
        <v>0</v>
      </c>
      <c r="H417" s="457">
        <v>0</v>
      </c>
      <c r="I417" s="494">
        <f>SUM(G417+H417)</f>
        <v>0</v>
      </c>
    </row>
    <row r="418" spans="1:9" s="302" customFormat="1" hidden="1" x14ac:dyDescent="0.15">
      <c r="A418" s="305"/>
      <c r="B418" s="304" t="s">
        <v>881</v>
      </c>
      <c r="C418" s="305" t="s">
        <v>382</v>
      </c>
      <c r="D418" s="308">
        <v>0</v>
      </c>
      <c r="E418" s="308">
        <v>0</v>
      </c>
      <c r="F418" s="308">
        <v>0</v>
      </c>
      <c r="G418" s="459"/>
      <c r="H418" s="457">
        <v>0</v>
      </c>
      <c r="I418" s="494">
        <f>SUM(G418+H418)</f>
        <v>0</v>
      </c>
    </row>
    <row r="419" spans="1:9" s="302" customFormat="1" x14ac:dyDescent="0.15">
      <c r="A419" s="305"/>
      <c r="B419" s="304" t="s">
        <v>881</v>
      </c>
      <c r="C419" s="305" t="s">
        <v>338</v>
      </c>
      <c r="D419" s="308">
        <v>0</v>
      </c>
      <c r="E419" s="308">
        <v>0</v>
      </c>
      <c r="F419" s="308">
        <v>0</v>
      </c>
      <c r="G419" s="308">
        <v>0</v>
      </c>
      <c r="H419" s="457">
        <v>0</v>
      </c>
      <c r="I419" s="494">
        <f>SUM(G419+H419)</f>
        <v>0</v>
      </c>
    </row>
    <row r="420" spans="1:9" ht="10.5" customHeight="1" x14ac:dyDescent="0.15">
      <c r="A420" s="34"/>
      <c r="B420" s="149" t="s">
        <v>882</v>
      </c>
      <c r="C420" s="114" t="s">
        <v>1058</v>
      </c>
      <c r="D420" s="144">
        <v>0</v>
      </c>
      <c r="E420" s="308">
        <v>0</v>
      </c>
      <c r="F420" s="144">
        <v>0</v>
      </c>
      <c r="G420" s="144">
        <v>0</v>
      </c>
      <c r="H420" s="307">
        <v>0</v>
      </c>
      <c r="I420" s="500">
        <f t="shared" ref="I420:I443" si="18">SUM(G420+H420)</f>
        <v>0</v>
      </c>
    </row>
    <row r="421" spans="1:9" ht="10.5" customHeight="1" x14ac:dyDescent="0.15">
      <c r="A421" s="34"/>
      <c r="B421" s="149" t="s">
        <v>883</v>
      </c>
      <c r="C421" s="114" t="s">
        <v>1059</v>
      </c>
      <c r="D421" s="144">
        <v>0</v>
      </c>
      <c r="E421" s="308">
        <v>0</v>
      </c>
      <c r="F421" s="144">
        <v>0</v>
      </c>
      <c r="G421" s="144">
        <v>0</v>
      </c>
      <c r="H421" s="307">
        <v>0</v>
      </c>
      <c r="I421" s="500">
        <f t="shared" si="18"/>
        <v>0</v>
      </c>
    </row>
    <row r="422" spans="1:9" ht="10.5" customHeight="1" x14ac:dyDescent="0.15">
      <c r="A422" s="34"/>
      <c r="B422" s="149" t="s">
        <v>1060</v>
      </c>
      <c r="C422" s="114" t="s">
        <v>1061</v>
      </c>
      <c r="D422" s="144">
        <v>0</v>
      </c>
      <c r="E422" s="308">
        <v>0</v>
      </c>
      <c r="F422" s="144">
        <v>0</v>
      </c>
      <c r="G422" s="144">
        <v>0</v>
      </c>
      <c r="H422" s="307">
        <v>0</v>
      </c>
      <c r="I422" s="500">
        <f t="shared" si="18"/>
        <v>0</v>
      </c>
    </row>
    <row r="423" spans="1:9" ht="10.5" customHeight="1" x14ac:dyDescent="0.15">
      <c r="A423" s="34"/>
      <c r="B423" s="149" t="s">
        <v>1062</v>
      </c>
      <c r="C423" s="114" t="s">
        <v>1063</v>
      </c>
      <c r="D423" s="144">
        <v>0</v>
      </c>
      <c r="E423" s="308">
        <v>0</v>
      </c>
      <c r="F423" s="144">
        <v>0</v>
      </c>
      <c r="G423" s="144">
        <v>0</v>
      </c>
      <c r="H423" s="307">
        <v>0</v>
      </c>
      <c r="I423" s="500">
        <f t="shared" si="18"/>
        <v>0</v>
      </c>
    </row>
    <row r="424" spans="1:9" ht="10.5" customHeight="1" x14ac:dyDescent="0.15">
      <c r="A424" s="34"/>
      <c r="B424" s="149" t="s">
        <v>884</v>
      </c>
      <c r="C424" s="114" t="s">
        <v>1064</v>
      </c>
      <c r="D424" s="144">
        <v>0</v>
      </c>
      <c r="E424" s="308">
        <v>0</v>
      </c>
      <c r="F424" s="144">
        <v>0</v>
      </c>
      <c r="G424" s="144">
        <v>0</v>
      </c>
      <c r="H424" s="307">
        <v>0</v>
      </c>
      <c r="I424" s="500">
        <f t="shared" si="18"/>
        <v>0</v>
      </c>
    </row>
    <row r="425" spans="1:9" ht="10.5" customHeight="1" x14ac:dyDescent="0.15">
      <c r="A425" s="34"/>
      <c r="B425" s="149" t="s">
        <v>155</v>
      </c>
      <c r="C425" s="114" t="s">
        <v>178</v>
      </c>
      <c r="D425" s="144">
        <v>0</v>
      </c>
      <c r="E425" s="308">
        <v>0</v>
      </c>
      <c r="F425" s="144">
        <v>0</v>
      </c>
      <c r="G425" s="144">
        <v>0</v>
      </c>
      <c r="H425" s="307">
        <v>0</v>
      </c>
      <c r="I425" s="500">
        <f t="shared" si="18"/>
        <v>0</v>
      </c>
    </row>
    <row r="426" spans="1:9" ht="10.5" customHeight="1" x14ac:dyDescent="0.15">
      <c r="A426" s="34"/>
      <c r="B426" s="149" t="s">
        <v>927</v>
      </c>
      <c r="C426" s="114" t="s">
        <v>959</v>
      </c>
      <c r="D426" s="144">
        <v>0</v>
      </c>
      <c r="E426" s="308">
        <v>0</v>
      </c>
      <c r="F426" s="144">
        <v>0</v>
      </c>
      <c r="G426" s="144">
        <v>0</v>
      </c>
      <c r="H426" s="307">
        <v>0</v>
      </c>
      <c r="I426" s="500">
        <f t="shared" si="18"/>
        <v>0</v>
      </c>
    </row>
    <row r="427" spans="1:9" ht="10.5" customHeight="1" x14ac:dyDescent="0.15">
      <c r="A427" s="34"/>
      <c r="B427" s="149" t="s">
        <v>928</v>
      </c>
      <c r="C427" s="114" t="s">
        <v>961</v>
      </c>
      <c r="D427" s="144">
        <v>0</v>
      </c>
      <c r="E427" s="308">
        <v>0</v>
      </c>
      <c r="F427" s="144">
        <v>0</v>
      </c>
      <c r="G427" s="144">
        <v>0</v>
      </c>
      <c r="H427" s="307">
        <v>0</v>
      </c>
      <c r="I427" s="500">
        <f t="shared" si="18"/>
        <v>0</v>
      </c>
    </row>
    <row r="428" spans="1:9" ht="10.5" customHeight="1" x14ac:dyDescent="0.15">
      <c r="A428" s="34"/>
      <c r="B428" s="149" t="s">
        <v>962</v>
      </c>
      <c r="C428" s="114" t="s">
        <v>967</v>
      </c>
      <c r="D428" s="144">
        <v>0</v>
      </c>
      <c r="E428" s="308">
        <v>0</v>
      </c>
      <c r="F428" s="144">
        <v>0</v>
      </c>
      <c r="G428" s="144">
        <v>0</v>
      </c>
      <c r="H428" s="307">
        <v>0</v>
      </c>
      <c r="I428" s="500">
        <f t="shared" si="18"/>
        <v>0</v>
      </c>
    </row>
    <row r="429" spans="1:9" ht="10.5" customHeight="1" x14ac:dyDescent="0.15">
      <c r="A429" s="34"/>
      <c r="B429" s="149" t="s">
        <v>963</v>
      </c>
      <c r="C429" s="114" t="s">
        <v>1124</v>
      </c>
      <c r="D429" s="144">
        <v>0</v>
      </c>
      <c r="E429" s="308">
        <v>0</v>
      </c>
      <c r="F429" s="144">
        <v>0</v>
      </c>
      <c r="G429" s="144">
        <v>0</v>
      </c>
      <c r="H429" s="307">
        <v>0</v>
      </c>
      <c r="I429" s="500">
        <f t="shared" si="18"/>
        <v>0</v>
      </c>
    </row>
    <row r="430" spans="1:9" ht="10.5" customHeight="1" x14ac:dyDescent="0.15">
      <c r="A430" s="34"/>
      <c r="B430" s="149" t="s">
        <v>964</v>
      </c>
      <c r="C430" s="114" t="s">
        <v>1094</v>
      </c>
      <c r="D430" s="144">
        <v>0</v>
      </c>
      <c r="E430" s="308">
        <v>0</v>
      </c>
      <c r="F430" s="144">
        <v>0</v>
      </c>
      <c r="G430" s="144">
        <v>0</v>
      </c>
      <c r="H430" s="307">
        <v>0</v>
      </c>
      <c r="I430" s="500">
        <f t="shared" si="18"/>
        <v>0</v>
      </c>
    </row>
    <row r="431" spans="1:9" ht="10.5" customHeight="1" x14ac:dyDescent="0.15">
      <c r="A431" s="34"/>
      <c r="B431" s="149" t="s">
        <v>965</v>
      </c>
      <c r="C431" s="114" t="s">
        <v>1095</v>
      </c>
      <c r="D431" s="144">
        <v>0</v>
      </c>
      <c r="E431" s="308">
        <v>0</v>
      </c>
      <c r="F431" s="144">
        <v>0</v>
      </c>
      <c r="G431" s="144">
        <v>0</v>
      </c>
      <c r="H431" s="307">
        <v>0</v>
      </c>
      <c r="I431" s="500">
        <f t="shared" si="18"/>
        <v>0</v>
      </c>
    </row>
    <row r="432" spans="1:9" ht="10.5" customHeight="1" x14ac:dyDescent="0.15">
      <c r="A432" s="34"/>
      <c r="B432" s="149" t="s">
        <v>1239</v>
      </c>
      <c r="C432" s="114" t="s">
        <v>1352</v>
      </c>
      <c r="D432" s="144">
        <v>0</v>
      </c>
      <c r="E432" s="308">
        <v>0</v>
      </c>
      <c r="F432" s="144">
        <v>0</v>
      </c>
      <c r="G432" s="144">
        <v>0</v>
      </c>
      <c r="H432" s="307">
        <v>0</v>
      </c>
      <c r="I432" s="500">
        <f t="shared" si="18"/>
        <v>0</v>
      </c>
    </row>
    <row r="433" spans="1:9" ht="10.5" customHeight="1" x14ac:dyDescent="0.15">
      <c r="A433" s="34"/>
      <c r="B433" s="149" t="s">
        <v>885</v>
      </c>
      <c r="C433" s="114" t="s">
        <v>1096</v>
      </c>
      <c r="D433" s="144">
        <v>0</v>
      </c>
      <c r="E433" s="308">
        <v>0</v>
      </c>
      <c r="F433" s="144">
        <v>0</v>
      </c>
      <c r="G433" s="144">
        <v>0</v>
      </c>
      <c r="H433" s="307">
        <v>0</v>
      </c>
      <c r="I433" s="500">
        <f t="shared" si="18"/>
        <v>0</v>
      </c>
    </row>
    <row r="434" spans="1:9" ht="10.5" customHeight="1" x14ac:dyDescent="0.15">
      <c r="A434" s="34"/>
      <c r="B434" s="149" t="s">
        <v>966</v>
      </c>
      <c r="C434" s="114" t="s">
        <v>1097</v>
      </c>
      <c r="D434" s="144">
        <v>0</v>
      </c>
      <c r="E434" s="308">
        <v>0</v>
      </c>
      <c r="F434" s="144">
        <v>0</v>
      </c>
      <c r="G434" s="144">
        <v>0</v>
      </c>
      <c r="H434" s="307">
        <v>0</v>
      </c>
      <c r="I434" s="500">
        <f t="shared" si="18"/>
        <v>0</v>
      </c>
    </row>
    <row r="435" spans="1:9" ht="10.5" customHeight="1" x14ac:dyDescent="0.15">
      <c r="A435" s="34"/>
      <c r="B435" s="149" t="s">
        <v>886</v>
      </c>
      <c r="C435" s="114" t="s">
        <v>1100</v>
      </c>
      <c r="D435" s="144">
        <v>0</v>
      </c>
      <c r="E435" s="308">
        <v>0</v>
      </c>
      <c r="F435" s="144">
        <v>0</v>
      </c>
      <c r="G435" s="144">
        <v>0</v>
      </c>
      <c r="H435" s="307">
        <v>0</v>
      </c>
      <c r="I435" s="500">
        <f t="shared" si="18"/>
        <v>0</v>
      </c>
    </row>
    <row r="436" spans="1:9" ht="10.5" customHeight="1" x14ac:dyDescent="0.15">
      <c r="A436" s="34"/>
      <c r="B436" s="149" t="s">
        <v>116</v>
      </c>
      <c r="C436" s="114" t="s">
        <v>1105</v>
      </c>
      <c r="D436" s="144">
        <v>0</v>
      </c>
      <c r="E436" s="308">
        <v>0</v>
      </c>
      <c r="F436" s="144">
        <v>0</v>
      </c>
      <c r="G436" s="144">
        <v>0</v>
      </c>
      <c r="H436" s="307">
        <v>0</v>
      </c>
      <c r="I436" s="500">
        <f t="shared" si="18"/>
        <v>0</v>
      </c>
    </row>
    <row r="437" spans="1:9" ht="10.5" customHeight="1" x14ac:dyDescent="0.15">
      <c r="A437" s="34"/>
      <c r="B437" s="149" t="s">
        <v>112</v>
      </c>
      <c r="C437" s="114" t="s">
        <v>1110</v>
      </c>
      <c r="D437" s="144">
        <v>0</v>
      </c>
      <c r="E437" s="308">
        <v>0</v>
      </c>
      <c r="F437" s="144">
        <v>0</v>
      </c>
      <c r="G437" s="144">
        <v>0</v>
      </c>
      <c r="H437" s="307">
        <v>0</v>
      </c>
      <c r="I437" s="500">
        <f t="shared" si="18"/>
        <v>0</v>
      </c>
    </row>
    <row r="438" spans="1:9" ht="10.5" customHeight="1" x14ac:dyDescent="0.15">
      <c r="A438" s="34"/>
      <c r="B438" s="149" t="s">
        <v>887</v>
      </c>
      <c r="C438" s="114" t="s">
        <v>1116</v>
      </c>
      <c r="D438" s="144">
        <v>0</v>
      </c>
      <c r="E438" s="308">
        <v>0</v>
      </c>
      <c r="F438" s="144">
        <v>0</v>
      </c>
      <c r="G438" s="144">
        <v>0</v>
      </c>
      <c r="H438" s="307">
        <v>0</v>
      </c>
      <c r="I438" s="500">
        <f t="shared" si="18"/>
        <v>0</v>
      </c>
    </row>
    <row r="439" spans="1:9" ht="10.5" customHeight="1" x14ac:dyDescent="0.15">
      <c r="A439" s="34"/>
      <c r="B439" s="149" t="s">
        <v>1112</v>
      </c>
      <c r="C439" s="114" t="s">
        <v>1117</v>
      </c>
      <c r="D439" s="144">
        <v>0</v>
      </c>
      <c r="E439" s="308">
        <v>0</v>
      </c>
      <c r="F439" s="144">
        <v>0</v>
      </c>
      <c r="G439" s="144">
        <v>0</v>
      </c>
      <c r="H439" s="307">
        <v>0</v>
      </c>
      <c r="I439" s="500">
        <f t="shared" si="18"/>
        <v>0</v>
      </c>
    </row>
    <row r="440" spans="1:9" ht="10.5" customHeight="1" x14ac:dyDescent="0.15">
      <c r="A440" s="34"/>
      <c r="B440" s="149" t="s">
        <v>1113</v>
      </c>
      <c r="C440" s="114" t="s">
        <v>1118</v>
      </c>
      <c r="D440" s="144">
        <v>0</v>
      </c>
      <c r="E440" s="308">
        <v>0</v>
      </c>
      <c r="F440" s="144">
        <v>0</v>
      </c>
      <c r="G440" s="144">
        <v>0</v>
      </c>
      <c r="H440" s="307">
        <v>0</v>
      </c>
      <c r="I440" s="500">
        <f t="shared" si="18"/>
        <v>0</v>
      </c>
    </row>
    <row r="441" spans="1:9" ht="10.5" customHeight="1" x14ac:dyDescent="0.15">
      <c r="A441" s="34"/>
      <c r="B441" s="149" t="s">
        <v>1114</v>
      </c>
      <c r="C441" s="114" t="s">
        <v>1119</v>
      </c>
      <c r="D441" s="144">
        <v>0</v>
      </c>
      <c r="E441" s="308">
        <v>0</v>
      </c>
      <c r="F441" s="144">
        <v>0</v>
      </c>
      <c r="G441" s="144">
        <v>0</v>
      </c>
      <c r="H441" s="307">
        <v>0</v>
      </c>
      <c r="I441" s="500">
        <f t="shared" si="18"/>
        <v>0</v>
      </c>
    </row>
    <row r="442" spans="1:9" ht="10.5" customHeight="1" x14ac:dyDescent="0.15">
      <c r="A442" s="34"/>
      <c r="B442" s="149" t="s">
        <v>1115</v>
      </c>
      <c r="C442" s="114" t="s">
        <v>1120</v>
      </c>
      <c r="D442" s="144">
        <v>0</v>
      </c>
      <c r="E442" s="308">
        <v>0</v>
      </c>
      <c r="F442" s="144">
        <v>0</v>
      </c>
      <c r="G442" s="144">
        <v>0</v>
      </c>
      <c r="H442" s="307">
        <v>0</v>
      </c>
      <c r="I442" s="500">
        <f t="shared" si="18"/>
        <v>0</v>
      </c>
    </row>
    <row r="443" spans="1:9" ht="10.5" customHeight="1" thickBot="1" x14ac:dyDescent="0.2">
      <c r="A443" s="34"/>
      <c r="B443" s="149" t="s">
        <v>114</v>
      </c>
      <c r="C443" s="114" t="s">
        <v>1121</v>
      </c>
      <c r="D443" s="141">
        <v>0</v>
      </c>
      <c r="E443" s="309">
        <v>0</v>
      </c>
      <c r="F443" s="141">
        <v>0</v>
      </c>
      <c r="G443" s="141">
        <v>0</v>
      </c>
      <c r="H443" s="307">
        <v>0</v>
      </c>
      <c r="I443" s="500">
        <f t="shared" si="18"/>
        <v>0</v>
      </c>
    </row>
    <row r="444" spans="1:9" ht="10.5" customHeight="1" thickTop="1" thickBot="1" x14ac:dyDescent="0.2">
      <c r="A444" s="34"/>
      <c r="B444" s="149"/>
      <c r="C444" s="114" t="s">
        <v>141</v>
      </c>
      <c r="D444" s="166">
        <f>SUM(D416:D443)</f>
        <v>0</v>
      </c>
      <c r="E444" s="297">
        <f>SUM(E416:E443)</f>
        <v>0</v>
      </c>
      <c r="F444" s="166">
        <f>SUM(F416:F443)</f>
        <v>0</v>
      </c>
      <c r="G444" s="166">
        <f>SUM(G416:G443)</f>
        <v>0</v>
      </c>
      <c r="H444" s="166">
        <f>SUM(H416:H443)</f>
        <v>0</v>
      </c>
      <c r="I444" s="297">
        <f>G444+H444</f>
        <v>0</v>
      </c>
    </row>
    <row r="445" spans="1:9" ht="10.5" customHeight="1" thickTop="1" x14ac:dyDescent="0.15">
      <c r="A445" s="34"/>
      <c r="B445" s="149"/>
      <c r="C445" s="114"/>
      <c r="D445" s="14"/>
      <c r="E445" s="301"/>
      <c r="F445" s="14"/>
      <c r="G445" s="14"/>
      <c r="H445" s="312"/>
      <c r="I445" s="298"/>
    </row>
    <row r="446" spans="1:9" ht="10.5" customHeight="1" x14ac:dyDescent="0.15">
      <c r="A446" s="34" t="s">
        <v>142</v>
      </c>
      <c r="C446" s="114"/>
      <c r="D446" s="14"/>
      <c r="E446" s="301"/>
      <c r="F446" s="14"/>
      <c r="G446" s="14"/>
      <c r="H446" s="298"/>
      <c r="I446" s="298"/>
    </row>
    <row r="447" spans="1:9" s="302" customFormat="1" hidden="1" x14ac:dyDescent="0.15">
      <c r="B447" s="304" t="s">
        <v>880</v>
      </c>
      <c r="C447" s="305" t="s">
        <v>1164</v>
      </c>
      <c r="D447" s="308">
        <v>0</v>
      </c>
      <c r="E447" s="308">
        <v>0</v>
      </c>
      <c r="F447" s="308">
        <v>0</v>
      </c>
      <c r="G447" s="458"/>
      <c r="H447" s="457">
        <v>0</v>
      </c>
      <c r="I447" s="494">
        <f>SUM(G447+H447)</f>
        <v>0</v>
      </c>
    </row>
    <row r="448" spans="1:9" s="302" customFormat="1" x14ac:dyDescent="0.15">
      <c r="B448" s="304" t="s">
        <v>880</v>
      </c>
      <c r="C448" s="305" t="s">
        <v>337</v>
      </c>
      <c r="D448" s="308">
        <v>0</v>
      </c>
      <c r="E448" s="308">
        <v>0</v>
      </c>
      <c r="F448" s="308">
        <v>0</v>
      </c>
      <c r="G448" s="308">
        <v>0</v>
      </c>
      <c r="H448" s="457">
        <v>0</v>
      </c>
      <c r="I448" s="494">
        <f>SUM(G448+H448)</f>
        <v>0</v>
      </c>
    </row>
    <row r="449" spans="1:9" s="302" customFormat="1" hidden="1" x14ac:dyDescent="0.15">
      <c r="A449" s="305"/>
      <c r="B449" s="304" t="s">
        <v>881</v>
      </c>
      <c r="C449" s="305" t="s">
        <v>382</v>
      </c>
      <c r="D449" s="308">
        <v>0</v>
      </c>
      <c r="E449" s="308">
        <v>0</v>
      </c>
      <c r="F449" s="308">
        <v>0</v>
      </c>
      <c r="G449" s="459"/>
      <c r="H449" s="457">
        <v>0</v>
      </c>
      <c r="I449" s="494">
        <f>SUM(G449+H449)</f>
        <v>0</v>
      </c>
    </row>
    <row r="450" spans="1:9" s="302" customFormat="1" x14ac:dyDescent="0.15">
      <c r="A450" s="305"/>
      <c r="B450" s="304" t="s">
        <v>881</v>
      </c>
      <c r="C450" s="305" t="s">
        <v>338</v>
      </c>
      <c r="D450" s="308">
        <v>0</v>
      </c>
      <c r="E450" s="308">
        <v>0</v>
      </c>
      <c r="F450" s="308">
        <v>0</v>
      </c>
      <c r="G450" s="308">
        <v>0</v>
      </c>
      <c r="H450" s="457">
        <v>0</v>
      </c>
      <c r="I450" s="494">
        <f>SUM(G450+H450)</f>
        <v>0</v>
      </c>
    </row>
    <row r="451" spans="1:9" ht="10.5" customHeight="1" x14ac:dyDescent="0.15">
      <c r="A451" s="34"/>
      <c r="B451" s="149" t="s">
        <v>882</v>
      </c>
      <c r="C451" s="114" t="s">
        <v>1058</v>
      </c>
      <c r="D451" s="144">
        <v>0</v>
      </c>
      <c r="E451" s="308">
        <v>0</v>
      </c>
      <c r="F451" s="144">
        <v>0</v>
      </c>
      <c r="G451" s="144">
        <v>0</v>
      </c>
      <c r="H451" s="307">
        <v>0</v>
      </c>
      <c r="I451" s="500">
        <f t="shared" ref="I451:I473" si="19">SUM(G451+H451)</f>
        <v>0</v>
      </c>
    </row>
    <row r="452" spans="1:9" ht="10.5" customHeight="1" x14ac:dyDescent="0.15">
      <c r="A452" s="34"/>
      <c r="B452" s="149" t="s">
        <v>883</v>
      </c>
      <c r="C452" s="114" t="s">
        <v>1059</v>
      </c>
      <c r="D452" s="144">
        <v>0</v>
      </c>
      <c r="E452" s="308">
        <v>0</v>
      </c>
      <c r="F452" s="144">
        <v>0</v>
      </c>
      <c r="G452" s="144">
        <v>0</v>
      </c>
      <c r="H452" s="307">
        <v>0</v>
      </c>
      <c r="I452" s="500">
        <f t="shared" si="19"/>
        <v>0</v>
      </c>
    </row>
    <row r="453" spans="1:9" ht="10.5" customHeight="1" x14ac:dyDescent="0.15">
      <c r="A453" s="34"/>
      <c r="B453" s="149" t="s">
        <v>1060</v>
      </c>
      <c r="C453" s="114" t="s">
        <v>1061</v>
      </c>
      <c r="D453" s="144">
        <v>0</v>
      </c>
      <c r="E453" s="308">
        <v>0</v>
      </c>
      <c r="F453" s="144">
        <v>0</v>
      </c>
      <c r="G453" s="144">
        <v>0</v>
      </c>
      <c r="H453" s="307">
        <v>0</v>
      </c>
      <c r="I453" s="500">
        <f t="shared" si="19"/>
        <v>0</v>
      </c>
    </row>
    <row r="454" spans="1:9" ht="10.5" customHeight="1" x14ac:dyDescent="0.15">
      <c r="A454" s="34"/>
      <c r="B454" s="149" t="s">
        <v>1062</v>
      </c>
      <c r="C454" s="114" t="s">
        <v>1063</v>
      </c>
      <c r="D454" s="144">
        <v>0</v>
      </c>
      <c r="E454" s="308">
        <v>0</v>
      </c>
      <c r="F454" s="144">
        <v>0</v>
      </c>
      <c r="G454" s="144">
        <v>0</v>
      </c>
      <c r="H454" s="307">
        <v>0</v>
      </c>
      <c r="I454" s="500">
        <f t="shared" si="19"/>
        <v>0</v>
      </c>
    </row>
    <row r="455" spans="1:9" ht="10.5" customHeight="1" x14ac:dyDescent="0.15">
      <c r="A455" s="34"/>
      <c r="B455" s="149" t="s">
        <v>884</v>
      </c>
      <c r="C455" s="114" t="s">
        <v>1064</v>
      </c>
      <c r="D455" s="144">
        <v>0</v>
      </c>
      <c r="E455" s="308">
        <v>0</v>
      </c>
      <c r="F455" s="144">
        <v>0</v>
      </c>
      <c r="G455" s="144">
        <v>0</v>
      </c>
      <c r="H455" s="307">
        <v>0</v>
      </c>
      <c r="I455" s="500">
        <f t="shared" si="19"/>
        <v>0</v>
      </c>
    </row>
    <row r="456" spans="1:9" ht="10.5" customHeight="1" x14ac:dyDescent="0.15">
      <c r="A456" s="34"/>
      <c r="B456" s="718" t="s">
        <v>155</v>
      </c>
      <c r="C456" s="719" t="s">
        <v>178</v>
      </c>
      <c r="D456" s="144">
        <v>0</v>
      </c>
      <c r="E456" s="308">
        <v>0</v>
      </c>
      <c r="F456" s="144">
        <v>0</v>
      </c>
      <c r="G456" s="144">
        <v>0</v>
      </c>
      <c r="H456" s="307">
        <v>0</v>
      </c>
      <c r="I456" s="500">
        <f t="shared" ref="I456" si="20">SUM(G456+H456)</f>
        <v>0</v>
      </c>
    </row>
    <row r="457" spans="1:9" ht="10.5" customHeight="1" x14ac:dyDescent="0.15">
      <c r="A457" s="34"/>
      <c r="B457" s="149" t="s">
        <v>927</v>
      </c>
      <c r="C457" s="114" t="s">
        <v>959</v>
      </c>
      <c r="D457" s="144">
        <v>0</v>
      </c>
      <c r="E457" s="308">
        <v>0</v>
      </c>
      <c r="F457" s="144">
        <v>0</v>
      </c>
      <c r="G457" s="144">
        <v>0</v>
      </c>
      <c r="H457" s="307">
        <v>0</v>
      </c>
      <c r="I457" s="500">
        <f t="shared" si="19"/>
        <v>0</v>
      </c>
    </row>
    <row r="458" spans="1:9" ht="10.5" customHeight="1" x14ac:dyDescent="0.15">
      <c r="A458" s="34"/>
      <c r="B458" s="149" t="s">
        <v>928</v>
      </c>
      <c r="C458" s="114" t="s">
        <v>961</v>
      </c>
      <c r="D458" s="144">
        <v>0</v>
      </c>
      <c r="E458" s="308">
        <v>0</v>
      </c>
      <c r="F458" s="144">
        <v>0</v>
      </c>
      <c r="G458" s="144">
        <v>0</v>
      </c>
      <c r="H458" s="307">
        <v>0</v>
      </c>
      <c r="I458" s="500">
        <f t="shared" si="19"/>
        <v>0</v>
      </c>
    </row>
    <row r="459" spans="1:9" ht="10.5" customHeight="1" x14ac:dyDescent="0.15">
      <c r="A459" s="34"/>
      <c r="B459" s="149" t="s">
        <v>962</v>
      </c>
      <c r="C459" s="114" t="s">
        <v>967</v>
      </c>
      <c r="D459" s="144">
        <v>0</v>
      </c>
      <c r="E459" s="308">
        <v>0</v>
      </c>
      <c r="F459" s="144">
        <v>0</v>
      </c>
      <c r="G459" s="144">
        <v>0</v>
      </c>
      <c r="H459" s="307">
        <v>0</v>
      </c>
      <c r="I459" s="500">
        <f t="shared" si="19"/>
        <v>0</v>
      </c>
    </row>
    <row r="460" spans="1:9" ht="10.5" customHeight="1" x14ac:dyDescent="0.15">
      <c r="A460" s="34"/>
      <c r="B460" s="149" t="s">
        <v>963</v>
      </c>
      <c r="C460" s="114" t="s">
        <v>1124</v>
      </c>
      <c r="D460" s="144">
        <v>0</v>
      </c>
      <c r="E460" s="308">
        <v>0</v>
      </c>
      <c r="F460" s="144">
        <v>0</v>
      </c>
      <c r="G460" s="144">
        <v>0</v>
      </c>
      <c r="H460" s="307">
        <v>0</v>
      </c>
      <c r="I460" s="500">
        <f t="shared" si="19"/>
        <v>0</v>
      </c>
    </row>
    <row r="461" spans="1:9" ht="10.5" customHeight="1" x14ac:dyDescent="0.15">
      <c r="A461" s="34"/>
      <c r="B461" s="149" t="s">
        <v>964</v>
      </c>
      <c r="C461" s="114" t="s">
        <v>1094</v>
      </c>
      <c r="D461" s="144">
        <v>0</v>
      </c>
      <c r="E461" s="308">
        <v>0</v>
      </c>
      <c r="F461" s="144">
        <v>0</v>
      </c>
      <c r="G461" s="144">
        <v>0</v>
      </c>
      <c r="H461" s="307">
        <v>0</v>
      </c>
      <c r="I461" s="500">
        <f t="shared" si="19"/>
        <v>0</v>
      </c>
    </row>
    <row r="462" spans="1:9" ht="10.5" customHeight="1" x14ac:dyDescent="0.15">
      <c r="A462" s="34"/>
      <c r="B462" s="149" t="s">
        <v>965</v>
      </c>
      <c r="C462" s="114" t="s">
        <v>1095</v>
      </c>
      <c r="D462" s="144">
        <v>0</v>
      </c>
      <c r="E462" s="308">
        <v>0</v>
      </c>
      <c r="F462" s="144">
        <v>0</v>
      </c>
      <c r="G462" s="144">
        <v>0</v>
      </c>
      <c r="H462" s="307">
        <v>0</v>
      </c>
      <c r="I462" s="500">
        <f t="shared" si="19"/>
        <v>0</v>
      </c>
    </row>
    <row r="463" spans="1:9" ht="10.5" customHeight="1" x14ac:dyDescent="0.15">
      <c r="A463" s="34"/>
      <c r="B463" s="149" t="s">
        <v>885</v>
      </c>
      <c r="C463" s="114" t="s">
        <v>1096</v>
      </c>
      <c r="D463" s="144">
        <v>0</v>
      </c>
      <c r="E463" s="308">
        <v>0</v>
      </c>
      <c r="F463" s="144">
        <v>0</v>
      </c>
      <c r="G463" s="144">
        <v>0</v>
      </c>
      <c r="H463" s="307">
        <v>0</v>
      </c>
      <c r="I463" s="500">
        <f t="shared" si="19"/>
        <v>0</v>
      </c>
    </row>
    <row r="464" spans="1:9" ht="10.5" customHeight="1" x14ac:dyDescent="0.15">
      <c r="A464" s="34"/>
      <c r="B464" s="149" t="s">
        <v>966</v>
      </c>
      <c r="C464" s="114" t="s">
        <v>1097</v>
      </c>
      <c r="D464" s="144">
        <v>0</v>
      </c>
      <c r="E464" s="308">
        <v>0</v>
      </c>
      <c r="F464" s="144">
        <v>0</v>
      </c>
      <c r="G464" s="144">
        <v>0</v>
      </c>
      <c r="H464" s="307">
        <v>0</v>
      </c>
      <c r="I464" s="500">
        <f t="shared" si="19"/>
        <v>0</v>
      </c>
    </row>
    <row r="465" spans="1:10" ht="10.5" customHeight="1" x14ac:dyDescent="0.15">
      <c r="A465" s="34"/>
      <c r="B465" s="149" t="s">
        <v>886</v>
      </c>
      <c r="C465" s="114" t="s">
        <v>1100</v>
      </c>
      <c r="D465" s="144">
        <v>0</v>
      </c>
      <c r="E465" s="308">
        <v>0</v>
      </c>
      <c r="F465" s="144">
        <v>0</v>
      </c>
      <c r="G465" s="144">
        <v>0</v>
      </c>
      <c r="H465" s="307">
        <v>0</v>
      </c>
      <c r="I465" s="500">
        <f t="shared" si="19"/>
        <v>0</v>
      </c>
    </row>
    <row r="466" spans="1:10" ht="10.5" customHeight="1" x14ac:dyDescent="0.15">
      <c r="A466" s="34"/>
      <c r="B466" s="149" t="s">
        <v>116</v>
      </c>
      <c r="C466" s="114" t="s">
        <v>1105</v>
      </c>
      <c r="D466" s="144">
        <v>0</v>
      </c>
      <c r="E466" s="308">
        <v>0</v>
      </c>
      <c r="F466" s="144">
        <v>0</v>
      </c>
      <c r="G466" s="144">
        <v>0</v>
      </c>
      <c r="H466" s="307">
        <v>0</v>
      </c>
      <c r="I466" s="500">
        <f t="shared" si="19"/>
        <v>0</v>
      </c>
    </row>
    <row r="467" spans="1:10" ht="10.5" customHeight="1" x14ac:dyDescent="0.15">
      <c r="A467" s="34"/>
      <c r="B467" s="149" t="s">
        <v>112</v>
      </c>
      <c r="C467" s="114" t="s">
        <v>1110</v>
      </c>
      <c r="D467" s="144">
        <v>0</v>
      </c>
      <c r="E467" s="308">
        <v>0</v>
      </c>
      <c r="F467" s="144">
        <v>0</v>
      </c>
      <c r="G467" s="144">
        <v>0</v>
      </c>
      <c r="H467" s="307">
        <v>0</v>
      </c>
      <c r="I467" s="500">
        <f t="shared" si="19"/>
        <v>0</v>
      </c>
    </row>
    <row r="468" spans="1:10" ht="10.5" customHeight="1" x14ac:dyDescent="0.15">
      <c r="A468" s="34"/>
      <c r="B468" s="149" t="s">
        <v>887</v>
      </c>
      <c r="C468" s="114" t="s">
        <v>1116</v>
      </c>
      <c r="D468" s="144">
        <v>0</v>
      </c>
      <c r="E468" s="308">
        <v>0</v>
      </c>
      <c r="F468" s="144">
        <v>0</v>
      </c>
      <c r="G468" s="144">
        <v>0</v>
      </c>
      <c r="H468" s="307">
        <v>0</v>
      </c>
      <c r="I468" s="500">
        <f t="shared" si="19"/>
        <v>0</v>
      </c>
    </row>
    <row r="469" spans="1:10" ht="10.5" customHeight="1" x14ac:dyDescent="0.15">
      <c r="A469" s="34"/>
      <c r="B469" s="149" t="s">
        <v>1112</v>
      </c>
      <c r="C469" s="114" t="s">
        <v>1117</v>
      </c>
      <c r="D469" s="144">
        <v>0</v>
      </c>
      <c r="E469" s="308">
        <v>0</v>
      </c>
      <c r="F469" s="144">
        <v>0</v>
      </c>
      <c r="G469" s="144">
        <v>0</v>
      </c>
      <c r="H469" s="307">
        <v>0</v>
      </c>
      <c r="I469" s="500">
        <f t="shared" si="19"/>
        <v>0</v>
      </c>
    </row>
    <row r="470" spans="1:10" ht="10.5" customHeight="1" x14ac:dyDescent="0.15">
      <c r="A470" s="34"/>
      <c r="B470" s="149" t="s">
        <v>1113</v>
      </c>
      <c r="C470" s="114" t="s">
        <v>1118</v>
      </c>
      <c r="D470" s="144">
        <v>0</v>
      </c>
      <c r="E470" s="308">
        <v>0</v>
      </c>
      <c r="F470" s="144">
        <v>0</v>
      </c>
      <c r="G470" s="144">
        <v>0</v>
      </c>
      <c r="H470" s="307">
        <v>0</v>
      </c>
      <c r="I470" s="500">
        <f t="shared" si="19"/>
        <v>0</v>
      </c>
    </row>
    <row r="471" spans="1:10" ht="10.5" customHeight="1" x14ac:dyDescent="0.15">
      <c r="A471" s="34"/>
      <c r="B471" s="149" t="s">
        <v>1114</v>
      </c>
      <c r="C471" s="114" t="s">
        <v>1119</v>
      </c>
      <c r="D471" s="144">
        <v>0</v>
      </c>
      <c r="E471" s="308">
        <v>0</v>
      </c>
      <c r="F471" s="144">
        <v>0</v>
      </c>
      <c r="G471" s="144">
        <v>0</v>
      </c>
      <c r="H471" s="307">
        <v>0</v>
      </c>
      <c r="I471" s="500">
        <f t="shared" si="19"/>
        <v>0</v>
      </c>
    </row>
    <row r="472" spans="1:10" ht="10.5" customHeight="1" x14ac:dyDescent="0.15">
      <c r="A472" s="34"/>
      <c r="B472" s="149" t="s">
        <v>1115</v>
      </c>
      <c r="C472" s="114" t="s">
        <v>1120</v>
      </c>
      <c r="D472" s="144">
        <v>0</v>
      </c>
      <c r="E472" s="308">
        <v>0</v>
      </c>
      <c r="F472" s="144">
        <v>0</v>
      </c>
      <c r="G472" s="144">
        <v>0</v>
      </c>
      <c r="H472" s="307">
        <v>0</v>
      </c>
      <c r="I472" s="500">
        <f t="shared" si="19"/>
        <v>0</v>
      </c>
    </row>
    <row r="473" spans="1:10" ht="10.5" customHeight="1" thickBot="1" x14ac:dyDescent="0.2">
      <c r="A473" s="34"/>
      <c r="B473" s="149" t="s">
        <v>114</v>
      </c>
      <c r="C473" s="114" t="s">
        <v>1121</v>
      </c>
      <c r="D473" s="141">
        <v>0</v>
      </c>
      <c r="E473" s="309">
        <v>0</v>
      </c>
      <c r="F473" s="141">
        <v>0</v>
      </c>
      <c r="G473" s="141">
        <v>0</v>
      </c>
      <c r="H473" s="307">
        <v>0</v>
      </c>
      <c r="I473" s="500">
        <f t="shared" si="19"/>
        <v>0</v>
      </c>
    </row>
    <row r="474" spans="1:10" ht="10.5" customHeight="1" thickTop="1" thickBot="1" x14ac:dyDescent="0.2">
      <c r="A474" s="34"/>
      <c r="B474" s="149"/>
      <c r="C474" s="114" t="s">
        <v>143</v>
      </c>
      <c r="D474" s="166">
        <f>SUM(D447:D473)</f>
        <v>0</v>
      </c>
      <c r="E474" s="297">
        <f>SUM(E447:E473)</f>
        <v>0</v>
      </c>
      <c r="F474" s="166">
        <f>SUM(F447:F473)</f>
        <v>0</v>
      </c>
      <c r="G474" s="166">
        <f>SUM(G447:G473)</f>
        <v>0</v>
      </c>
      <c r="H474" s="166">
        <f>SUM(H447:H473)</f>
        <v>0</v>
      </c>
      <c r="I474" s="297">
        <f>G474+H474</f>
        <v>0</v>
      </c>
    </row>
    <row r="475" spans="1:10" ht="10.5" customHeight="1" thickTop="1" x14ac:dyDescent="0.15">
      <c r="A475" s="34"/>
      <c r="B475" s="149"/>
      <c r="C475" s="114"/>
      <c r="D475" s="14"/>
      <c r="E475" s="301"/>
      <c r="F475" s="14"/>
      <c r="G475" s="14"/>
      <c r="H475" s="301"/>
      <c r="I475" s="498"/>
    </row>
    <row r="476" spans="1:10" ht="10.5" customHeight="1" x14ac:dyDescent="0.15">
      <c r="A476" s="34" t="s">
        <v>144</v>
      </c>
      <c r="C476" s="114"/>
      <c r="D476" s="14"/>
      <c r="E476" s="301"/>
      <c r="F476" s="14"/>
      <c r="G476" s="14"/>
      <c r="H476" s="312"/>
      <c r="I476" s="298"/>
    </row>
    <row r="477" spans="1:10" s="302" customFormat="1" hidden="1" x14ac:dyDescent="0.15">
      <c r="B477" s="304" t="s">
        <v>880</v>
      </c>
      <c r="C477" s="305" t="s">
        <v>1164</v>
      </c>
      <c r="D477" s="308">
        <v>0</v>
      </c>
      <c r="E477" s="308">
        <v>0</v>
      </c>
      <c r="F477" s="308">
        <v>0</v>
      </c>
      <c r="G477" s="458"/>
      <c r="H477" s="457">
        <v>0</v>
      </c>
      <c r="I477" s="494">
        <f>SUM(G477+H477)</f>
        <v>0</v>
      </c>
    </row>
    <row r="478" spans="1:10" s="302" customFormat="1" x14ac:dyDescent="0.15">
      <c r="B478" s="304" t="s">
        <v>880</v>
      </c>
      <c r="C478" s="305" t="s">
        <v>337</v>
      </c>
      <c r="D478" s="308">
        <v>0</v>
      </c>
      <c r="E478" s="308">
        <v>0</v>
      </c>
      <c r="F478" s="308">
        <v>0</v>
      </c>
      <c r="G478" s="308">
        <v>0</v>
      </c>
      <c r="H478" s="457">
        <v>0</v>
      </c>
      <c r="I478" s="494">
        <f>SUM(G478+H478)</f>
        <v>0</v>
      </c>
    </row>
    <row r="479" spans="1:10" s="302" customFormat="1" hidden="1" x14ac:dyDescent="0.15">
      <c r="A479" s="305"/>
      <c r="B479" s="304" t="s">
        <v>881</v>
      </c>
      <c r="C479" s="305" t="s">
        <v>382</v>
      </c>
      <c r="D479" s="308">
        <v>0</v>
      </c>
      <c r="E479" s="308">
        <v>0</v>
      </c>
      <c r="F479" s="308">
        <v>0</v>
      </c>
      <c r="G479" s="459"/>
      <c r="H479" s="457">
        <v>0</v>
      </c>
      <c r="I479" s="494">
        <f>SUM(G479+H479)</f>
        <v>0</v>
      </c>
    </row>
    <row r="480" spans="1:10" x14ac:dyDescent="0.15">
      <c r="A480" s="114"/>
      <c r="B480" s="149" t="s">
        <v>881</v>
      </c>
      <c r="C480" s="114" t="s">
        <v>338</v>
      </c>
      <c r="D480" s="144">
        <v>0</v>
      </c>
      <c r="E480" s="308">
        <v>0</v>
      </c>
      <c r="F480" s="144">
        <v>0</v>
      </c>
      <c r="G480" s="144">
        <v>0</v>
      </c>
      <c r="H480" s="147">
        <v>0</v>
      </c>
      <c r="I480" s="495">
        <f>SUM(G480+H480)</f>
        <v>0</v>
      </c>
      <c r="J480" s="302"/>
    </row>
    <row r="481" spans="1:9" ht="10.5" customHeight="1" x14ac:dyDescent="0.15">
      <c r="A481" s="34"/>
      <c r="B481" s="149" t="s">
        <v>882</v>
      </c>
      <c r="C481" s="114" t="s">
        <v>1058</v>
      </c>
      <c r="D481" s="144">
        <v>0</v>
      </c>
      <c r="E481" s="308">
        <v>0</v>
      </c>
      <c r="F481" s="144">
        <v>0</v>
      </c>
      <c r="G481" s="144">
        <v>0</v>
      </c>
      <c r="H481" s="308">
        <v>0</v>
      </c>
      <c r="I481" s="464">
        <f t="shared" ref="I481:I503" si="21">SUM(G481+H481)</f>
        <v>0</v>
      </c>
    </row>
    <row r="482" spans="1:9" ht="10.5" customHeight="1" x14ac:dyDescent="0.15">
      <c r="A482" s="34"/>
      <c r="B482" s="149" t="s">
        <v>883</v>
      </c>
      <c r="C482" s="114" t="s">
        <v>1059</v>
      </c>
      <c r="D482" s="144">
        <v>0</v>
      </c>
      <c r="E482" s="308">
        <v>0</v>
      </c>
      <c r="F482" s="144">
        <v>0</v>
      </c>
      <c r="G482" s="144">
        <v>0</v>
      </c>
      <c r="H482" s="308">
        <v>0</v>
      </c>
      <c r="I482" s="464">
        <f t="shared" si="21"/>
        <v>0</v>
      </c>
    </row>
    <row r="483" spans="1:9" ht="10.5" customHeight="1" x14ac:dyDescent="0.15">
      <c r="A483" s="34"/>
      <c r="B483" s="149" t="s">
        <v>1060</v>
      </c>
      <c r="C483" s="114" t="s">
        <v>1061</v>
      </c>
      <c r="D483" s="144">
        <v>0</v>
      </c>
      <c r="E483" s="308">
        <v>0</v>
      </c>
      <c r="F483" s="144">
        <v>0</v>
      </c>
      <c r="G483" s="144">
        <v>0</v>
      </c>
      <c r="H483" s="308">
        <v>0</v>
      </c>
      <c r="I483" s="464">
        <f t="shared" si="21"/>
        <v>0</v>
      </c>
    </row>
    <row r="484" spans="1:9" ht="10.5" customHeight="1" x14ac:dyDescent="0.15">
      <c r="A484" s="34"/>
      <c r="B484" s="149" t="s">
        <v>1062</v>
      </c>
      <c r="C484" s="114" t="s">
        <v>1063</v>
      </c>
      <c r="D484" s="144">
        <v>0</v>
      </c>
      <c r="E484" s="308">
        <v>0</v>
      </c>
      <c r="F484" s="144">
        <v>0</v>
      </c>
      <c r="G484" s="144">
        <v>0</v>
      </c>
      <c r="H484" s="308">
        <v>0</v>
      </c>
      <c r="I484" s="464">
        <f t="shared" si="21"/>
        <v>0</v>
      </c>
    </row>
    <row r="485" spans="1:9" ht="10.5" customHeight="1" x14ac:dyDescent="0.15">
      <c r="A485" s="34"/>
      <c r="B485" s="149" t="s">
        <v>884</v>
      </c>
      <c r="C485" s="114" t="s">
        <v>1064</v>
      </c>
      <c r="D485" s="144">
        <v>0</v>
      </c>
      <c r="E485" s="308">
        <v>0</v>
      </c>
      <c r="F485" s="144">
        <v>0</v>
      </c>
      <c r="G485" s="144">
        <v>0</v>
      </c>
      <c r="H485" s="308">
        <v>0</v>
      </c>
      <c r="I485" s="464">
        <f t="shared" si="21"/>
        <v>0</v>
      </c>
    </row>
    <row r="486" spans="1:9" ht="10.5" customHeight="1" x14ac:dyDescent="0.15">
      <c r="A486" s="34"/>
      <c r="B486" s="718" t="s">
        <v>155</v>
      </c>
      <c r="C486" s="719" t="s">
        <v>178</v>
      </c>
      <c r="D486" s="144">
        <v>0</v>
      </c>
      <c r="E486" s="308">
        <v>0</v>
      </c>
      <c r="F486" s="144">
        <v>0</v>
      </c>
      <c r="G486" s="144">
        <v>0</v>
      </c>
      <c r="H486" s="308">
        <v>0</v>
      </c>
      <c r="I486" s="464">
        <f t="shared" ref="I486" si="22">SUM(G486+H486)</f>
        <v>0</v>
      </c>
    </row>
    <row r="487" spans="1:9" ht="10.5" customHeight="1" x14ac:dyDescent="0.15">
      <c r="A487" s="34"/>
      <c r="B487" s="149" t="s">
        <v>927</v>
      </c>
      <c r="C487" s="114" t="s">
        <v>959</v>
      </c>
      <c r="D487" s="144">
        <v>0</v>
      </c>
      <c r="E487" s="308">
        <v>0</v>
      </c>
      <c r="F487" s="144">
        <v>0</v>
      </c>
      <c r="G487" s="144">
        <v>0</v>
      </c>
      <c r="H487" s="308">
        <v>0</v>
      </c>
      <c r="I487" s="464">
        <f t="shared" si="21"/>
        <v>0</v>
      </c>
    </row>
    <row r="488" spans="1:9" ht="10.5" customHeight="1" x14ac:dyDescent="0.15">
      <c r="A488" s="34"/>
      <c r="B488" s="149" t="s">
        <v>928</v>
      </c>
      <c r="C488" s="114" t="s">
        <v>961</v>
      </c>
      <c r="D488" s="144">
        <v>0</v>
      </c>
      <c r="E488" s="308">
        <v>0</v>
      </c>
      <c r="F488" s="144">
        <v>0</v>
      </c>
      <c r="G488" s="144">
        <v>0</v>
      </c>
      <c r="H488" s="308">
        <v>0</v>
      </c>
      <c r="I488" s="464">
        <f t="shared" si="21"/>
        <v>0</v>
      </c>
    </row>
    <row r="489" spans="1:9" ht="10.5" customHeight="1" x14ac:dyDescent="0.15">
      <c r="A489" s="34"/>
      <c r="B489" s="149" t="s">
        <v>962</v>
      </c>
      <c r="C489" s="114" t="s">
        <v>967</v>
      </c>
      <c r="D489" s="144">
        <v>0</v>
      </c>
      <c r="E489" s="308">
        <v>0</v>
      </c>
      <c r="F489" s="144">
        <v>0</v>
      </c>
      <c r="G489" s="144">
        <v>0</v>
      </c>
      <c r="H489" s="308">
        <v>0</v>
      </c>
      <c r="I489" s="464">
        <f t="shared" si="21"/>
        <v>0</v>
      </c>
    </row>
    <row r="490" spans="1:9" ht="10.5" customHeight="1" x14ac:dyDescent="0.15">
      <c r="A490" s="34"/>
      <c r="B490" s="149" t="s">
        <v>963</v>
      </c>
      <c r="C490" s="114" t="s">
        <v>1124</v>
      </c>
      <c r="D490" s="144">
        <v>0</v>
      </c>
      <c r="E490" s="308">
        <v>0</v>
      </c>
      <c r="F490" s="144">
        <v>0</v>
      </c>
      <c r="G490" s="144">
        <v>0</v>
      </c>
      <c r="H490" s="308">
        <v>0</v>
      </c>
      <c r="I490" s="464">
        <f t="shared" si="21"/>
        <v>0</v>
      </c>
    </row>
    <row r="491" spans="1:9" ht="10.5" customHeight="1" x14ac:dyDescent="0.15">
      <c r="A491" s="34"/>
      <c r="B491" s="149" t="s">
        <v>964</v>
      </c>
      <c r="C491" s="114" t="s">
        <v>1094</v>
      </c>
      <c r="D491" s="144">
        <v>0</v>
      </c>
      <c r="E491" s="308">
        <v>0</v>
      </c>
      <c r="F491" s="144">
        <v>0</v>
      </c>
      <c r="G491" s="144">
        <v>0</v>
      </c>
      <c r="H491" s="308">
        <v>0</v>
      </c>
      <c r="I491" s="464">
        <f t="shared" si="21"/>
        <v>0</v>
      </c>
    </row>
    <row r="492" spans="1:9" ht="10.5" customHeight="1" x14ac:dyDescent="0.15">
      <c r="A492" s="34"/>
      <c r="B492" s="149" t="s">
        <v>965</v>
      </c>
      <c r="C492" s="114" t="s">
        <v>1095</v>
      </c>
      <c r="D492" s="144">
        <v>0</v>
      </c>
      <c r="E492" s="308">
        <v>0</v>
      </c>
      <c r="F492" s="144">
        <v>0</v>
      </c>
      <c r="G492" s="144">
        <v>0</v>
      </c>
      <c r="H492" s="308">
        <v>0</v>
      </c>
      <c r="I492" s="464">
        <f t="shared" si="21"/>
        <v>0</v>
      </c>
    </row>
    <row r="493" spans="1:9" ht="10.5" customHeight="1" x14ac:dyDescent="0.15">
      <c r="A493" s="34"/>
      <c r="B493" s="149" t="s">
        <v>885</v>
      </c>
      <c r="C493" s="114" t="s">
        <v>1096</v>
      </c>
      <c r="D493" s="144">
        <v>0</v>
      </c>
      <c r="E493" s="308">
        <v>0</v>
      </c>
      <c r="F493" s="144">
        <v>0</v>
      </c>
      <c r="G493" s="144">
        <v>0</v>
      </c>
      <c r="H493" s="308">
        <v>0</v>
      </c>
      <c r="I493" s="464">
        <f t="shared" si="21"/>
        <v>0</v>
      </c>
    </row>
    <row r="494" spans="1:9" ht="10.5" customHeight="1" x14ac:dyDescent="0.15">
      <c r="A494" s="34"/>
      <c r="B494" s="149" t="s">
        <v>145</v>
      </c>
      <c r="C494" s="114" t="s">
        <v>756</v>
      </c>
      <c r="D494" s="144">
        <v>0</v>
      </c>
      <c r="E494" s="308">
        <v>0</v>
      </c>
      <c r="F494" s="144">
        <v>0</v>
      </c>
      <c r="G494" s="144">
        <v>0</v>
      </c>
      <c r="H494" s="308">
        <v>0</v>
      </c>
      <c r="I494" s="464">
        <f t="shared" si="21"/>
        <v>0</v>
      </c>
    </row>
    <row r="495" spans="1:9" ht="10.5" customHeight="1" x14ac:dyDescent="0.15">
      <c r="A495" s="34"/>
      <c r="B495" s="149" t="s">
        <v>966</v>
      </c>
      <c r="C495" s="114" t="s">
        <v>1097</v>
      </c>
      <c r="D495" s="144">
        <v>0</v>
      </c>
      <c r="E495" s="308">
        <v>0</v>
      </c>
      <c r="F495" s="144">
        <v>0</v>
      </c>
      <c r="G495" s="144">
        <v>0</v>
      </c>
      <c r="H495" s="308">
        <v>0</v>
      </c>
      <c r="I495" s="464">
        <f t="shared" si="21"/>
        <v>0</v>
      </c>
    </row>
    <row r="496" spans="1:9" ht="10.5" customHeight="1" x14ac:dyDescent="0.15">
      <c r="A496" s="34"/>
      <c r="B496" s="149" t="s">
        <v>886</v>
      </c>
      <c r="C496" s="114" t="s">
        <v>1100</v>
      </c>
      <c r="D496" s="144">
        <v>0</v>
      </c>
      <c r="E496" s="308">
        <v>0</v>
      </c>
      <c r="F496" s="144">
        <v>0</v>
      </c>
      <c r="G496" s="144">
        <v>0</v>
      </c>
      <c r="H496" s="308">
        <v>0</v>
      </c>
      <c r="I496" s="464">
        <f t="shared" si="21"/>
        <v>0</v>
      </c>
    </row>
    <row r="497" spans="1:10" ht="10.5" customHeight="1" x14ac:dyDescent="0.15">
      <c r="A497" s="34"/>
      <c r="B497" s="149" t="s">
        <v>116</v>
      </c>
      <c r="C497" s="114" t="s">
        <v>1105</v>
      </c>
      <c r="D497" s="144">
        <v>0</v>
      </c>
      <c r="E497" s="308">
        <v>0</v>
      </c>
      <c r="F497" s="144">
        <v>0</v>
      </c>
      <c r="G497" s="144">
        <v>0</v>
      </c>
      <c r="H497" s="308">
        <v>0</v>
      </c>
      <c r="I497" s="464">
        <f t="shared" si="21"/>
        <v>0</v>
      </c>
    </row>
    <row r="498" spans="1:10" ht="10.5" customHeight="1" x14ac:dyDescent="0.15">
      <c r="A498" s="34"/>
      <c r="B498" s="149" t="s">
        <v>112</v>
      </c>
      <c r="C498" s="114" t="s">
        <v>1110</v>
      </c>
      <c r="D498" s="144">
        <v>0</v>
      </c>
      <c r="E498" s="308">
        <v>0</v>
      </c>
      <c r="F498" s="144">
        <v>0</v>
      </c>
      <c r="G498" s="144">
        <v>0</v>
      </c>
      <c r="H498" s="308">
        <v>0</v>
      </c>
      <c r="I498" s="464">
        <f t="shared" si="21"/>
        <v>0</v>
      </c>
    </row>
    <row r="499" spans="1:10" ht="10.5" customHeight="1" x14ac:dyDescent="0.15">
      <c r="A499" s="34"/>
      <c r="B499" s="149" t="s">
        <v>887</v>
      </c>
      <c r="C499" s="114" t="s">
        <v>1116</v>
      </c>
      <c r="D499" s="144">
        <v>0</v>
      </c>
      <c r="E499" s="308">
        <v>0</v>
      </c>
      <c r="F499" s="144">
        <v>0</v>
      </c>
      <c r="G499" s="144">
        <v>0</v>
      </c>
      <c r="H499" s="308">
        <v>0</v>
      </c>
      <c r="I499" s="464">
        <f t="shared" si="21"/>
        <v>0</v>
      </c>
    </row>
    <row r="500" spans="1:10" ht="10.5" customHeight="1" x14ac:dyDescent="0.15">
      <c r="A500" s="34"/>
      <c r="B500" s="149" t="s">
        <v>1112</v>
      </c>
      <c r="C500" s="114" t="s">
        <v>1117</v>
      </c>
      <c r="D500" s="144">
        <v>0</v>
      </c>
      <c r="E500" s="308">
        <v>0</v>
      </c>
      <c r="F500" s="144">
        <v>0</v>
      </c>
      <c r="G500" s="144">
        <v>0</v>
      </c>
      <c r="H500" s="308">
        <v>0</v>
      </c>
      <c r="I500" s="464">
        <f t="shared" si="21"/>
        <v>0</v>
      </c>
    </row>
    <row r="501" spans="1:10" ht="10.5" customHeight="1" x14ac:dyDescent="0.15">
      <c r="A501" s="34"/>
      <c r="B501" s="149" t="s">
        <v>1113</v>
      </c>
      <c r="C501" s="114" t="s">
        <v>1118</v>
      </c>
      <c r="D501" s="144">
        <v>0</v>
      </c>
      <c r="E501" s="308">
        <v>0</v>
      </c>
      <c r="F501" s="144">
        <v>0</v>
      </c>
      <c r="G501" s="144">
        <v>0</v>
      </c>
      <c r="H501" s="308">
        <v>0</v>
      </c>
      <c r="I501" s="464">
        <f t="shared" si="21"/>
        <v>0</v>
      </c>
    </row>
    <row r="502" spans="1:10" ht="10.5" customHeight="1" x14ac:dyDescent="0.15">
      <c r="A502" s="34"/>
      <c r="B502" s="149" t="s">
        <v>1114</v>
      </c>
      <c r="C502" s="114" t="s">
        <v>1119</v>
      </c>
      <c r="D502" s="144">
        <v>0</v>
      </c>
      <c r="E502" s="308">
        <v>0</v>
      </c>
      <c r="F502" s="144">
        <v>0</v>
      </c>
      <c r="G502" s="144">
        <v>0</v>
      </c>
      <c r="H502" s="308">
        <v>0</v>
      </c>
      <c r="I502" s="464">
        <f t="shared" si="21"/>
        <v>0</v>
      </c>
    </row>
    <row r="503" spans="1:10" ht="10.5" customHeight="1" x14ac:dyDescent="0.15">
      <c r="A503" s="34"/>
      <c r="B503" s="149" t="s">
        <v>1115</v>
      </c>
      <c r="C503" s="114" t="s">
        <v>1120</v>
      </c>
      <c r="D503" s="144">
        <v>0</v>
      </c>
      <c r="E503" s="308">
        <v>0</v>
      </c>
      <c r="F503" s="144">
        <v>0</v>
      </c>
      <c r="G503" s="144">
        <v>0</v>
      </c>
      <c r="H503" s="308">
        <v>0</v>
      </c>
      <c r="I503" s="464">
        <f t="shared" si="21"/>
        <v>0</v>
      </c>
    </row>
    <row r="504" spans="1:10" ht="10.5" customHeight="1" thickBot="1" x14ac:dyDescent="0.2">
      <c r="A504" s="34"/>
      <c r="B504" s="149" t="s">
        <v>114</v>
      </c>
      <c r="C504" s="114" t="s">
        <v>1121</v>
      </c>
      <c r="D504" s="141">
        <v>0</v>
      </c>
      <c r="E504" s="309">
        <v>0</v>
      </c>
      <c r="F504" s="141">
        <v>0</v>
      </c>
      <c r="G504" s="285">
        <v>0</v>
      </c>
      <c r="H504" s="309">
        <v>0</v>
      </c>
      <c r="I504" s="501">
        <f>SUM(G504+H504)</f>
        <v>0</v>
      </c>
    </row>
    <row r="505" spans="1:10" ht="10.5" customHeight="1" thickTop="1" thickBot="1" x14ac:dyDescent="0.2">
      <c r="A505" s="34"/>
      <c r="B505" s="149"/>
      <c r="C505" s="114" t="s">
        <v>146</v>
      </c>
      <c r="D505" s="166">
        <f>SUM(D477:D504)</f>
        <v>0</v>
      </c>
      <c r="E505" s="297">
        <f>SUM(E477:E504)</f>
        <v>0</v>
      </c>
      <c r="F505" s="166">
        <f>SUM(F477:F504)</f>
        <v>0</v>
      </c>
      <c r="G505" s="166">
        <f>SUM(G477:G504)</f>
        <v>0</v>
      </c>
      <c r="H505" s="166">
        <f>SUM(H477:H504)</f>
        <v>0</v>
      </c>
      <c r="I505" s="297">
        <f>G505+H505</f>
        <v>0</v>
      </c>
    </row>
    <row r="506" spans="1:10" ht="10.5" customHeight="1" thickTop="1" x14ac:dyDescent="0.15">
      <c r="A506" s="34"/>
      <c r="B506" s="149"/>
      <c r="C506" s="114"/>
      <c r="D506" s="14"/>
      <c r="E506" s="301"/>
      <c r="F506" s="14"/>
      <c r="G506" s="14"/>
      <c r="H506" s="298"/>
      <c r="I506" s="298"/>
    </row>
    <row r="507" spans="1:10" ht="10.5" customHeight="1" x14ac:dyDescent="0.15">
      <c r="A507" s="34" t="s">
        <v>1201</v>
      </c>
      <c r="C507" s="114"/>
      <c r="D507" s="14"/>
      <c r="E507" s="301"/>
      <c r="F507" s="14"/>
      <c r="G507" s="14"/>
      <c r="H507" s="298"/>
      <c r="I507" s="298"/>
    </row>
    <row r="508" spans="1:10" s="302" customFormat="1" hidden="1" x14ac:dyDescent="0.15">
      <c r="B508" s="304" t="s">
        <v>880</v>
      </c>
      <c r="C508" s="305" t="s">
        <v>1164</v>
      </c>
      <c r="D508" s="308">
        <v>0</v>
      </c>
      <c r="E508" s="308">
        <v>0</v>
      </c>
      <c r="F508" s="308">
        <v>0</v>
      </c>
      <c r="G508" s="458"/>
      <c r="H508" s="457">
        <v>0</v>
      </c>
      <c r="I508" s="494">
        <f>SUM(G508+H508)</f>
        <v>0</v>
      </c>
    </row>
    <row r="509" spans="1:10" s="302" customFormat="1" x14ac:dyDescent="0.15">
      <c r="B509" s="304" t="s">
        <v>880</v>
      </c>
      <c r="C509" s="305" t="s">
        <v>337</v>
      </c>
      <c r="D509" s="308">
        <v>0</v>
      </c>
      <c r="E509" s="308">
        <v>0</v>
      </c>
      <c r="F509" s="308">
        <v>0</v>
      </c>
      <c r="G509" s="308">
        <v>0</v>
      </c>
      <c r="H509" s="457">
        <v>0</v>
      </c>
      <c r="I509" s="494">
        <f>SUM(G509+H509)</f>
        <v>0</v>
      </c>
    </row>
    <row r="510" spans="1:10" s="302" customFormat="1" hidden="1" x14ac:dyDescent="0.15">
      <c r="A510" s="305"/>
      <c r="B510" s="304" t="s">
        <v>881</v>
      </c>
      <c r="C510" s="305" t="s">
        <v>382</v>
      </c>
      <c r="D510" s="308">
        <v>0</v>
      </c>
      <c r="E510" s="308">
        <v>0</v>
      </c>
      <c r="F510" s="308">
        <v>0</v>
      </c>
      <c r="G510" s="459"/>
      <c r="H510" s="457">
        <v>0</v>
      </c>
      <c r="I510" s="494">
        <f>SUM(G510+H510)</f>
        <v>0</v>
      </c>
    </row>
    <row r="511" spans="1:10" x14ac:dyDescent="0.15">
      <c r="A511" s="114"/>
      <c r="B511" s="149" t="s">
        <v>881</v>
      </c>
      <c r="C511" s="114" t="s">
        <v>338</v>
      </c>
      <c r="D511" s="144">
        <v>0</v>
      </c>
      <c r="E511" s="308">
        <v>0</v>
      </c>
      <c r="F511" s="144">
        <v>0</v>
      </c>
      <c r="G511" s="144">
        <v>0</v>
      </c>
      <c r="H511" s="147">
        <v>0</v>
      </c>
      <c r="I511" s="495">
        <f>SUM(G511+H511)</f>
        <v>0</v>
      </c>
      <c r="J511" s="302"/>
    </row>
    <row r="512" spans="1:10" ht="10.5" customHeight="1" x14ac:dyDescent="0.15">
      <c r="A512" s="34"/>
      <c r="B512" s="149" t="s">
        <v>882</v>
      </c>
      <c r="C512" s="114" t="s">
        <v>1058</v>
      </c>
      <c r="D512" s="144">
        <v>0</v>
      </c>
      <c r="E512" s="308">
        <v>0</v>
      </c>
      <c r="F512" s="144">
        <v>0</v>
      </c>
      <c r="G512" s="144">
        <v>0</v>
      </c>
      <c r="H512" s="307">
        <v>0</v>
      </c>
      <c r="I512" s="500">
        <f t="shared" ref="I512:I527" si="23">SUM(G512+H512)</f>
        <v>0</v>
      </c>
    </row>
    <row r="513" spans="1:9" ht="10.5" customHeight="1" x14ac:dyDescent="0.15">
      <c r="A513" s="34"/>
      <c r="B513" s="149" t="s">
        <v>883</v>
      </c>
      <c r="C513" s="114" t="s">
        <v>1059</v>
      </c>
      <c r="D513" s="144">
        <v>0</v>
      </c>
      <c r="E513" s="308">
        <v>0</v>
      </c>
      <c r="F513" s="144">
        <v>0</v>
      </c>
      <c r="G513" s="144">
        <v>0</v>
      </c>
      <c r="H513" s="307">
        <v>0</v>
      </c>
      <c r="I513" s="500">
        <f t="shared" si="23"/>
        <v>0</v>
      </c>
    </row>
    <row r="514" spans="1:9" ht="10.5" customHeight="1" x14ac:dyDescent="0.15">
      <c r="A514" s="34"/>
      <c r="B514" s="149" t="s">
        <v>1060</v>
      </c>
      <c r="C514" s="114" t="s">
        <v>1061</v>
      </c>
      <c r="D514" s="144">
        <v>0</v>
      </c>
      <c r="E514" s="308">
        <v>0</v>
      </c>
      <c r="F514" s="144">
        <v>0</v>
      </c>
      <c r="G514" s="144">
        <v>0</v>
      </c>
      <c r="H514" s="307">
        <v>0</v>
      </c>
      <c r="I514" s="500">
        <f t="shared" si="23"/>
        <v>0</v>
      </c>
    </row>
    <row r="515" spans="1:9" ht="10.5" customHeight="1" x14ac:dyDescent="0.15">
      <c r="A515" s="34"/>
      <c r="B515" s="149" t="s">
        <v>1062</v>
      </c>
      <c r="C515" s="114" t="s">
        <v>1063</v>
      </c>
      <c r="D515" s="144">
        <v>0</v>
      </c>
      <c r="E515" s="308">
        <v>0</v>
      </c>
      <c r="F515" s="144">
        <v>0</v>
      </c>
      <c r="G515" s="144">
        <v>0</v>
      </c>
      <c r="H515" s="307">
        <v>0</v>
      </c>
      <c r="I515" s="500">
        <f t="shared" si="23"/>
        <v>0</v>
      </c>
    </row>
    <row r="516" spans="1:9" ht="10.5" customHeight="1" x14ac:dyDescent="0.15">
      <c r="A516" s="34"/>
      <c r="B516" s="149" t="s">
        <v>884</v>
      </c>
      <c r="C516" s="114" t="s">
        <v>1064</v>
      </c>
      <c r="D516" s="144">
        <v>0</v>
      </c>
      <c r="E516" s="308">
        <v>0</v>
      </c>
      <c r="F516" s="144">
        <v>0</v>
      </c>
      <c r="G516" s="144">
        <v>0</v>
      </c>
      <c r="H516" s="307">
        <v>0</v>
      </c>
      <c r="I516" s="500">
        <f t="shared" si="23"/>
        <v>0</v>
      </c>
    </row>
    <row r="517" spans="1:9" ht="10.5" customHeight="1" x14ac:dyDescent="0.15">
      <c r="A517" s="34"/>
      <c r="B517" s="718" t="s">
        <v>155</v>
      </c>
      <c r="C517" s="719" t="s">
        <v>178</v>
      </c>
      <c r="D517" s="144">
        <v>0</v>
      </c>
      <c r="E517" s="308">
        <v>0</v>
      </c>
      <c r="F517" s="144">
        <v>0</v>
      </c>
      <c r="G517" s="144">
        <v>0</v>
      </c>
      <c r="H517" s="307">
        <v>0</v>
      </c>
      <c r="I517" s="500">
        <f t="shared" ref="I517" si="24">SUM(G517+H517)</f>
        <v>0</v>
      </c>
    </row>
    <row r="518" spans="1:9" ht="10.5" customHeight="1" x14ac:dyDescent="0.15">
      <c r="A518" s="34"/>
      <c r="B518" s="149" t="s">
        <v>928</v>
      </c>
      <c r="C518" s="114" t="s">
        <v>961</v>
      </c>
      <c r="D518" s="144">
        <v>0</v>
      </c>
      <c r="E518" s="308">
        <v>0</v>
      </c>
      <c r="F518" s="144">
        <v>0</v>
      </c>
      <c r="G518" s="144">
        <v>0</v>
      </c>
      <c r="H518" s="307">
        <v>0</v>
      </c>
      <c r="I518" s="500">
        <f t="shared" si="23"/>
        <v>0</v>
      </c>
    </row>
    <row r="519" spans="1:9" ht="10.5" customHeight="1" x14ac:dyDescent="0.15">
      <c r="A519" s="34"/>
      <c r="B519" s="149" t="s">
        <v>885</v>
      </c>
      <c r="C519" s="114" t="s">
        <v>1096</v>
      </c>
      <c r="D519" s="144">
        <v>0</v>
      </c>
      <c r="E519" s="308">
        <v>0</v>
      </c>
      <c r="F519" s="144">
        <v>0</v>
      </c>
      <c r="G519" s="144">
        <v>0</v>
      </c>
      <c r="H519" s="307">
        <v>0</v>
      </c>
      <c r="I519" s="500">
        <f t="shared" si="23"/>
        <v>0</v>
      </c>
    </row>
    <row r="520" spans="1:9" ht="10.5" customHeight="1" x14ac:dyDescent="0.15">
      <c r="A520" s="34"/>
      <c r="B520" s="149" t="s">
        <v>966</v>
      </c>
      <c r="C520" s="114" t="s">
        <v>1097</v>
      </c>
      <c r="D520" s="144">
        <v>0</v>
      </c>
      <c r="E520" s="308">
        <v>0</v>
      </c>
      <c r="F520" s="144">
        <v>0</v>
      </c>
      <c r="G520" s="144">
        <v>0</v>
      </c>
      <c r="H520" s="307">
        <v>0</v>
      </c>
      <c r="I520" s="500">
        <f t="shared" si="23"/>
        <v>0</v>
      </c>
    </row>
    <row r="521" spans="1:9" ht="10.5" customHeight="1" x14ac:dyDescent="0.15">
      <c r="A521" s="34"/>
      <c r="B521" s="149" t="s">
        <v>886</v>
      </c>
      <c r="C521" s="114" t="s">
        <v>1100</v>
      </c>
      <c r="D521" s="144">
        <v>0</v>
      </c>
      <c r="E521" s="308">
        <v>0</v>
      </c>
      <c r="F521" s="144">
        <v>0</v>
      </c>
      <c r="G521" s="144">
        <v>0</v>
      </c>
      <c r="H521" s="307">
        <v>0</v>
      </c>
      <c r="I521" s="500">
        <f t="shared" si="23"/>
        <v>0</v>
      </c>
    </row>
    <row r="522" spans="1:9" ht="10.5" customHeight="1" x14ac:dyDescent="0.15">
      <c r="A522" s="34"/>
      <c r="B522" s="149" t="s">
        <v>116</v>
      </c>
      <c r="C522" s="114" t="s">
        <v>1105</v>
      </c>
      <c r="D522" s="144">
        <v>0</v>
      </c>
      <c r="E522" s="308">
        <v>0</v>
      </c>
      <c r="F522" s="144">
        <v>0</v>
      </c>
      <c r="G522" s="144">
        <v>0</v>
      </c>
      <c r="H522" s="307">
        <v>0</v>
      </c>
      <c r="I522" s="500">
        <f t="shared" si="23"/>
        <v>0</v>
      </c>
    </row>
    <row r="523" spans="1:9" ht="10.5" customHeight="1" x14ac:dyDescent="0.15">
      <c r="A523" s="34"/>
      <c r="B523" s="149" t="s">
        <v>112</v>
      </c>
      <c r="C523" s="114" t="s">
        <v>1110</v>
      </c>
      <c r="D523" s="144">
        <v>0</v>
      </c>
      <c r="E523" s="308">
        <v>0</v>
      </c>
      <c r="F523" s="144">
        <v>0</v>
      </c>
      <c r="G523" s="144">
        <v>0</v>
      </c>
      <c r="H523" s="307">
        <v>0</v>
      </c>
      <c r="I523" s="500">
        <f t="shared" si="23"/>
        <v>0</v>
      </c>
    </row>
    <row r="524" spans="1:9" ht="10.5" customHeight="1" x14ac:dyDescent="0.15">
      <c r="A524" s="34"/>
      <c r="B524" s="149" t="s">
        <v>887</v>
      </c>
      <c r="C524" s="114" t="s">
        <v>1116</v>
      </c>
      <c r="D524" s="144">
        <v>0</v>
      </c>
      <c r="E524" s="308">
        <v>0</v>
      </c>
      <c r="F524" s="144">
        <v>0</v>
      </c>
      <c r="G524" s="144">
        <v>0</v>
      </c>
      <c r="H524" s="307">
        <v>0</v>
      </c>
      <c r="I524" s="500">
        <f t="shared" si="23"/>
        <v>0</v>
      </c>
    </row>
    <row r="525" spans="1:9" ht="10.5" customHeight="1" x14ac:dyDescent="0.15">
      <c r="A525" s="34"/>
      <c r="B525" s="149" t="s">
        <v>1112</v>
      </c>
      <c r="C525" s="114" t="s">
        <v>1117</v>
      </c>
      <c r="D525" s="144">
        <v>0</v>
      </c>
      <c r="E525" s="308">
        <v>0</v>
      </c>
      <c r="F525" s="144">
        <v>0</v>
      </c>
      <c r="G525" s="144">
        <v>0</v>
      </c>
      <c r="H525" s="307">
        <v>0</v>
      </c>
      <c r="I525" s="500">
        <f t="shared" si="23"/>
        <v>0</v>
      </c>
    </row>
    <row r="526" spans="1:9" ht="10.5" customHeight="1" x14ac:dyDescent="0.15">
      <c r="A526" s="34"/>
      <c r="B526" s="149" t="s">
        <v>1113</v>
      </c>
      <c r="C526" s="114" t="s">
        <v>1118</v>
      </c>
      <c r="D526" s="144">
        <v>0</v>
      </c>
      <c r="E526" s="308">
        <v>0</v>
      </c>
      <c r="F526" s="144">
        <v>0</v>
      </c>
      <c r="G526" s="144">
        <v>0</v>
      </c>
      <c r="H526" s="307">
        <v>0</v>
      </c>
      <c r="I526" s="500">
        <f t="shared" si="23"/>
        <v>0</v>
      </c>
    </row>
    <row r="527" spans="1:9" ht="10.5" customHeight="1" thickBot="1" x14ac:dyDescent="0.2">
      <c r="A527" s="34"/>
      <c r="B527" s="149" t="s">
        <v>1114</v>
      </c>
      <c r="C527" s="114" t="s">
        <v>1119</v>
      </c>
      <c r="D527" s="144">
        <v>0</v>
      </c>
      <c r="E527" s="308">
        <v>0</v>
      </c>
      <c r="F527" s="144">
        <v>0</v>
      </c>
      <c r="G527" s="144">
        <v>0</v>
      </c>
      <c r="H527" s="307">
        <v>0</v>
      </c>
      <c r="I527" s="500">
        <f t="shared" si="23"/>
        <v>0</v>
      </c>
    </row>
    <row r="528" spans="1:9" ht="10.5" customHeight="1" thickTop="1" thickBot="1" x14ac:dyDescent="0.2">
      <c r="A528" s="34"/>
      <c r="B528" s="149"/>
      <c r="C528" s="114" t="s">
        <v>1237</v>
      </c>
      <c r="D528" s="166">
        <f>SUM(D508:D527)</f>
        <v>0</v>
      </c>
      <c r="E528" s="297">
        <f>SUM(E508:E527)</f>
        <v>0</v>
      </c>
      <c r="F528" s="166">
        <f>SUM(F508:F527)</f>
        <v>0</v>
      </c>
      <c r="G528" s="166">
        <f>SUM(G508:G527)</f>
        <v>0</v>
      </c>
      <c r="H528" s="166">
        <f>SUM(H508:H527)</f>
        <v>0</v>
      </c>
      <c r="I528" s="297">
        <f>G528+H528</f>
        <v>0</v>
      </c>
    </row>
    <row r="529" spans="1:10" ht="10.5" customHeight="1" thickTop="1" x14ac:dyDescent="0.15">
      <c r="A529" s="34"/>
      <c r="B529" s="149"/>
      <c r="C529" s="114"/>
      <c r="D529" s="14"/>
      <c r="E529" s="301"/>
      <c r="F529" s="14"/>
      <c r="G529" s="14"/>
      <c r="H529" s="298"/>
      <c r="I529" s="298"/>
    </row>
    <row r="530" spans="1:10" ht="10.5" customHeight="1" x14ac:dyDescent="0.15">
      <c r="A530" s="34" t="s">
        <v>1200</v>
      </c>
      <c r="C530" s="114"/>
      <c r="D530" s="14"/>
      <c r="E530" s="301"/>
      <c r="F530" s="14"/>
      <c r="G530" s="14"/>
      <c r="H530" s="298"/>
      <c r="I530" s="298"/>
    </row>
    <row r="531" spans="1:10" s="302" customFormat="1" hidden="1" x14ac:dyDescent="0.15">
      <c r="B531" s="304" t="s">
        <v>880</v>
      </c>
      <c r="C531" s="305" t="s">
        <v>1164</v>
      </c>
      <c r="D531" s="308">
        <v>0</v>
      </c>
      <c r="E531" s="308">
        <v>0</v>
      </c>
      <c r="F531" s="308">
        <v>0</v>
      </c>
      <c r="G531" s="458"/>
      <c r="H531" s="457">
        <v>0</v>
      </c>
      <c r="I531" s="494">
        <f>SUM(G531+H531)</f>
        <v>0</v>
      </c>
    </row>
    <row r="532" spans="1:10" s="302" customFormat="1" x14ac:dyDescent="0.15">
      <c r="B532" s="304" t="s">
        <v>880</v>
      </c>
      <c r="C532" s="305" t="s">
        <v>337</v>
      </c>
      <c r="D532" s="308">
        <v>0</v>
      </c>
      <c r="E532" s="308">
        <v>0</v>
      </c>
      <c r="F532" s="308">
        <v>0</v>
      </c>
      <c r="G532" s="308">
        <v>0</v>
      </c>
      <c r="H532" s="457">
        <v>0</v>
      </c>
      <c r="I532" s="494">
        <f>SUM(G532+H532)</f>
        <v>0</v>
      </c>
    </row>
    <row r="533" spans="1:10" s="302" customFormat="1" hidden="1" x14ac:dyDescent="0.15">
      <c r="A533" s="305"/>
      <c r="B533" s="304" t="s">
        <v>881</v>
      </c>
      <c r="C533" s="305" t="s">
        <v>382</v>
      </c>
      <c r="D533" s="308">
        <v>0</v>
      </c>
      <c r="E533" s="308">
        <v>0</v>
      </c>
      <c r="F533" s="308">
        <v>0</v>
      </c>
      <c r="G533" s="459"/>
      <c r="H533" s="457">
        <v>0</v>
      </c>
      <c r="I533" s="494">
        <f>SUM(G533+H533)</f>
        <v>0</v>
      </c>
    </row>
    <row r="534" spans="1:10" x14ac:dyDescent="0.15">
      <c r="A534" s="114"/>
      <c r="B534" s="149" t="s">
        <v>881</v>
      </c>
      <c r="C534" s="114" t="s">
        <v>338</v>
      </c>
      <c r="D534" s="144">
        <v>0</v>
      </c>
      <c r="E534" s="308">
        <v>0</v>
      </c>
      <c r="F534" s="144">
        <v>0</v>
      </c>
      <c r="G534" s="144">
        <v>0</v>
      </c>
      <c r="H534" s="147">
        <v>0</v>
      </c>
      <c r="I534" s="495">
        <f>SUM(G534+H534)</f>
        <v>0</v>
      </c>
      <c r="J534" s="302"/>
    </row>
    <row r="535" spans="1:10" ht="10.5" customHeight="1" x14ac:dyDescent="0.15">
      <c r="A535" s="34"/>
      <c r="B535" s="149" t="s">
        <v>882</v>
      </c>
      <c r="C535" s="114" t="s">
        <v>1058</v>
      </c>
      <c r="D535" s="144">
        <v>0</v>
      </c>
      <c r="E535" s="308">
        <v>0</v>
      </c>
      <c r="F535" s="144">
        <v>0</v>
      </c>
      <c r="G535" s="144">
        <v>0</v>
      </c>
      <c r="H535" s="307">
        <v>0</v>
      </c>
      <c r="I535" s="500">
        <f t="shared" ref="I535:I550" si="25">SUM(G535+H535)</f>
        <v>0</v>
      </c>
    </row>
    <row r="536" spans="1:10" ht="10.5" customHeight="1" x14ac:dyDescent="0.15">
      <c r="A536" s="34"/>
      <c r="B536" s="149" t="s">
        <v>883</v>
      </c>
      <c r="C536" s="114" t="s">
        <v>1059</v>
      </c>
      <c r="D536" s="144">
        <v>0</v>
      </c>
      <c r="E536" s="308">
        <v>0</v>
      </c>
      <c r="F536" s="144">
        <v>0</v>
      </c>
      <c r="G536" s="144">
        <v>0</v>
      </c>
      <c r="H536" s="307">
        <v>0</v>
      </c>
      <c r="I536" s="500">
        <f t="shared" si="25"/>
        <v>0</v>
      </c>
    </row>
    <row r="537" spans="1:10" ht="10.5" customHeight="1" x14ac:dyDescent="0.15">
      <c r="A537" s="34"/>
      <c r="B537" s="149" t="s">
        <v>1060</v>
      </c>
      <c r="C537" s="114" t="s">
        <v>1061</v>
      </c>
      <c r="D537" s="144">
        <v>0</v>
      </c>
      <c r="E537" s="308">
        <v>0</v>
      </c>
      <c r="F537" s="144">
        <v>0</v>
      </c>
      <c r="G537" s="144">
        <v>0</v>
      </c>
      <c r="H537" s="307">
        <v>0</v>
      </c>
      <c r="I537" s="500">
        <f t="shared" si="25"/>
        <v>0</v>
      </c>
    </row>
    <row r="538" spans="1:10" ht="10.5" customHeight="1" x14ac:dyDescent="0.15">
      <c r="A538" s="34"/>
      <c r="B538" s="149" t="s">
        <v>1062</v>
      </c>
      <c r="C538" s="114" t="s">
        <v>1063</v>
      </c>
      <c r="D538" s="144">
        <v>0</v>
      </c>
      <c r="E538" s="308">
        <v>0</v>
      </c>
      <c r="F538" s="144">
        <v>0</v>
      </c>
      <c r="G538" s="144">
        <v>0</v>
      </c>
      <c r="H538" s="307">
        <v>0</v>
      </c>
      <c r="I538" s="500">
        <f t="shared" si="25"/>
        <v>0</v>
      </c>
    </row>
    <row r="539" spans="1:10" ht="10.5" customHeight="1" x14ac:dyDescent="0.15">
      <c r="A539" s="34"/>
      <c r="B539" s="149" t="s">
        <v>884</v>
      </c>
      <c r="C539" s="114" t="s">
        <v>1064</v>
      </c>
      <c r="D539" s="144">
        <v>0</v>
      </c>
      <c r="E539" s="308">
        <v>0</v>
      </c>
      <c r="F539" s="144">
        <v>0</v>
      </c>
      <c r="G539" s="144">
        <v>0</v>
      </c>
      <c r="H539" s="307">
        <v>0</v>
      </c>
      <c r="I539" s="500">
        <f t="shared" si="25"/>
        <v>0</v>
      </c>
    </row>
    <row r="540" spans="1:10" ht="10.5" customHeight="1" x14ac:dyDescent="0.15">
      <c r="A540" s="34"/>
      <c r="B540" s="718" t="s">
        <v>155</v>
      </c>
      <c r="C540" s="719" t="s">
        <v>178</v>
      </c>
      <c r="D540" s="144">
        <v>0</v>
      </c>
      <c r="E540" s="308">
        <v>0</v>
      </c>
      <c r="F540" s="144">
        <v>0</v>
      </c>
      <c r="G540" s="144">
        <v>0</v>
      </c>
      <c r="H540" s="307">
        <v>0</v>
      </c>
      <c r="I540" s="500">
        <f t="shared" ref="I540" si="26">SUM(G540+H540)</f>
        <v>0</v>
      </c>
    </row>
    <row r="541" spans="1:10" ht="10.5" customHeight="1" x14ac:dyDescent="0.15">
      <c r="A541" s="34"/>
      <c r="B541" s="149" t="s">
        <v>928</v>
      </c>
      <c r="C541" s="114" t="s">
        <v>961</v>
      </c>
      <c r="D541" s="144">
        <v>0</v>
      </c>
      <c r="E541" s="308">
        <v>0</v>
      </c>
      <c r="F541" s="144">
        <v>0</v>
      </c>
      <c r="G541" s="144">
        <v>0</v>
      </c>
      <c r="H541" s="307">
        <v>0</v>
      </c>
      <c r="I541" s="500">
        <f t="shared" si="25"/>
        <v>0</v>
      </c>
    </row>
    <row r="542" spans="1:10" ht="10.5" customHeight="1" x14ac:dyDescent="0.15">
      <c r="A542" s="34"/>
      <c r="B542" s="149" t="s">
        <v>885</v>
      </c>
      <c r="C542" s="114" t="s">
        <v>1096</v>
      </c>
      <c r="D542" s="144">
        <v>0</v>
      </c>
      <c r="E542" s="308">
        <v>0</v>
      </c>
      <c r="F542" s="144">
        <v>0</v>
      </c>
      <c r="G542" s="144">
        <v>0</v>
      </c>
      <c r="H542" s="307">
        <v>0</v>
      </c>
      <c r="I542" s="500">
        <f t="shared" si="25"/>
        <v>0</v>
      </c>
    </row>
    <row r="543" spans="1:10" ht="10.5" customHeight="1" x14ac:dyDescent="0.15">
      <c r="A543" s="34"/>
      <c r="B543" s="149" t="s">
        <v>966</v>
      </c>
      <c r="C543" s="114" t="s">
        <v>1097</v>
      </c>
      <c r="D543" s="144">
        <v>0</v>
      </c>
      <c r="E543" s="308">
        <v>0</v>
      </c>
      <c r="F543" s="144">
        <v>0</v>
      </c>
      <c r="G543" s="144">
        <v>0</v>
      </c>
      <c r="H543" s="307">
        <v>0</v>
      </c>
      <c r="I543" s="500">
        <f t="shared" si="25"/>
        <v>0</v>
      </c>
    </row>
    <row r="544" spans="1:10" ht="10.5" customHeight="1" x14ac:dyDescent="0.15">
      <c r="A544" s="34"/>
      <c r="B544" s="149" t="s">
        <v>886</v>
      </c>
      <c r="C544" s="114" t="s">
        <v>1100</v>
      </c>
      <c r="D544" s="144">
        <v>0</v>
      </c>
      <c r="E544" s="308">
        <v>0</v>
      </c>
      <c r="F544" s="144">
        <v>0</v>
      </c>
      <c r="G544" s="144">
        <v>0</v>
      </c>
      <c r="H544" s="307">
        <v>0</v>
      </c>
      <c r="I544" s="500">
        <f t="shared" si="25"/>
        <v>0</v>
      </c>
    </row>
    <row r="545" spans="1:10" ht="10.5" customHeight="1" x14ac:dyDescent="0.15">
      <c r="A545" s="34"/>
      <c r="B545" s="149" t="s">
        <v>116</v>
      </c>
      <c r="C545" s="114" t="s">
        <v>1105</v>
      </c>
      <c r="D545" s="144">
        <v>0</v>
      </c>
      <c r="E545" s="308">
        <v>0</v>
      </c>
      <c r="F545" s="144">
        <v>0</v>
      </c>
      <c r="G545" s="144">
        <v>0</v>
      </c>
      <c r="H545" s="307">
        <v>0</v>
      </c>
      <c r="I545" s="500">
        <f t="shared" si="25"/>
        <v>0</v>
      </c>
    </row>
    <row r="546" spans="1:10" ht="10.5" customHeight="1" x14ac:dyDescent="0.15">
      <c r="A546" s="34"/>
      <c r="B546" s="149" t="s">
        <v>112</v>
      </c>
      <c r="C546" s="114" t="s">
        <v>1110</v>
      </c>
      <c r="D546" s="144">
        <v>0</v>
      </c>
      <c r="E546" s="308">
        <v>0</v>
      </c>
      <c r="F546" s="144">
        <v>0</v>
      </c>
      <c r="G546" s="144">
        <v>0</v>
      </c>
      <c r="H546" s="307">
        <v>0</v>
      </c>
      <c r="I546" s="500">
        <f t="shared" si="25"/>
        <v>0</v>
      </c>
    </row>
    <row r="547" spans="1:10" ht="10.5" customHeight="1" x14ac:dyDescent="0.15">
      <c r="A547" s="34"/>
      <c r="B547" s="149" t="s">
        <v>887</v>
      </c>
      <c r="C547" s="114" t="s">
        <v>1116</v>
      </c>
      <c r="D547" s="144">
        <v>0</v>
      </c>
      <c r="E547" s="308">
        <v>0</v>
      </c>
      <c r="F547" s="144">
        <v>0</v>
      </c>
      <c r="G547" s="144">
        <v>0</v>
      </c>
      <c r="H547" s="307">
        <v>0</v>
      </c>
      <c r="I547" s="500">
        <f t="shared" si="25"/>
        <v>0</v>
      </c>
    </row>
    <row r="548" spans="1:10" ht="10.5" customHeight="1" x14ac:dyDescent="0.15">
      <c r="A548" s="34"/>
      <c r="B548" s="149" t="s">
        <v>1112</v>
      </c>
      <c r="C548" s="114" t="s">
        <v>1117</v>
      </c>
      <c r="D548" s="144">
        <v>0</v>
      </c>
      <c r="E548" s="308">
        <v>0</v>
      </c>
      <c r="F548" s="144">
        <v>0</v>
      </c>
      <c r="G548" s="144">
        <v>0</v>
      </c>
      <c r="H548" s="307">
        <v>0</v>
      </c>
      <c r="I548" s="500">
        <f t="shared" si="25"/>
        <v>0</v>
      </c>
    </row>
    <row r="549" spans="1:10" ht="10.5" customHeight="1" x14ac:dyDescent="0.15">
      <c r="A549" s="34"/>
      <c r="B549" s="149" t="s">
        <v>1113</v>
      </c>
      <c r="C549" s="114" t="s">
        <v>1118</v>
      </c>
      <c r="D549" s="144">
        <v>0</v>
      </c>
      <c r="E549" s="308">
        <v>0</v>
      </c>
      <c r="F549" s="144">
        <v>0</v>
      </c>
      <c r="G549" s="144">
        <v>0</v>
      </c>
      <c r="H549" s="307">
        <v>0</v>
      </c>
      <c r="I549" s="500">
        <f t="shared" si="25"/>
        <v>0</v>
      </c>
    </row>
    <row r="550" spans="1:10" ht="10.5" customHeight="1" thickBot="1" x14ac:dyDescent="0.2">
      <c r="A550" s="34"/>
      <c r="B550" s="149" t="s">
        <v>1114</v>
      </c>
      <c r="C550" s="114" t="s">
        <v>1119</v>
      </c>
      <c r="D550" s="144">
        <v>0</v>
      </c>
      <c r="E550" s="308">
        <v>0</v>
      </c>
      <c r="F550" s="144">
        <v>0</v>
      </c>
      <c r="G550" s="144">
        <v>0</v>
      </c>
      <c r="H550" s="307">
        <v>0</v>
      </c>
      <c r="I550" s="500">
        <f t="shared" si="25"/>
        <v>0</v>
      </c>
    </row>
    <row r="551" spans="1:10" ht="10.5" customHeight="1" thickTop="1" thickBot="1" x14ac:dyDescent="0.2">
      <c r="A551" s="34"/>
      <c r="B551" s="149"/>
      <c r="C551" s="114" t="s">
        <v>1238</v>
      </c>
      <c r="D551" s="166">
        <f>SUM(D531:D550)</f>
        <v>0</v>
      </c>
      <c r="E551" s="297">
        <f>SUM(E531:E550)</f>
        <v>0</v>
      </c>
      <c r="F551" s="166">
        <f>SUM(F531:F550)</f>
        <v>0</v>
      </c>
      <c r="G551" s="166">
        <f>SUM(G531:G550)</f>
        <v>0</v>
      </c>
      <c r="H551" s="166">
        <f>SUM(H531:H550)</f>
        <v>0</v>
      </c>
      <c r="I551" s="297">
        <f>G551+H551</f>
        <v>0</v>
      </c>
    </row>
    <row r="552" spans="1:10" ht="10.5" customHeight="1" thickTop="1" x14ac:dyDescent="0.15">
      <c r="A552" s="34"/>
      <c r="B552" s="149"/>
      <c r="C552" s="114"/>
      <c r="D552" s="14"/>
      <c r="E552" s="301"/>
      <c r="F552" s="14"/>
      <c r="G552" s="14"/>
      <c r="H552" s="298"/>
      <c r="I552" s="298"/>
    </row>
    <row r="553" spans="1:10" ht="10.5" customHeight="1" x14ac:dyDescent="0.15">
      <c r="A553" s="34" t="s">
        <v>147</v>
      </c>
      <c r="C553" s="114"/>
      <c r="D553" s="14"/>
      <c r="E553" s="301"/>
      <c r="F553" s="14"/>
      <c r="G553" s="14"/>
      <c r="H553" s="298"/>
      <c r="I553" s="298"/>
    </row>
    <row r="554" spans="1:10" s="302" customFormat="1" hidden="1" x14ac:dyDescent="0.15">
      <c r="B554" s="304" t="s">
        <v>880</v>
      </c>
      <c r="C554" s="305" t="s">
        <v>1164</v>
      </c>
      <c r="D554" s="308">
        <v>0</v>
      </c>
      <c r="E554" s="308">
        <v>0</v>
      </c>
      <c r="F554" s="308">
        <v>0</v>
      </c>
      <c r="G554" s="458"/>
      <c r="H554" s="457">
        <v>0</v>
      </c>
      <c r="I554" s="494">
        <f>SUM(G554+H554)</f>
        <v>0</v>
      </c>
    </row>
    <row r="555" spans="1:10" s="302" customFormat="1" x14ac:dyDescent="0.15">
      <c r="B555" s="304" t="s">
        <v>880</v>
      </c>
      <c r="C555" s="305" t="s">
        <v>337</v>
      </c>
      <c r="D555" s="308">
        <v>0</v>
      </c>
      <c r="E555" s="308">
        <v>0</v>
      </c>
      <c r="F555" s="308">
        <v>0</v>
      </c>
      <c r="G555" s="308">
        <v>0</v>
      </c>
      <c r="H555" s="457">
        <v>0</v>
      </c>
      <c r="I555" s="494">
        <f>SUM(G555+H555)</f>
        <v>0</v>
      </c>
    </row>
    <row r="556" spans="1:10" s="302" customFormat="1" hidden="1" x14ac:dyDescent="0.15">
      <c r="A556" s="305"/>
      <c r="B556" s="304" t="s">
        <v>881</v>
      </c>
      <c r="C556" s="305" t="s">
        <v>382</v>
      </c>
      <c r="D556" s="308">
        <v>0</v>
      </c>
      <c r="E556" s="308">
        <v>0</v>
      </c>
      <c r="F556" s="308">
        <v>0</v>
      </c>
      <c r="G556" s="459"/>
      <c r="H556" s="457">
        <v>0</v>
      </c>
      <c r="I556" s="494">
        <f>SUM(G556+H556)</f>
        <v>0</v>
      </c>
    </row>
    <row r="557" spans="1:10" x14ac:dyDescent="0.15">
      <c r="A557" s="114"/>
      <c r="B557" s="149" t="s">
        <v>881</v>
      </c>
      <c r="C557" s="114" t="s">
        <v>338</v>
      </c>
      <c r="D557" s="144">
        <v>0</v>
      </c>
      <c r="E557" s="308">
        <v>0</v>
      </c>
      <c r="F557" s="144">
        <v>0</v>
      </c>
      <c r="G557" s="144">
        <v>0</v>
      </c>
      <c r="H557" s="147">
        <v>0</v>
      </c>
      <c r="I557" s="495">
        <f>SUM(G557+H557)</f>
        <v>0</v>
      </c>
      <c r="J557" s="302"/>
    </row>
    <row r="558" spans="1:10" ht="10.5" customHeight="1" x14ac:dyDescent="0.15">
      <c r="A558" s="34"/>
      <c r="B558" s="149" t="s">
        <v>882</v>
      </c>
      <c r="C558" s="114" t="s">
        <v>1058</v>
      </c>
      <c r="D558" s="144">
        <v>0</v>
      </c>
      <c r="E558" s="308">
        <v>0</v>
      </c>
      <c r="F558" s="144">
        <v>0</v>
      </c>
      <c r="G558" s="144">
        <v>0</v>
      </c>
      <c r="H558" s="307">
        <v>0</v>
      </c>
      <c r="I558" s="500">
        <f t="shared" ref="I558:I581" si="27">SUM(G558+H558)</f>
        <v>0</v>
      </c>
    </row>
    <row r="559" spans="1:10" ht="10.5" customHeight="1" x14ac:dyDescent="0.15">
      <c r="A559" s="34"/>
      <c r="B559" s="149" t="s">
        <v>883</v>
      </c>
      <c r="C559" s="114" t="s">
        <v>1059</v>
      </c>
      <c r="D559" s="144">
        <v>0</v>
      </c>
      <c r="E559" s="308">
        <v>0</v>
      </c>
      <c r="F559" s="144">
        <v>0</v>
      </c>
      <c r="G559" s="144">
        <v>0</v>
      </c>
      <c r="H559" s="307">
        <v>0</v>
      </c>
      <c r="I559" s="500">
        <f t="shared" si="27"/>
        <v>0</v>
      </c>
    </row>
    <row r="560" spans="1:10" ht="10.5" customHeight="1" x14ac:dyDescent="0.15">
      <c r="A560" s="34"/>
      <c r="B560" s="149" t="s">
        <v>1060</v>
      </c>
      <c r="C560" s="114" t="s">
        <v>1061</v>
      </c>
      <c r="D560" s="144">
        <v>0</v>
      </c>
      <c r="E560" s="308">
        <v>0</v>
      </c>
      <c r="F560" s="144">
        <v>0</v>
      </c>
      <c r="G560" s="144">
        <v>0</v>
      </c>
      <c r="H560" s="307">
        <v>0</v>
      </c>
      <c r="I560" s="500">
        <f t="shared" si="27"/>
        <v>0</v>
      </c>
    </row>
    <row r="561" spans="1:9" ht="10.5" customHeight="1" x14ac:dyDescent="0.15">
      <c r="A561" s="34"/>
      <c r="B561" s="149" t="s">
        <v>1062</v>
      </c>
      <c r="C561" s="114" t="s">
        <v>1063</v>
      </c>
      <c r="D561" s="144">
        <v>0</v>
      </c>
      <c r="E561" s="308">
        <v>0</v>
      </c>
      <c r="F561" s="144">
        <v>0</v>
      </c>
      <c r="G561" s="144">
        <v>0</v>
      </c>
      <c r="H561" s="307">
        <v>0</v>
      </c>
      <c r="I561" s="500">
        <f t="shared" si="27"/>
        <v>0</v>
      </c>
    </row>
    <row r="562" spans="1:9" ht="10.5" customHeight="1" x14ac:dyDescent="0.15">
      <c r="A562" s="34"/>
      <c r="B562" s="149" t="s">
        <v>884</v>
      </c>
      <c r="C562" s="114" t="s">
        <v>1064</v>
      </c>
      <c r="D562" s="144">
        <v>0</v>
      </c>
      <c r="E562" s="308">
        <v>0</v>
      </c>
      <c r="F562" s="144">
        <v>0</v>
      </c>
      <c r="G562" s="144">
        <v>0</v>
      </c>
      <c r="H562" s="307">
        <v>0</v>
      </c>
      <c r="I562" s="500">
        <f t="shared" si="27"/>
        <v>0</v>
      </c>
    </row>
    <row r="563" spans="1:9" ht="10.5" customHeight="1" x14ac:dyDescent="0.15">
      <c r="A563" s="34"/>
      <c r="B563" s="718" t="s">
        <v>155</v>
      </c>
      <c r="C563" s="719" t="s">
        <v>178</v>
      </c>
      <c r="D563" s="144">
        <v>0</v>
      </c>
      <c r="E563" s="308">
        <v>0</v>
      </c>
      <c r="F563" s="144">
        <v>0</v>
      </c>
      <c r="G563" s="144">
        <v>0</v>
      </c>
      <c r="H563" s="307">
        <v>0</v>
      </c>
      <c r="I563" s="500">
        <f t="shared" ref="I563" si="28">SUM(G563+H563)</f>
        <v>0</v>
      </c>
    </row>
    <row r="564" spans="1:9" ht="10.5" customHeight="1" x14ac:dyDescent="0.15">
      <c r="A564" s="34"/>
      <c r="B564" s="149" t="s">
        <v>927</v>
      </c>
      <c r="C564" s="114" t="s">
        <v>959</v>
      </c>
      <c r="D564" s="144">
        <v>0</v>
      </c>
      <c r="E564" s="308">
        <v>0</v>
      </c>
      <c r="F564" s="144">
        <v>0</v>
      </c>
      <c r="G564" s="144">
        <v>0</v>
      </c>
      <c r="H564" s="307">
        <v>0</v>
      </c>
      <c r="I564" s="500">
        <f t="shared" si="27"/>
        <v>0</v>
      </c>
    </row>
    <row r="565" spans="1:9" ht="10.5" customHeight="1" x14ac:dyDescent="0.15">
      <c r="A565" s="34"/>
      <c r="B565" s="149" t="s">
        <v>928</v>
      </c>
      <c r="C565" s="114" t="s">
        <v>961</v>
      </c>
      <c r="D565" s="144">
        <v>0</v>
      </c>
      <c r="E565" s="308">
        <v>0</v>
      </c>
      <c r="F565" s="144">
        <v>0</v>
      </c>
      <c r="G565" s="144">
        <v>0</v>
      </c>
      <c r="H565" s="307">
        <v>0</v>
      </c>
      <c r="I565" s="500">
        <f t="shared" si="27"/>
        <v>0</v>
      </c>
    </row>
    <row r="566" spans="1:9" ht="10.5" customHeight="1" x14ac:dyDescent="0.15">
      <c r="B566" s="149" t="s">
        <v>962</v>
      </c>
      <c r="C566" s="114" t="s">
        <v>967</v>
      </c>
      <c r="D566" s="144">
        <v>0</v>
      </c>
      <c r="E566" s="308">
        <v>0</v>
      </c>
      <c r="F566" s="144">
        <v>0</v>
      </c>
      <c r="G566" s="144">
        <v>0</v>
      </c>
      <c r="H566" s="307">
        <v>0</v>
      </c>
      <c r="I566" s="500">
        <f t="shared" si="27"/>
        <v>0</v>
      </c>
    </row>
    <row r="567" spans="1:9" ht="10.5" customHeight="1" x14ac:dyDescent="0.15">
      <c r="B567" s="149" t="s">
        <v>963</v>
      </c>
      <c r="C567" s="114" t="s">
        <v>1124</v>
      </c>
      <c r="D567" s="144">
        <v>0</v>
      </c>
      <c r="E567" s="308">
        <v>0</v>
      </c>
      <c r="F567" s="144">
        <v>0</v>
      </c>
      <c r="G567" s="144">
        <v>0</v>
      </c>
      <c r="H567" s="307">
        <v>0</v>
      </c>
      <c r="I567" s="500">
        <f t="shared" si="27"/>
        <v>0</v>
      </c>
    </row>
    <row r="568" spans="1:9" ht="10.5" customHeight="1" x14ac:dyDescent="0.15">
      <c r="B568" s="149" t="s">
        <v>964</v>
      </c>
      <c r="C568" s="114" t="s">
        <v>1094</v>
      </c>
      <c r="D568" s="144">
        <v>0</v>
      </c>
      <c r="E568" s="308">
        <v>0</v>
      </c>
      <c r="F568" s="144">
        <v>0</v>
      </c>
      <c r="G568" s="144">
        <v>0</v>
      </c>
      <c r="H568" s="307">
        <v>0</v>
      </c>
      <c r="I568" s="500">
        <f t="shared" si="27"/>
        <v>0</v>
      </c>
    </row>
    <row r="569" spans="1:9" ht="10.5" customHeight="1" x14ac:dyDescent="0.15">
      <c r="B569" s="149" t="s">
        <v>965</v>
      </c>
      <c r="C569" s="114" t="s">
        <v>1095</v>
      </c>
      <c r="D569" s="144">
        <v>0</v>
      </c>
      <c r="E569" s="308">
        <v>0</v>
      </c>
      <c r="F569" s="144">
        <v>0</v>
      </c>
      <c r="G569" s="144">
        <v>0</v>
      </c>
      <c r="H569" s="307">
        <v>0</v>
      </c>
      <c r="I569" s="500">
        <f t="shared" si="27"/>
        <v>0</v>
      </c>
    </row>
    <row r="570" spans="1:9" ht="10.5" customHeight="1" x14ac:dyDescent="0.15">
      <c r="A570" s="34"/>
      <c r="B570" s="149" t="s">
        <v>885</v>
      </c>
      <c r="C570" s="114" t="s">
        <v>1096</v>
      </c>
      <c r="D570" s="144">
        <v>0</v>
      </c>
      <c r="E570" s="308">
        <v>0</v>
      </c>
      <c r="F570" s="144">
        <v>0</v>
      </c>
      <c r="G570" s="144">
        <v>0</v>
      </c>
      <c r="H570" s="307">
        <v>0</v>
      </c>
      <c r="I570" s="500">
        <f t="shared" si="27"/>
        <v>0</v>
      </c>
    </row>
    <row r="571" spans="1:9" ht="10.5" customHeight="1" x14ac:dyDescent="0.15">
      <c r="A571" s="34"/>
      <c r="B571" s="149" t="s">
        <v>966</v>
      </c>
      <c r="C571" s="114" t="s">
        <v>1097</v>
      </c>
      <c r="D571" s="144">
        <v>0</v>
      </c>
      <c r="E571" s="308">
        <v>0</v>
      </c>
      <c r="F571" s="144">
        <v>0</v>
      </c>
      <c r="G571" s="144">
        <v>0</v>
      </c>
      <c r="H571" s="307">
        <v>0</v>
      </c>
      <c r="I571" s="500">
        <f t="shared" si="27"/>
        <v>0</v>
      </c>
    </row>
    <row r="572" spans="1:9" ht="10.5" customHeight="1" x14ac:dyDescent="0.15">
      <c r="A572" s="34"/>
      <c r="B572" s="149" t="s">
        <v>886</v>
      </c>
      <c r="C572" s="114" t="s">
        <v>1100</v>
      </c>
      <c r="D572" s="144">
        <v>0</v>
      </c>
      <c r="E572" s="308">
        <v>0</v>
      </c>
      <c r="F572" s="144">
        <v>0</v>
      </c>
      <c r="G572" s="144">
        <v>0</v>
      </c>
      <c r="H572" s="307">
        <v>0</v>
      </c>
      <c r="I572" s="500">
        <f t="shared" si="27"/>
        <v>0</v>
      </c>
    </row>
    <row r="573" spans="1:9" ht="10.5" customHeight="1" x14ac:dyDescent="0.15">
      <c r="A573" s="34"/>
      <c r="B573" s="149" t="s">
        <v>116</v>
      </c>
      <c r="C573" s="114" t="s">
        <v>1105</v>
      </c>
      <c r="D573" s="144">
        <v>0</v>
      </c>
      <c r="E573" s="308">
        <v>0</v>
      </c>
      <c r="F573" s="144">
        <v>0</v>
      </c>
      <c r="G573" s="144">
        <v>0</v>
      </c>
      <c r="H573" s="307">
        <v>0</v>
      </c>
      <c r="I573" s="500">
        <f t="shared" si="27"/>
        <v>0</v>
      </c>
    </row>
    <row r="574" spans="1:9" ht="10.5" customHeight="1" x14ac:dyDescent="0.15">
      <c r="A574" s="34"/>
      <c r="B574" s="149" t="s">
        <v>1139</v>
      </c>
      <c r="C574" s="114" t="s">
        <v>1109</v>
      </c>
      <c r="D574" s="144">
        <v>0</v>
      </c>
      <c r="E574" s="308">
        <v>0</v>
      </c>
      <c r="F574" s="144">
        <v>0</v>
      </c>
      <c r="G574" s="144">
        <v>0</v>
      </c>
      <c r="H574" s="307">
        <v>0</v>
      </c>
      <c r="I574" s="500">
        <f t="shared" si="27"/>
        <v>0</v>
      </c>
    </row>
    <row r="575" spans="1:9" ht="10.5" customHeight="1" x14ac:dyDescent="0.15">
      <c r="A575" s="34"/>
      <c r="B575" s="149" t="s">
        <v>112</v>
      </c>
      <c r="C575" s="114" t="s">
        <v>1110</v>
      </c>
      <c r="D575" s="144">
        <v>0</v>
      </c>
      <c r="E575" s="308">
        <v>0</v>
      </c>
      <c r="F575" s="144">
        <v>0</v>
      </c>
      <c r="G575" s="144">
        <v>0</v>
      </c>
      <c r="H575" s="307">
        <v>0</v>
      </c>
      <c r="I575" s="500">
        <f t="shared" si="27"/>
        <v>0</v>
      </c>
    </row>
    <row r="576" spans="1:9" ht="10.5" customHeight="1" x14ac:dyDescent="0.15">
      <c r="A576" s="34"/>
      <c r="B576" s="149" t="s">
        <v>887</v>
      </c>
      <c r="C576" s="114" t="s">
        <v>1116</v>
      </c>
      <c r="D576" s="144">
        <v>0</v>
      </c>
      <c r="E576" s="308">
        <v>0</v>
      </c>
      <c r="F576" s="144">
        <v>0</v>
      </c>
      <c r="G576" s="144">
        <v>0</v>
      </c>
      <c r="H576" s="307">
        <v>0</v>
      </c>
      <c r="I576" s="500">
        <f t="shared" si="27"/>
        <v>0</v>
      </c>
    </row>
    <row r="577" spans="1:9" ht="10.5" customHeight="1" x14ac:dyDescent="0.15">
      <c r="A577" s="34"/>
      <c r="B577" s="149" t="s">
        <v>1112</v>
      </c>
      <c r="C577" s="114" t="s">
        <v>1117</v>
      </c>
      <c r="D577" s="144">
        <v>0</v>
      </c>
      <c r="E577" s="308">
        <v>0</v>
      </c>
      <c r="F577" s="144">
        <v>0</v>
      </c>
      <c r="G577" s="144">
        <v>0</v>
      </c>
      <c r="H577" s="307">
        <v>0</v>
      </c>
      <c r="I577" s="500">
        <f t="shared" si="27"/>
        <v>0</v>
      </c>
    </row>
    <row r="578" spans="1:9" ht="10.5" customHeight="1" x14ac:dyDescent="0.15">
      <c r="A578" s="34"/>
      <c r="B578" s="149" t="s">
        <v>1113</v>
      </c>
      <c r="C578" s="114" t="s">
        <v>1118</v>
      </c>
      <c r="D578" s="144">
        <v>0</v>
      </c>
      <c r="E578" s="308">
        <v>0</v>
      </c>
      <c r="F578" s="144">
        <v>0</v>
      </c>
      <c r="G578" s="144">
        <v>0</v>
      </c>
      <c r="H578" s="307">
        <v>0</v>
      </c>
      <c r="I578" s="500">
        <f t="shared" si="27"/>
        <v>0</v>
      </c>
    </row>
    <row r="579" spans="1:9" ht="10.5" customHeight="1" x14ac:dyDescent="0.15">
      <c r="A579" s="34"/>
      <c r="B579" s="149" t="s">
        <v>1114</v>
      </c>
      <c r="C579" s="114" t="s">
        <v>1119</v>
      </c>
      <c r="D579" s="144">
        <v>0</v>
      </c>
      <c r="E579" s="308">
        <v>0</v>
      </c>
      <c r="F579" s="144">
        <v>0</v>
      </c>
      <c r="G579" s="144">
        <v>0</v>
      </c>
      <c r="H579" s="307">
        <v>0</v>
      </c>
      <c r="I579" s="500">
        <f t="shared" si="27"/>
        <v>0</v>
      </c>
    </row>
    <row r="580" spans="1:9" ht="10.5" customHeight="1" x14ac:dyDescent="0.15">
      <c r="A580" s="34"/>
      <c r="B580" s="149" t="s">
        <v>1115</v>
      </c>
      <c r="C580" s="114" t="s">
        <v>1120</v>
      </c>
      <c r="D580" s="144">
        <v>0</v>
      </c>
      <c r="E580" s="308">
        <v>0</v>
      </c>
      <c r="F580" s="144">
        <v>0</v>
      </c>
      <c r="G580" s="144">
        <v>0</v>
      </c>
      <c r="H580" s="307">
        <v>0</v>
      </c>
      <c r="I580" s="500">
        <f t="shared" si="27"/>
        <v>0</v>
      </c>
    </row>
    <row r="581" spans="1:9" ht="10.5" customHeight="1" thickBot="1" x14ac:dyDescent="0.2">
      <c r="A581" s="34"/>
      <c r="B581" s="149" t="s">
        <v>114</v>
      </c>
      <c r="C581" s="114" t="s">
        <v>1121</v>
      </c>
      <c r="D581" s="141">
        <v>0</v>
      </c>
      <c r="E581" s="309">
        <v>0</v>
      </c>
      <c r="F581" s="141">
        <v>0</v>
      </c>
      <c r="G581" s="141">
        <v>0</v>
      </c>
      <c r="H581" s="307">
        <v>0</v>
      </c>
      <c r="I581" s="500">
        <f t="shared" si="27"/>
        <v>0</v>
      </c>
    </row>
    <row r="582" spans="1:9" ht="10.5" customHeight="1" thickTop="1" thickBot="1" x14ac:dyDescent="0.2">
      <c r="A582" s="34"/>
      <c r="B582" s="149"/>
      <c r="C582" s="114" t="s">
        <v>148</v>
      </c>
      <c r="D582" s="166">
        <f>SUM(D554:D581)</f>
        <v>0</v>
      </c>
      <c r="E582" s="297">
        <f>SUM(E554:E581)</f>
        <v>0</v>
      </c>
      <c r="F582" s="166">
        <f>SUM(F554:F581)</f>
        <v>0</v>
      </c>
      <c r="G582" s="166">
        <f>SUM(G554:G581)</f>
        <v>0</v>
      </c>
      <c r="H582" s="166">
        <f>SUM(H554:H581)</f>
        <v>0</v>
      </c>
      <c r="I582" s="297">
        <f>G582+H582</f>
        <v>0</v>
      </c>
    </row>
    <row r="583" spans="1:9" ht="10.5" customHeight="1" thickTop="1" x14ac:dyDescent="0.15">
      <c r="A583" s="34"/>
      <c r="B583" s="149"/>
      <c r="C583" s="114"/>
      <c r="D583" s="14"/>
      <c r="E583" s="301"/>
      <c r="F583" s="14"/>
      <c r="G583" s="14"/>
      <c r="H583" s="298"/>
      <c r="I583" s="298"/>
    </row>
    <row r="584" spans="1:9" ht="10.5" customHeight="1" x14ac:dyDescent="0.15">
      <c r="A584" s="34" t="s">
        <v>149</v>
      </c>
      <c r="C584" s="114"/>
      <c r="D584" s="14"/>
      <c r="E584" s="301"/>
      <c r="F584" s="14"/>
      <c r="G584" s="14"/>
      <c r="H584" s="298"/>
      <c r="I584" s="298"/>
    </row>
    <row r="585" spans="1:9" s="302" customFormat="1" hidden="1" x14ac:dyDescent="0.15">
      <c r="B585" s="304" t="s">
        <v>880</v>
      </c>
      <c r="C585" s="305" t="s">
        <v>1164</v>
      </c>
      <c r="D585" s="308">
        <v>0</v>
      </c>
      <c r="E585" s="308">
        <v>0</v>
      </c>
      <c r="F585" s="308">
        <v>0</v>
      </c>
      <c r="G585" s="458"/>
      <c r="H585" s="457">
        <v>0</v>
      </c>
      <c r="I585" s="494">
        <f>SUM(G585+H585)</f>
        <v>0</v>
      </c>
    </row>
    <row r="586" spans="1:9" s="302" customFormat="1" x14ac:dyDescent="0.15">
      <c r="B586" s="304" t="s">
        <v>880</v>
      </c>
      <c r="C586" s="305" t="s">
        <v>337</v>
      </c>
      <c r="D586" s="308">
        <v>0</v>
      </c>
      <c r="E586" s="308">
        <v>0</v>
      </c>
      <c r="F586" s="308">
        <v>0</v>
      </c>
      <c r="G586" s="308">
        <v>0</v>
      </c>
      <c r="H586" s="457">
        <v>0</v>
      </c>
      <c r="I586" s="494">
        <f>SUM(G586+H586)</f>
        <v>0</v>
      </c>
    </row>
    <row r="587" spans="1:9" s="302" customFormat="1" hidden="1" x14ac:dyDescent="0.15">
      <c r="A587" s="305"/>
      <c r="B587" s="304" t="s">
        <v>881</v>
      </c>
      <c r="C587" s="305" t="s">
        <v>382</v>
      </c>
      <c r="D587" s="308">
        <v>0</v>
      </c>
      <c r="E587" s="308">
        <v>0</v>
      </c>
      <c r="F587" s="308">
        <v>0</v>
      </c>
      <c r="G587" s="459"/>
      <c r="H587" s="457">
        <v>0</v>
      </c>
      <c r="I587" s="494">
        <f>SUM(G587+H587)</f>
        <v>0</v>
      </c>
    </row>
    <row r="588" spans="1:9" s="302" customFormat="1" x14ac:dyDescent="0.15">
      <c r="A588" s="305"/>
      <c r="B588" s="304" t="s">
        <v>881</v>
      </c>
      <c r="C588" s="305" t="s">
        <v>338</v>
      </c>
      <c r="D588" s="308">
        <v>0</v>
      </c>
      <c r="E588" s="308">
        <v>0</v>
      </c>
      <c r="F588" s="308">
        <v>0</v>
      </c>
      <c r="G588" s="308">
        <v>0</v>
      </c>
      <c r="H588" s="457">
        <v>0</v>
      </c>
      <c r="I588" s="494">
        <f>SUM(G588+H588)</f>
        <v>0</v>
      </c>
    </row>
    <row r="589" spans="1:9" ht="10.5" customHeight="1" x14ac:dyDescent="0.15">
      <c r="B589" s="149" t="s">
        <v>882</v>
      </c>
      <c r="C589" s="114" t="s">
        <v>1058</v>
      </c>
      <c r="D589" s="144">
        <v>0</v>
      </c>
      <c r="E589" s="308">
        <v>0</v>
      </c>
      <c r="F589" s="144">
        <v>0</v>
      </c>
      <c r="G589" s="144">
        <v>0</v>
      </c>
      <c r="H589" s="307">
        <v>0</v>
      </c>
      <c r="I589" s="500">
        <f t="shared" ref="I589:I612" si="29">SUM(G589+H589)</f>
        <v>0</v>
      </c>
    </row>
    <row r="590" spans="1:9" ht="10.5" customHeight="1" x14ac:dyDescent="0.15">
      <c r="B590" s="149" t="s">
        <v>883</v>
      </c>
      <c r="C590" s="114" t="s">
        <v>1059</v>
      </c>
      <c r="D590" s="144">
        <v>0</v>
      </c>
      <c r="E590" s="308">
        <v>0</v>
      </c>
      <c r="F590" s="144">
        <v>0</v>
      </c>
      <c r="G590" s="144">
        <v>0</v>
      </c>
      <c r="H590" s="307">
        <v>0</v>
      </c>
      <c r="I590" s="500">
        <f t="shared" si="29"/>
        <v>0</v>
      </c>
    </row>
    <row r="591" spans="1:9" ht="10.5" customHeight="1" x14ac:dyDescent="0.15">
      <c r="B591" s="149" t="s">
        <v>1060</v>
      </c>
      <c r="C591" s="114" t="s">
        <v>1061</v>
      </c>
      <c r="D591" s="144">
        <v>0</v>
      </c>
      <c r="E591" s="308">
        <v>0</v>
      </c>
      <c r="F591" s="144">
        <v>0</v>
      </c>
      <c r="G591" s="144">
        <v>0</v>
      </c>
      <c r="H591" s="307">
        <v>0</v>
      </c>
      <c r="I591" s="500">
        <f t="shared" si="29"/>
        <v>0</v>
      </c>
    </row>
    <row r="592" spans="1:9" ht="10.5" customHeight="1" x14ac:dyDescent="0.15">
      <c r="B592" s="149" t="s">
        <v>1062</v>
      </c>
      <c r="C592" s="114" t="s">
        <v>1063</v>
      </c>
      <c r="D592" s="144">
        <v>0</v>
      </c>
      <c r="E592" s="308">
        <v>0</v>
      </c>
      <c r="F592" s="144">
        <v>0</v>
      </c>
      <c r="G592" s="144">
        <v>0</v>
      </c>
      <c r="H592" s="307">
        <v>0</v>
      </c>
      <c r="I592" s="500">
        <f t="shared" si="29"/>
        <v>0</v>
      </c>
    </row>
    <row r="593" spans="2:9" ht="10.5" customHeight="1" x14ac:dyDescent="0.15">
      <c r="B593" s="149" t="s">
        <v>884</v>
      </c>
      <c r="C593" s="114" t="s">
        <v>1064</v>
      </c>
      <c r="D593" s="144">
        <v>0</v>
      </c>
      <c r="E593" s="308">
        <v>0</v>
      </c>
      <c r="F593" s="144">
        <v>0</v>
      </c>
      <c r="G593" s="144">
        <v>0</v>
      </c>
      <c r="H593" s="307">
        <v>0</v>
      </c>
      <c r="I593" s="500">
        <f t="shared" si="29"/>
        <v>0</v>
      </c>
    </row>
    <row r="594" spans="2:9" ht="10.5" customHeight="1" x14ac:dyDescent="0.15">
      <c r="B594" s="149" t="s">
        <v>1067</v>
      </c>
      <c r="C594" s="114" t="s">
        <v>1074</v>
      </c>
      <c r="D594" s="144">
        <v>0</v>
      </c>
      <c r="E594" s="308">
        <v>0</v>
      </c>
      <c r="F594" s="144">
        <v>0</v>
      </c>
      <c r="G594" s="144">
        <v>0</v>
      </c>
      <c r="H594" s="307">
        <v>0</v>
      </c>
      <c r="I594" s="500">
        <f t="shared" si="29"/>
        <v>0</v>
      </c>
    </row>
    <row r="595" spans="2:9" ht="10.5" customHeight="1" x14ac:dyDescent="0.15">
      <c r="B595" s="718" t="s">
        <v>155</v>
      </c>
      <c r="C595" s="719" t="s">
        <v>178</v>
      </c>
      <c r="D595" s="144">
        <v>0</v>
      </c>
      <c r="E595" s="308">
        <v>0</v>
      </c>
      <c r="F595" s="144">
        <v>0</v>
      </c>
      <c r="G595" s="144">
        <v>0</v>
      </c>
      <c r="H595" s="307">
        <v>0</v>
      </c>
      <c r="I595" s="500">
        <f t="shared" ref="I595" si="30">SUM(G595+H595)</f>
        <v>0</v>
      </c>
    </row>
    <row r="596" spans="2:9" ht="10.5" customHeight="1" x14ac:dyDescent="0.15">
      <c r="B596" s="149" t="s">
        <v>927</v>
      </c>
      <c r="C596" s="114" t="s">
        <v>959</v>
      </c>
      <c r="D596" s="144">
        <v>0</v>
      </c>
      <c r="E596" s="308">
        <v>0</v>
      </c>
      <c r="F596" s="144">
        <v>0</v>
      </c>
      <c r="G596" s="144">
        <v>0</v>
      </c>
      <c r="H596" s="307">
        <v>0</v>
      </c>
      <c r="I596" s="500">
        <f t="shared" si="29"/>
        <v>0</v>
      </c>
    </row>
    <row r="597" spans="2:9" ht="10.5" customHeight="1" x14ac:dyDescent="0.15">
      <c r="B597" s="149" t="s">
        <v>928</v>
      </c>
      <c r="C597" s="114" t="s">
        <v>961</v>
      </c>
      <c r="D597" s="144">
        <v>0</v>
      </c>
      <c r="E597" s="308">
        <v>0</v>
      </c>
      <c r="F597" s="144">
        <v>0</v>
      </c>
      <c r="G597" s="144">
        <v>0</v>
      </c>
      <c r="H597" s="307">
        <v>0</v>
      </c>
      <c r="I597" s="500">
        <f t="shared" si="29"/>
        <v>0</v>
      </c>
    </row>
    <row r="598" spans="2:9" ht="10.5" customHeight="1" x14ac:dyDescent="0.15">
      <c r="B598" s="149" t="s">
        <v>962</v>
      </c>
      <c r="C598" s="114" t="s">
        <v>967</v>
      </c>
      <c r="D598" s="144">
        <v>0</v>
      </c>
      <c r="E598" s="308">
        <v>0</v>
      </c>
      <c r="F598" s="144">
        <v>0</v>
      </c>
      <c r="G598" s="144">
        <v>0</v>
      </c>
      <c r="H598" s="307">
        <v>0</v>
      </c>
      <c r="I598" s="500">
        <f t="shared" si="29"/>
        <v>0</v>
      </c>
    </row>
    <row r="599" spans="2:9" ht="10.5" customHeight="1" x14ac:dyDescent="0.15">
      <c r="B599" s="149" t="s">
        <v>963</v>
      </c>
      <c r="C599" s="114" t="s">
        <v>1124</v>
      </c>
      <c r="D599" s="144">
        <v>0</v>
      </c>
      <c r="E599" s="308">
        <v>0</v>
      </c>
      <c r="F599" s="144">
        <v>0</v>
      </c>
      <c r="G599" s="144">
        <v>0</v>
      </c>
      <c r="H599" s="307">
        <v>0</v>
      </c>
      <c r="I599" s="500">
        <f t="shared" si="29"/>
        <v>0</v>
      </c>
    </row>
    <row r="600" spans="2:9" ht="10.5" customHeight="1" x14ac:dyDescent="0.15">
      <c r="B600" s="149" t="s">
        <v>964</v>
      </c>
      <c r="C600" s="114" t="s">
        <v>1094</v>
      </c>
      <c r="D600" s="144">
        <v>0</v>
      </c>
      <c r="E600" s="308">
        <v>0</v>
      </c>
      <c r="F600" s="144">
        <v>0</v>
      </c>
      <c r="G600" s="144">
        <v>0</v>
      </c>
      <c r="H600" s="307">
        <v>0</v>
      </c>
      <c r="I600" s="500">
        <f t="shared" si="29"/>
        <v>0</v>
      </c>
    </row>
    <row r="601" spans="2:9" ht="10.5" customHeight="1" x14ac:dyDescent="0.15">
      <c r="B601" s="149" t="s">
        <v>965</v>
      </c>
      <c r="C601" s="114" t="s">
        <v>1095</v>
      </c>
      <c r="D601" s="144">
        <v>0</v>
      </c>
      <c r="E601" s="308">
        <v>0</v>
      </c>
      <c r="F601" s="144">
        <v>0</v>
      </c>
      <c r="G601" s="144">
        <v>0</v>
      </c>
      <c r="H601" s="307">
        <v>0</v>
      </c>
      <c r="I601" s="500">
        <f t="shared" si="29"/>
        <v>0</v>
      </c>
    </row>
    <row r="602" spans="2:9" ht="10.5" customHeight="1" x14ac:dyDescent="0.15">
      <c r="B602" s="149" t="s">
        <v>885</v>
      </c>
      <c r="C602" s="114" t="s">
        <v>1096</v>
      </c>
      <c r="D602" s="144">
        <v>0</v>
      </c>
      <c r="E602" s="308">
        <v>0</v>
      </c>
      <c r="F602" s="144">
        <v>0</v>
      </c>
      <c r="G602" s="144">
        <v>0</v>
      </c>
      <c r="H602" s="307">
        <v>0</v>
      </c>
      <c r="I602" s="500">
        <f t="shared" si="29"/>
        <v>0</v>
      </c>
    </row>
    <row r="603" spans="2:9" ht="10.5" customHeight="1" x14ac:dyDescent="0.15">
      <c r="B603" s="149" t="s">
        <v>966</v>
      </c>
      <c r="C603" s="114" t="s">
        <v>1097</v>
      </c>
      <c r="D603" s="144">
        <v>0</v>
      </c>
      <c r="E603" s="308">
        <v>0</v>
      </c>
      <c r="F603" s="144">
        <v>0</v>
      </c>
      <c r="G603" s="144">
        <v>0</v>
      </c>
      <c r="H603" s="307">
        <v>0</v>
      </c>
      <c r="I603" s="500">
        <f t="shared" si="29"/>
        <v>0</v>
      </c>
    </row>
    <row r="604" spans="2:9" ht="10.5" customHeight="1" x14ac:dyDescent="0.15">
      <c r="B604" s="149" t="s">
        <v>886</v>
      </c>
      <c r="C604" s="114" t="s">
        <v>1100</v>
      </c>
      <c r="D604" s="144">
        <v>0</v>
      </c>
      <c r="E604" s="308">
        <v>0</v>
      </c>
      <c r="F604" s="144">
        <v>0</v>
      </c>
      <c r="G604" s="144">
        <v>0</v>
      </c>
      <c r="H604" s="307">
        <v>0</v>
      </c>
      <c r="I604" s="500">
        <f t="shared" si="29"/>
        <v>0</v>
      </c>
    </row>
    <row r="605" spans="2:9" ht="10.5" customHeight="1" x14ac:dyDescent="0.15">
      <c r="B605" s="149" t="s">
        <v>116</v>
      </c>
      <c r="C605" s="114" t="s">
        <v>1105</v>
      </c>
      <c r="D605" s="144">
        <v>0</v>
      </c>
      <c r="E605" s="308">
        <v>0</v>
      </c>
      <c r="F605" s="144">
        <v>0</v>
      </c>
      <c r="G605" s="144">
        <v>0</v>
      </c>
      <c r="H605" s="307">
        <v>0</v>
      </c>
      <c r="I605" s="500">
        <f t="shared" si="29"/>
        <v>0</v>
      </c>
    </row>
    <row r="606" spans="2:9" ht="10.5" customHeight="1" x14ac:dyDescent="0.15">
      <c r="B606" s="149" t="s">
        <v>112</v>
      </c>
      <c r="C606" s="114" t="s">
        <v>1110</v>
      </c>
      <c r="D606" s="144">
        <v>0</v>
      </c>
      <c r="E606" s="308">
        <v>0</v>
      </c>
      <c r="F606" s="144">
        <v>0</v>
      </c>
      <c r="G606" s="144">
        <v>0</v>
      </c>
      <c r="H606" s="307">
        <v>0</v>
      </c>
      <c r="I606" s="500">
        <f t="shared" si="29"/>
        <v>0</v>
      </c>
    </row>
    <row r="607" spans="2:9" ht="10.5" customHeight="1" x14ac:dyDescent="0.15">
      <c r="B607" s="149" t="s">
        <v>887</v>
      </c>
      <c r="C607" s="114" t="s">
        <v>1116</v>
      </c>
      <c r="D607" s="144">
        <v>0</v>
      </c>
      <c r="E607" s="308">
        <v>0</v>
      </c>
      <c r="F607" s="144">
        <v>0</v>
      </c>
      <c r="G607" s="144">
        <v>0</v>
      </c>
      <c r="H607" s="307">
        <v>0</v>
      </c>
      <c r="I607" s="500">
        <f t="shared" si="29"/>
        <v>0</v>
      </c>
    </row>
    <row r="608" spans="2:9" ht="10.5" customHeight="1" x14ac:dyDescent="0.15">
      <c r="B608" s="149" t="s">
        <v>1112</v>
      </c>
      <c r="C608" s="114" t="s">
        <v>1117</v>
      </c>
      <c r="D608" s="144">
        <v>0</v>
      </c>
      <c r="E608" s="308">
        <v>0</v>
      </c>
      <c r="F608" s="144">
        <v>0</v>
      </c>
      <c r="G608" s="144">
        <v>0</v>
      </c>
      <c r="H608" s="307">
        <v>0</v>
      </c>
      <c r="I608" s="500">
        <f t="shared" si="29"/>
        <v>0</v>
      </c>
    </row>
    <row r="609" spans="1:10" ht="10.5" customHeight="1" x14ac:dyDescent="0.15">
      <c r="B609" s="149" t="s">
        <v>1113</v>
      </c>
      <c r="C609" s="114" t="s">
        <v>1118</v>
      </c>
      <c r="D609" s="144">
        <v>0</v>
      </c>
      <c r="E609" s="308">
        <v>0</v>
      </c>
      <c r="F609" s="144">
        <v>0</v>
      </c>
      <c r="G609" s="144">
        <v>0</v>
      </c>
      <c r="H609" s="307">
        <v>0</v>
      </c>
      <c r="I609" s="500">
        <f t="shared" si="29"/>
        <v>0</v>
      </c>
    </row>
    <row r="610" spans="1:10" ht="10.5" customHeight="1" x14ac:dyDescent="0.15">
      <c r="B610" s="149" t="s">
        <v>1114</v>
      </c>
      <c r="C610" s="114" t="s">
        <v>1119</v>
      </c>
      <c r="D610" s="144">
        <v>0</v>
      </c>
      <c r="E610" s="308">
        <v>0</v>
      </c>
      <c r="F610" s="144">
        <v>0</v>
      </c>
      <c r="G610" s="144">
        <v>0</v>
      </c>
      <c r="H610" s="307">
        <v>0</v>
      </c>
      <c r="I610" s="500">
        <f t="shared" si="29"/>
        <v>0</v>
      </c>
    </row>
    <row r="611" spans="1:10" ht="10.5" customHeight="1" x14ac:dyDescent="0.15">
      <c r="B611" s="149" t="s">
        <v>1115</v>
      </c>
      <c r="C611" s="114" t="s">
        <v>1120</v>
      </c>
      <c r="D611" s="144">
        <v>0</v>
      </c>
      <c r="E611" s="308">
        <v>0</v>
      </c>
      <c r="F611" s="144">
        <v>0</v>
      </c>
      <c r="G611" s="144">
        <v>0</v>
      </c>
      <c r="H611" s="307">
        <v>0</v>
      </c>
      <c r="I611" s="500">
        <f t="shared" si="29"/>
        <v>0</v>
      </c>
    </row>
    <row r="612" spans="1:10" ht="10.5" customHeight="1" thickBot="1" x14ac:dyDescent="0.2">
      <c r="B612" s="149" t="s">
        <v>114</v>
      </c>
      <c r="C612" s="114" t="s">
        <v>1121</v>
      </c>
      <c r="D612" s="141">
        <v>0</v>
      </c>
      <c r="E612" s="309">
        <v>0</v>
      </c>
      <c r="F612" s="141">
        <v>0</v>
      </c>
      <c r="G612" s="141">
        <v>0</v>
      </c>
      <c r="H612" s="307">
        <v>0</v>
      </c>
      <c r="I612" s="500">
        <f t="shared" si="29"/>
        <v>0</v>
      </c>
    </row>
    <row r="613" spans="1:10" ht="10.5" customHeight="1" thickTop="1" thickBot="1" x14ac:dyDescent="0.2">
      <c r="B613" s="149"/>
      <c r="C613" s="114" t="s">
        <v>150</v>
      </c>
      <c r="D613" s="166">
        <f>SUM(D585:D612)</f>
        <v>0</v>
      </c>
      <c r="E613" s="297">
        <f>SUM(E585:E612)</f>
        <v>0</v>
      </c>
      <c r="F613" s="166">
        <f>SUM(F585:F612)</f>
        <v>0</v>
      </c>
      <c r="G613" s="166">
        <f>SUM(G585:G612)</f>
        <v>0</v>
      </c>
      <c r="H613" s="166">
        <f>SUM(H585:H612)</f>
        <v>0</v>
      </c>
      <c r="I613" s="297">
        <f>G613+H613</f>
        <v>0</v>
      </c>
    </row>
    <row r="614" spans="1:10" ht="10.5" customHeight="1" thickTop="1" x14ac:dyDescent="0.15">
      <c r="B614" s="149"/>
      <c r="C614" s="114"/>
      <c r="D614" s="14"/>
      <c r="E614" s="301"/>
      <c r="F614" s="14"/>
      <c r="G614" s="14"/>
      <c r="H614" s="298"/>
      <c r="I614" s="298"/>
    </row>
    <row r="615" spans="1:10" ht="10.5" customHeight="1" x14ac:dyDescent="0.15">
      <c r="A615" s="34" t="s">
        <v>151</v>
      </c>
      <c r="C615" s="114"/>
      <c r="D615" s="14"/>
      <c r="E615" s="301"/>
      <c r="F615" s="14"/>
      <c r="G615" s="14"/>
      <c r="H615" s="298"/>
      <c r="I615" s="298"/>
    </row>
    <row r="616" spans="1:10" s="302" customFormat="1" hidden="1" x14ac:dyDescent="0.15">
      <c r="B616" s="304" t="s">
        <v>880</v>
      </c>
      <c r="C616" s="305" t="s">
        <v>1164</v>
      </c>
      <c r="D616" s="308">
        <v>0</v>
      </c>
      <c r="E616" s="308">
        <v>0</v>
      </c>
      <c r="F616" s="308">
        <v>0</v>
      </c>
      <c r="G616" s="458"/>
      <c r="H616" s="457">
        <v>0</v>
      </c>
      <c r="I616" s="494">
        <f>SUM(G616+H616)</f>
        <v>0</v>
      </c>
    </row>
    <row r="617" spans="1:10" s="302" customFormat="1" x14ac:dyDescent="0.15">
      <c r="B617" s="304" t="s">
        <v>880</v>
      </c>
      <c r="C617" s="305" t="s">
        <v>337</v>
      </c>
      <c r="D617" s="308">
        <v>0</v>
      </c>
      <c r="E617" s="308">
        <v>0</v>
      </c>
      <c r="F617" s="308">
        <v>0</v>
      </c>
      <c r="G617" s="308">
        <v>0</v>
      </c>
      <c r="H617" s="457">
        <v>0</v>
      </c>
      <c r="I617" s="494">
        <f>SUM(G617+H617)</f>
        <v>0</v>
      </c>
    </row>
    <row r="618" spans="1:10" s="302" customFormat="1" hidden="1" x14ac:dyDescent="0.15">
      <c r="A618" s="305"/>
      <c r="B618" s="304" t="s">
        <v>881</v>
      </c>
      <c r="C618" s="305" t="s">
        <v>382</v>
      </c>
      <c r="D618" s="308">
        <v>0</v>
      </c>
      <c r="E618" s="308">
        <v>0</v>
      </c>
      <c r="F618" s="308">
        <v>0</v>
      </c>
      <c r="G618" s="459"/>
      <c r="H618" s="457">
        <v>0</v>
      </c>
      <c r="I618" s="494">
        <f>SUM(G618+H618)</f>
        <v>0</v>
      </c>
    </row>
    <row r="619" spans="1:10" x14ac:dyDescent="0.15">
      <c r="A619" s="114"/>
      <c r="B619" s="149" t="s">
        <v>881</v>
      </c>
      <c r="C619" s="114" t="s">
        <v>338</v>
      </c>
      <c r="D619" s="144">
        <v>0</v>
      </c>
      <c r="E619" s="308">
        <v>0</v>
      </c>
      <c r="F619" s="144">
        <v>0</v>
      </c>
      <c r="G619" s="144">
        <v>0</v>
      </c>
      <c r="H619" s="147">
        <v>0</v>
      </c>
      <c r="I619" s="495">
        <f>SUM(G619+H619)</f>
        <v>0</v>
      </c>
      <c r="J619" s="302"/>
    </row>
    <row r="620" spans="1:10" ht="10.5" customHeight="1" x14ac:dyDescent="0.15">
      <c r="B620" s="149" t="s">
        <v>882</v>
      </c>
      <c r="C620" s="114" t="s">
        <v>1058</v>
      </c>
      <c r="D620" s="144">
        <v>0</v>
      </c>
      <c r="E620" s="308">
        <v>0</v>
      </c>
      <c r="F620" s="144">
        <v>0</v>
      </c>
      <c r="G620" s="144">
        <v>0</v>
      </c>
      <c r="H620" s="307">
        <v>0</v>
      </c>
      <c r="I620" s="500">
        <f t="shared" ref="I620:I645" si="31">SUM(G620+H620)</f>
        <v>0</v>
      </c>
    </row>
    <row r="621" spans="1:10" ht="10.5" customHeight="1" x14ac:dyDescent="0.15">
      <c r="B621" s="149" t="s">
        <v>883</v>
      </c>
      <c r="C621" s="114" t="s">
        <v>1059</v>
      </c>
      <c r="D621" s="144">
        <v>0</v>
      </c>
      <c r="E621" s="308">
        <v>0</v>
      </c>
      <c r="F621" s="144">
        <v>0</v>
      </c>
      <c r="G621" s="144">
        <v>0</v>
      </c>
      <c r="H621" s="307">
        <v>0</v>
      </c>
      <c r="I621" s="500">
        <f t="shared" si="31"/>
        <v>0</v>
      </c>
    </row>
    <row r="622" spans="1:10" ht="10.5" customHeight="1" x14ac:dyDescent="0.15">
      <c r="B622" s="149" t="s">
        <v>1060</v>
      </c>
      <c r="C622" s="114" t="s">
        <v>1061</v>
      </c>
      <c r="D622" s="144">
        <v>0</v>
      </c>
      <c r="E622" s="308">
        <v>0</v>
      </c>
      <c r="F622" s="144">
        <v>0</v>
      </c>
      <c r="G622" s="144">
        <v>0</v>
      </c>
      <c r="H622" s="307">
        <v>0</v>
      </c>
      <c r="I622" s="500">
        <f t="shared" si="31"/>
        <v>0</v>
      </c>
    </row>
    <row r="623" spans="1:10" ht="10.5" customHeight="1" x14ac:dyDescent="0.15">
      <c r="B623" s="149" t="s">
        <v>1062</v>
      </c>
      <c r="C623" s="114" t="s">
        <v>1063</v>
      </c>
      <c r="D623" s="144">
        <v>0</v>
      </c>
      <c r="E623" s="308">
        <v>0</v>
      </c>
      <c r="F623" s="144">
        <v>0</v>
      </c>
      <c r="G623" s="144">
        <v>0</v>
      </c>
      <c r="H623" s="307">
        <v>0</v>
      </c>
      <c r="I623" s="500">
        <f t="shared" si="31"/>
        <v>0</v>
      </c>
    </row>
    <row r="624" spans="1:10" ht="10.5" customHeight="1" x14ac:dyDescent="0.15">
      <c r="B624" s="149" t="s">
        <v>884</v>
      </c>
      <c r="C624" s="114" t="s">
        <v>1064</v>
      </c>
      <c r="D624" s="144">
        <v>0</v>
      </c>
      <c r="E624" s="308">
        <v>0</v>
      </c>
      <c r="F624" s="144">
        <v>0</v>
      </c>
      <c r="G624" s="144">
        <v>0</v>
      </c>
      <c r="H624" s="307">
        <v>0</v>
      </c>
      <c r="I624" s="500">
        <f t="shared" si="31"/>
        <v>0</v>
      </c>
    </row>
    <row r="625" spans="2:9" ht="10.5" customHeight="1" x14ac:dyDescent="0.15">
      <c r="B625" s="718" t="s">
        <v>155</v>
      </c>
      <c r="C625" s="719" t="s">
        <v>178</v>
      </c>
      <c r="D625" s="144">
        <v>0</v>
      </c>
      <c r="E625" s="308">
        <v>0</v>
      </c>
      <c r="F625" s="144">
        <v>0</v>
      </c>
      <c r="G625" s="144">
        <v>0</v>
      </c>
      <c r="H625" s="307">
        <v>0</v>
      </c>
      <c r="I625" s="500">
        <f t="shared" ref="I625" si="32">SUM(G625+H625)</f>
        <v>0</v>
      </c>
    </row>
    <row r="626" spans="2:9" ht="10.5" customHeight="1" x14ac:dyDescent="0.15">
      <c r="B626" s="149" t="s">
        <v>928</v>
      </c>
      <c r="C626" s="114" t="s">
        <v>961</v>
      </c>
      <c r="D626" s="144">
        <v>0</v>
      </c>
      <c r="E626" s="308">
        <v>0</v>
      </c>
      <c r="F626" s="144">
        <v>0</v>
      </c>
      <c r="G626" s="144">
        <v>0</v>
      </c>
      <c r="H626" s="307">
        <v>0</v>
      </c>
      <c r="I626" s="500">
        <f t="shared" si="31"/>
        <v>0</v>
      </c>
    </row>
    <row r="627" spans="2:9" ht="10.5" customHeight="1" x14ac:dyDescent="0.15">
      <c r="B627" s="149" t="s">
        <v>962</v>
      </c>
      <c r="C627" s="114" t="s">
        <v>967</v>
      </c>
      <c r="D627" s="144">
        <v>0</v>
      </c>
      <c r="E627" s="308">
        <v>0</v>
      </c>
      <c r="F627" s="144">
        <v>0</v>
      </c>
      <c r="G627" s="144">
        <v>0</v>
      </c>
      <c r="H627" s="307">
        <v>0</v>
      </c>
      <c r="I627" s="500">
        <f t="shared" si="31"/>
        <v>0</v>
      </c>
    </row>
    <row r="628" spans="2:9" ht="10.5" customHeight="1" x14ac:dyDescent="0.15">
      <c r="B628" s="149" t="s">
        <v>963</v>
      </c>
      <c r="C628" s="114" t="s">
        <v>1124</v>
      </c>
      <c r="D628" s="144">
        <v>0</v>
      </c>
      <c r="E628" s="308">
        <v>0</v>
      </c>
      <c r="F628" s="144">
        <v>0</v>
      </c>
      <c r="G628" s="144">
        <v>0</v>
      </c>
      <c r="H628" s="307">
        <v>0</v>
      </c>
      <c r="I628" s="500">
        <f t="shared" si="31"/>
        <v>0</v>
      </c>
    </row>
    <row r="629" spans="2:9" ht="10.5" customHeight="1" x14ac:dyDescent="0.15">
      <c r="B629" s="149" t="s">
        <v>964</v>
      </c>
      <c r="C629" s="114" t="s">
        <v>1094</v>
      </c>
      <c r="D629" s="144">
        <v>0</v>
      </c>
      <c r="E629" s="308">
        <v>0</v>
      </c>
      <c r="F629" s="144">
        <v>0</v>
      </c>
      <c r="G629" s="144">
        <v>0</v>
      </c>
      <c r="H629" s="307">
        <v>0</v>
      </c>
      <c r="I629" s="500">
        <f t="shared" si="31"/>
        <v>0</v>
      </c>
    </row>
    <row r="630" spans="2:9" ht="10.5" customHeight="1" x14ac:dyDescent="0.15">
      <c r="B630" s="149" t="s">
        <v>965</v>
      </c>
      <c r="C630" s="114" t="s">
        <v>1095</v>
      </c>
      <c r="D630" s="144">
        <v>0</v>
      </c>
      <c r="E630" s="308">
        <v>0</v>
      </c>
      <c r="F630" s="144">
        <v>0</v>
      </c>
      <c r="G630" s="144">
        <v>0</v>
      </c>
      <c r="H630" s="307">
        <v>0</v>
      </c>
      <c r="I630" s="500">
        <f t="shared" si="31"/>
        <v>0</v>
      </c>
    </row>
    <row r="631" spans="2:9" ht="10.5" customHeight="1" x14ac:dyDescent="0.15">
      <c r="B631" s="149" t="s">
        <v>885</v>
      </c>
      <c r="C631" s="114" t="s">
        <v>1096</v>
      </c>
      <c r="D631" s="144">
        <v>0</v>
      </c>
      <c r="E631" s="308">
        <v>0</v>
      </c>
      <c r="F631" s="144">
        <v>0</v>
      </c>
      <c r="G631" s="144">
        <v>0</v>
      </c>
      <c r="H631" s="307">
        <v>0</v>
      </c>
      <c r="I631" s="500">
        <f t="shared" si="31"/>
        <v>0</v>
      </c>
    </row>
    <row r="632" spans="2:9" ht="10.5" customHeight="1" x14ac:dyDescent="0.15">
      <c r="B632" s="149" t="s">
        <v>966</v>
      </c>
      <c r="C632" s="114" t="s">
        <v>1097</v>
      </c>
      <c r="D632" s="144">
        <v>0</v>
      </c>
      <c r="E632" s="308">
        <v>0</v>
      </c>
      <c r="F632" s="144">
        <v>0</v>
      </c>
      <c r="G632" s="144">
        <v>0</v>
      </c>
      <c r="H632" s="307">
        <v>0</v>
      </c>
      <c r="I632" s="500">
        <f t="shared" si="31"/>
        <v>0</v>
      </c>
    </row>
    <row r="633" spans="2:9" ht="10.5" customHeight="1" x14ac:dyDescent="0.15">
      <c r="B633" s="149" t="s">
        <v>886</v>
      </c>
      <c r="C633" s="114" t="s">
        <v>1100</v>
      </c>
      <c r="D633" s="144">
        <v>0</v>
      </c>
      <c r="E633" s="308">
        <v>0</v>
      </c>
      <c r="F633" s="144">
        <v>0</v>
      </c>
      <c r="G633" s="144">
        <v>0</v>
      </c>
      <c r="H633" s="307">
        <v>0</v>
      </c>
      <c r="I633" s="500">
        <f t="shared" si="31"/>
        <v>0</v>
      </c>
    </row>
    <row r="634" spans="2:9" ht="10.5" customHeight="1" x14ac:dyDescent="0.15">
      <c r="B634" s="149" t="s">
        <v>1137</v>
      </c>
      <c r="C634" s="114" t="s">
        <v>1101</v>
      </c>
      <c r="D634" s="144">
        <v>0</v>
      </c>
      <c r="E634" s="308">
        <v>0</v>
      </c>
      <c r="F634" s="144">
        <v>0</v>
      </c>
      <c r="G634" s="144">
        <v>0</v>
      </c>
      <c r="H634" s="307">
        <v>0</v>
      </c>
      <c r="I634" s="500">
        <f t="shared" si="31"/>
        <v>0</v>
      </c>
    </row>
    <row r="635" spans="2:9" ht="10.5" customHeight="1" x14ac:dyDescent="0.15">
      <c r="B635" s="149" t="s">
        <v>1138</v>
      </c>
      <c r="C635" s="114" t="s">
        <v>1102</v>
      </c>
      <c r="D635" s="144">
        <v>0</v>
      </c>
      <c r="E635" s="308">
        <v>0</v>
      </c>
      <c r="F635" s="144">
        <v>0</v>
      </c>
      <c r="G635" s="144">
        <v>0</v>
      </c>
      <c r="H635" s="307">
        <v>0</v>
      </c>
      <c r="I635" s="500">
        <f t="shared" si="31"/>
        <v>0</v>
      </c>
    </row>
    <row r="636" spans="2:9" ht="10.5" customHeight="1" x14ac:dyDescent="0.15">
      <c r="B636" s="149" t="s">
        <v>1098</v>
      </c>
      <c r="C636" s="114" t="s">
        <v>1353</v>
      </c>
      <c r="D636" s="144">
        <v>0</v>
      </c>
      <c r="E636" s="308">
        <v>0</v>
      </c>
      <c r="F636" s="144">
        <v>0</v>
      </c>
      <c r="G636" s="144">
        <v>0</v>
      </c>
      <c r="H636" s="307">
        <v>0</v>
      </c>
      <c r="I636" s="500">
        <f t="shared" si="31"/>
        <v>0</v>
      </c>
    </row>
    <row r="637" spans="2:9" ht="10.5" customHeight="1" x14ac:dyDescent="0.15">
      <c r="B637" s="149" t="s">
        <v>1099</v>
      </c>
      <c r="C637" s="114" t="s">
        <v>1354</v>
      </c>
      <c r="D637" s="144">
        <v>0</v>
      </c>
      <c r="E637" s="308">
        <v>0</v>
      </c>
      <c r="F637" s="144">
        <v>0</v>
      </c>
      <c r="G637" s="144">
        <v>0</v>
      </c>
      <c r="H637" s="307">
        <v>0</v>
      </c>
      <c r="I637" s="500">
        <f t="shared" si="31"/>
        <v>0</v>
      </c>
    </row>
    <row r="638" spans="2:9" ht="10.5" customHeight="1" x14ac:dyDescent="0.15">
      <c r="B638" s="149" t="s">
        <v>1355</v>
      </c>
      <c r="C638" s="114" t="s">
        <v>1356</v>
      </c>
      <c r="D638" s="144">
        <v>0</v>
      </c>
      <c r="E638" s="308">
        <v>0</v>
      </c>
      <c r="F638" s="144">
        <v>0</v>
      </c>
      <c r="G638" s="144">
        <v>0</v>
      </c>
      <c r="H638" s="307">
        <v>0</v>
      </c>
      <c r="I638" s="500">
        <f t="shared" si="31"/>
        <v>0</v>
      </c>
    </row>
    <row r="639" spans="2:9" ht="10.5" customHeight="1" x14ac:dyDescent="0.15">
      <c r="B639" s="149" t="s">
        <v>116</v>
      </c>
      <c r="C639" s="114" t="s">
        <v>1105</v>
      </c>
      <c r="D639" s="144">
        <v>0</v>
      </c>
      <c r="E639" s="308">
        <v>0</v>
      </c>
      <c r="F639" s="144">
        <v>0</v>
      </c>
      <c r="G639" s="144">
        <v>0</v>
      </c>
      <c r="H639" s="307">
        <v>0</v>
      </c>
      <c r="I639" s="500">
        <f t="shared" si="31"/>
        <v>0</v>
      </c>
    </row>
    <row r="640" spans="2:9" ht="10.5" customHeight="1" x14ac:dyDescent="0.15">
      <c r="B640" s="149" t="s">
        <v>1139</v>
      </c>
      <c r="C640" s="114" t="s">
        <v>1109</v>
      </c>
      <c r="D640" s="144">
        <v>0</v>
      </c>
      <c r="E640" s="308">
        <v>0</v>
      </c>
      <c r="F640" s="144">
        <v>0</v>
      </c>
      <c r="G640" s="144">
        <v>0</v>
      </c>
      <c r="H640" s="307">
        <v>0</v>
      </c>
      <c r="I640" s="500">
        <f t="shared" si="31"/>
        <v>0</v>
      </c>
    </row>
    <row r="641" spans="1:9" ht="10.5" customHeight="1" x14ac:dyDescent="0.15">
      <c r="B641" s="149" t="s">
        <v>112</v>
      </c>
      <c r="C641" s="114" t="s">
        <v>1110</v>
      </c>
      <c r="D641" s="144">
        <v>0</v>
      </c>
      <c r="E641" s="308">
        <v>0</v>
      </c>
      <c r="F641" s="144">
        <v>0</v>
      </c>
      <c r="G641" s="144">
        <v>0</v>
      </c>
      <c r="H641" s="307">
        <v>0</v>
      </c>
      <c r="I641" s="500">
        <f t="shared" si="31"/>
        <v>0</v>
      </c>
    </row>
    <row r="642" spans="1:9" ht="10.5" customHeight="1" x14ac:dyDescent="0.15">
      <c r="B642" s="149" t="s">
        <v>887</v>
      </c>
      <c r="C642" s="114" t="s">
        <v>1116</v>
      </c>
      <c r="D642" s="144">
        <v>0</v>
      </c>
      <c r="E642" s="308">
        <v>0</v>
      </c>
      <c r="F642" s="144">
        <v>0</v>
      </c>
      <c r="G642" s="144">
        <v>0</v>
      </c>
      <c r="H642" s="307">
        <v>0</v>
      </c>
      <c r="I642" s="500">
        <f t="shared" si="31"/>
        <v>0</v>
      </c>
    </row>
    <row r="643" spans="1:9" ht="10.5" customHeight="1" x14ac:dyDescent="0.15">
      <c r="B643" s="149" t="s">
        <v>1112</v>
      </c>
      <c r="C643" s="114" t="s">
        <v>1117</v>
      </c>
      <c r="D643" s="144">
        <v>0</v>
      </c>
      <c r="E643" s="308">
        <v>0</v>
      </c>
      <c r="F643" s="144">
        <v>0</v>
      </c>
      <c r="G643" s="144">
        <v>0</v>
      </c>
      <c r="H643" s="307">
        <v>0</v>
      </c>
      <c r="I643" s="500">
        <f t="shared" si="31"/>
        <v>0</v>
      </c>
    </row>
    <row r="644" spans="1:9" ht="10.5" customHeight="1" x14ac:dyDescent="0.15">
      <c r="B644" s="149" t="s">
        <v>1113</v>
      </c>
      <c r="C644" s="114" t="s">
        <v>1118</v>
      </c>
      <c r="D644" s="144">
        <v>0</v>
      </c>
      <c r="E644" s="308">
        <v>0</v>
      </c>
      <c r="F644" s="144">
        <v>0</v>
      </c>
      <c r="G644" s="144">
        <v>0</v>
      </c>
      <c r="H644" s="307">
        <v>0</v>
      </c>
      <c r="I644" s="500">
        <f t="shared" si="31"/>
        <v>0</v>
      </c>
    </row>
    <row r="645" spans="1:9" ht="10.5" customHeight="1" thickBot="1" x14ac:dyDescent="0.2">
      <c r="B645" s="149" t="s">
        <v>1114</v>
      </c>
      <c r="C645" s="114" t="s">
        <v>1119</v>
      </c>
      <c r="D645" s="144">
        <v>0</v>
      </c>
      <c r="E645" s="308">
        <v>0</v>
      </c>
      <c r="F645" s="144">
        <v>0</v>
      </c>
      <c r="G645" s="144">
        <v>0</v>
      </c>
      <c r="H645" s="307">
        <v>0</v>
      </c>
      <c r="I645" s="497">
        <f t="shared" si="31"/>
        <v>0</v>
      </c>
    </row>
    <row r="646" spans="1:9" ht="10.5" customHeight="1" thickTop="1" thickBot="1" x14ac:dyDescent="0.2">
      <c r="B646" s="149"/>
      <c r="C646" s="114" t="s">
        <v>152</v>
      </c>
      <c r="D646" s="166">
        <f>SUM(D616:D645)</f>
        <v>0</v>
      </c>
      <c r="E646" s="297">
        <f>SUM(E616:E645)</f>
        <v>0</v>
      </c>
      <c r="F646" s="166">
        <f>SUM(F616:F645)</f>
        <v>0</v>
      </c>
      <c r="G646" s="166">
        <f>SUM(G616:G645)</f>
        <v>0</v>
      </c>
      <c r="H646" s="166">
        <f>SUM(H616:H645)</f>
        <v>0</v>
      </c>
      <c r="I646" s="297">
        <f>G646+H646</f>
        <v>0</v>
      </c>
    </row>
    <row r="647" spans="1:9" ht="10.5" customHeight="1" thickTop="1" thickBot="1" x14ac:dyDescent="0.2">
      <c r="B647" s="114"/>
      <c r="C647" s="114"/>
      <c r="D647" s="14"/>
      <c r="E647" s="301"/>
      <c r="F647" s="14"/>
      <c r="G647" s="14"/>
      <c r="H647" s="298"/>
      <c r="I647" s="298"/>
    </row>
    <row r="648" spans="1:9" ht="10.5" customHeight="1" thickTop="1" thickBot="1" x14ac:dyDescent="0.2">
      <c r="B648" s="114" t="s">
        <v>806</v>
      </c>
      <c r="D648" s="166">
        <f>D44+D81+D118+D149+D249+D280+D343+D382+D413+D474+D505+D528+D551+D582+D613+D646</f>
        <v>0</v>
      </c>
      <c r="E648" s="297">
        <f>E44+E81+E118+E149+E249+E280+E343+E382+E413+E474+E505+E528+E551+E582+E613+E646</f>
        <v>0</v>
      </c>
      <c r="F648" s="166">
        <f>F44+F81+F118+F149+F249+F280+F343+F382+F413+F474+F505+F528+F551+F582+F613+F646</f>
        <v>0</v>
      </c>
      <c r="G648" s="166">
        <f>G44+G81+G118+G149+G249+G280+G343+G382+G413+G474+G505+G528+G551+G582+G613+G646</f>
        <v>0</v>
      </c>
      <c r="H648" s="297">
        <f>H44+H81+H118+H149+H249+H280+H343+H382+H413+H474+H505+H528+H551+H582+H613+H646</f>
        <v>0</v>
      </c>
      <c r="I648" s="297">
        <f>G648+H648</f>
        <v>0</v>
      </c>
    </row>
    <row r="649" spans="1:9" ht="10.5" customHeight="1" thickTop="1" thickBot="1" x14ac:dyDescent="0.2">
      <c r="D649" s="156"/>
      <c r="E649" s="299"/>
      <c r="F649" s="156"/>
      <c r="G649" s="156"/>
      <c r="H649" s="299"/>
      <c r="I649" s="299"/>
    </row>
    <row r="650" spans="1:9" ht="10.5" customHeight="1" thickTop="1" thickBot="1" x14ac:dyDescent="0.2">
      <c r="B650" s="34" t="s">
        <v>1189</v>
      </c>
      <c r="D650" s="166">
        <f>GenFundExp!D1074+GenFundExp2!D648</f>
        <v>0</v>
      </c>
      <c r="E650" s="297">
        <f>GenFundExp!E1074+GenFundExp2!E648</f>
        <v>0</v>
      </c>
      <c r="F650" s="166">
        <f>GenFundExp!F1074+GenFundExp2!F648</f>
        <v>0</v>
      </c>
      <c r="G650" s="166">
        <f>GenFundExp!G1074+GenFundExp2!G648</f>
        <v>0</v>
      </c>
      <c r="H650" s="297">
        <f>GenFundExp!H1074+GenFundExp2!H648</f>
        <v>0</v>
      </c>
      <c r="I650" s="297">
        <f>G650+H650</f>
        <v>0</v>
      </c>
    </row>
    <row r="651" spans="1:9" ht="10.5" customHeight="1" thickTop="1" x14ac:dyDescent="0.15">
      <c r="D651" s="156"/>
      <c r="E651" s="299"/>
      <c r="F651" s="156"/>
      <c r="G651" s="156"/>
      <c r="H651" s="299"/>
      <c r="I651" s="299"/>
    </row>
    <row r="652" spans="1:9" ht="10.5" customHeight="1" x14ac:dyDescent="0.15">
      <c r="A652" s="39" t="s">
        <v>1294</v>
      </c>
      <c r="D652" s="156"/>
      <c r="E652" s="299"/>
      <c r="F652" s="156"/>
      <c r="G652" s="156"/>
      <c r="H652" s="299"/>
      <c r="I652" s="299"/>
    </row>
    <row r="653" spans="1:9" ht="10.5" customHeight="1" x14ac:dyDescent="0.15">
      <c r="A653" s="34" t="s">
        <v>210</v>
      </c>
      <c r="D653" s="144">
        <v>0</v>
      </c>
      <c r="E653" s="308">
        <v>0</v>
      </c>
      <c r="F653" s="144">
        <v>0</v>
      </c>
      <c r="G653" s="144">
        <v>0</v>
      </c>
      <c r="H653" s="307">
        <v>0</v>
      </c>
      <c r="I653" s="500">
        <f>SUM(G653+H653)</f>
        <v>0</v>
      </c>
    </row>
    <row r="654" spans="1:9" ht="10.5" customHeight="1" x14ac:dyDescent="0.15">
      <c r="A654" s="34" t="s">
        <v>206</v>
      </c>
      <c r="C654" s="114"/>
      <c r="I654" s="375"/>
    </row>
    <row r="655" spans="1:9" ht="10.5" customHeight="1" x14ac:dyDescent="0.15">
      <c r="B655" s="157" t="s">
        <v>1323</v>
      </c>
      <c r="C655" s="114" t="s">
        <v>1302</v>
      </c>
      <c r="D655" s="144">
        <v>0</v>
      </c>
      <c r="E655" s="308">
        <v>0</v>
      </c>
      <c r="F655" s="144">
        <v>0</v>
      </c>
      <c r="G655" s="144">
        <v>0</v>
      </c>
      <c r="H655" s="307">
        <v>0</v>
      </c>
      <c r="I655" s="500">
        <f>SUM(G655+H655)</f>
        <v>0</v>
      </c>
    </row>
    <row r="656" spans="1:9" ht="10.5" customHeight="1" x14ac:dyDescent="0.15">
      <c r="B656" s="157" t="s">
        <v>1322</v>
      </c>
      <c r="C656" s="114" t="s">
        <v>1303</v>
      </c>
      <c r="D656" s="158">
        <v>0</v>
      </c>
      <c r="E656" s="643">
        <v>0</v>
      </c>
      <c r="F656" s="158">
        <v>0</v>
      </c>
      <c r="G656" s="158">
        <v>0</v>
      </c>
      <c r="H656" s="307">
        <v>0</v>
      </c>
      <c r="I656" s="500">
        <f>SUM(G656+H656)</f>
        <v>0</v>
      </c>
    </row>
    <row r="657" spans="1:9" ht="10.5" customHeight="1" x14ac:dyDescent="0.15">
      <c r="A657" s="18" t="s">
        <v>288</v>
      </c>
      <c r="B657" s="157"/>
      <c r="C657" s="114"/>
      <c r="D657" s="158"/>
      <c r="E657" s="643"/>
      <c r="F657" s="158"/>
      <c r="G657" s="158"/>
      <c r="H657" s="307"/>
      <c r="I657" s="500"/>
    </row>
    <row r="658" spans="1:9" ht="10.5" customHeight="1" thickBot="1" x14ac:dyDescent="0.2">
      <c r="B658" s="157"/>
      <c r="C658" s="561" t="s">
        <v>289</v>
      </c>
      <c r="D658" s="564">
        <f>+GenFundREV!D117+GenFundREV!D121+GenFundREV!D122+GenFundREV!D123</f>
        <v>0</v>
      </c>
      <c r="E658" s="645">
        <f>+GenFundREV!E117+GenFundREV!E121+GenFundREV!E122+GenFundREV!E123</f>
        <v>0</v>
      </c>
      <c r="F658" s="564">
        <f>+GenFundREV!F117+GenFundREV!F121+GenFundREV!F122+GenFundREV!F123</f>
        <v>0</v>
      </c>
      <c r="G658" s="564">
        <f>+GenFundREV!G117+GenFundREV!G121+GenFundREV!G122+GenFundREV!G123</f>
        <v>0</v>
      </c>
      <c r="H658" s="564">
        <f>+GenFundREV!H117+GenFundREV!H121+GenFundREV!H122+GenFundREV!H123</f>
        <v>0</v>
      </c>
      <c r="I658" s="564">
        <f>+GenFundREV!I117+GenFundREV!I121+GenFundREV!I122+GenFundREV!I123</f>
        <v>0</v>
      </c>
    </row>
    <row r="659" spans="1:9" ht="10.5" customHeight="1" thickTop="1" thickBot="1" x14ac:dyDescent="0.2">
      <c r="A659" s="34"/>
      <c r="C659" s="114" t="s">
        <v>672</v>
      </c>
      <c r="D659" s="170">
        <f>SUM(D653:D658)</f>
        <v>0</v>
      </c>
      <c r="E659" s="313">
        <f>SUM(E653:E658)</f>
        <v>0</v>
      </c>
      <c r="F659" s="170">
        <f>SUM(F653:F658)</f>
        <v>0</v>
      </c>
      <c r="G659" s="170">
        <f>SUM(G653:G658)</f>
        <v>0</v>
      </c>
      <c r="H659" s="313">
        <f>SUM(H653:H658)</f>
        <v>0</v>
      </c>
      <c r="I659" s="313">
        <f>G659+H659</f>
        <v>0</v>
      </c>
    </row>
    <row r="660" spans="1:9" ht="10.5" customHeight="1" thickTop="1" thickBot="1" x14ac:dyDescent="0.2">
      <c r="A660" s="34"/>
      <c r="C660" s="114"/>
      <c r="D660" s="14"/>
      <c r="E660" s="301"/>
      <c r="F660" s="14"/>
      <c r="G660" s="14"/>
      <c r="I660" s="375"/>
    </row>
    <row r="661" spans="1:9" ht="10.5" customHeight="1" thickTop="1" thickBot="1" x14ac:dyDescent="0.2">
      <c r="B661" s="34" t="s">
        <v>207</v>
      </c>
      <c r="D661" s="170">
        <f>D650+D659</f>
        <v>0</v>
      </c>
      <c r="E661" s="313">
        <f>E650+E659</f>
        <v>0</v>
      </c>
      <c r="F661" s="170">
        <f>F650+F659</f>
        <v>0</v>
      </c>
      <c r="G661" s="170">
        <f>G650+G659</f>
        <v>0</v>
      </c>
      <c r="H661" s="313">
        <f>H650+H659</f>
        <v>0</v>
      </c>
      <c r="I661" s="313">
        <f>G661+H661</f>
        <v>0</v>
      </c>
    </row>
    <row r="662" spans="1:9" ht="10.5" customHeight="1" thickTop="1" x14ac:dyDescent="0.15">
      <c r="D662" s="156"/>
      <c r="E662" s="299"/>
      <c r="F662" s="156"/>
      <c r="G662" s="156"/>
      <c r="H662" s="299"/>
      <c r="I662" s="299"/>
    </row>
    <row r="663" spans="1:9" ht="10.5" customHeight="1" x14ac:dyDescent="0.15">
      <c r="A663" s="152" t="s">
        <v>1048</v>
      </c>
      <c r="C663" s="206" t="s">
        <v>211</v>
      </c>
      <c r="D663" s="156"/>
      <c r="E663" s="299"/>
      <c r="F663" s="156"/>
      <c r="G663" s="156"/>
      <c r="H663" s="299"/>
      <c r="I663" s="299"/>
    </row>
    <row r="664" spans="1:9" ht="10.5" customHeight="1" x14ac:dyDescent="0.15">
      <c r="A664" s="151" t="s">
        <v>827</v>
      </c>
      <c r="C664" s="114" t="s">
        <v>821</v>
      </c>
      <c r="D664" s="40">
        <v>0</v>
      </c>
      <c r="E664" s="300">
        <v>0</v>
      </c>
      <c r="F664" s="40">
        <v>0</v>
      </c>
      <c r="G664" s="40">
        <v>0</v>
      </c>
      <c r="H664" s="307">
        <v>0</v>
      </c>
      <c r="I664" s="500">
        <f t="shared" ref="I664:I669" si="33">SUM(G664+H664)</f>
        <v>0</v>
      </c>
    </row>
    <row r="665" spans="1:9" ht="10.5" customHeight="1" x14ac:dyDescent="0.15">
      <c r="A665" s="626" t="s">
        <v>1394</v>
      </c>
      <c r="C665" s="114" t="s">
        <v>822</v>
      </c>
      <c r="D665" s="40">
        <v>0</v>
      </c>
      <c r="E665" s="300">
        <v>0</v>
      </c>
      <c r="F665" s="40">
        <v>0</v>
      </c>
      <c r="G665" s="40">
        <v>0</v>
      </c>
      <c r="H665" s="307">
        <v>0</v>
      </c>
      <c r="I665" s="500">
        <f t="shared" si="33"/>
        <v>0</v>
      </c>
    </row>
    <row r="666" spans="1:9" ht="10.5" customHeight="1" x14ac:dyDescent="0.15">
      <c r="A666" s="583">
        <v>9323</v>
      </c>
      <c r="B666" s="302"/>
      <c r="C666" s="305" t="s">
        <v>1052</v>
      </c>
      <c r="D666" s="40">
        <v>0</v>
      </c>
      <c r="E666" s="300">
        <v>0</v>
      </c>
      <c r="F666" s="40">
        <v>0</v>
      </c>
      <c r="G666" s="40">
        <v>0</v>
      </c>
      <c r="H666" s="307">
        <v>0</v>
      </c>
      <c r="I666" s="500">
        <f t="shared" si="33"/>
        <v>0</v>
      </c>
    </row>
    <row r="667" spans="1:9" ht="10.5" customHeight="1" x14ac:dyDescent="0.15">
      <c r="A667" s="626" t="s">
        <v>1395</v>
      </c>
      <c r="C667" s="114" t="s">
        <v>823</v>
      </c>
      <c r="D667" s="40">
        <v>0</v>
      </c>
      <c r="E667" s="300">
        <v>0</v>
      </c>
      <c r="F667" s="40">
        <v>0</v>
      </c>
      <c r="G667" s="40">
        <v>0</v>
      </c>
      <c r="H667" s="307">
        <v>0</v>
      </c>
      <c r="I667" s="500">
        <f t="shared" si="33"/>
        <v>0</v>
      </c>
    </row>
    <row r="668" spans="1:9" ht="10.5" customHeight="1" x14ac:dyDescent="0.15">
      <c r="A668" s="105" t="s">
        <v>1396</v>
      </c>
      <c r="C668" s="1" t="s">
        <v>1397</v>
      </c>
      <c r="D668" s="40">
        <v>0</v>
      </c>
      <c r="E668" s="300">
        <v>0</v>
      </c>
      <c r="F668" s="40">
        <v>0</v>
      </c>
      <c r="G668" s="40">
        <v>0</v>
      </c>
      <c r="H668" s="307">
        <v>0</v>
      </c>
      <c r="I668" s="500">
        <f t="shared" si="33"/>
        <v>0</v>
      </c>
    </row>
    <row r="669" spans="1:9" ht="10.5" customHeight="1" thickBot="1" x14ac:dyDescent="0.2">
      <c r="A669" s="151" t="s">
        <v>831</v>
      </c>
      <c r="C669" s="114" t="s">
        <v>825</v>
      </c>
      <c r="D669" s="147">
        <v>0</v>
      </c>
      <c r="E669" s="457">
        <v>0</v>
      </c>
      <c r="F669" s="147">
        <v>0</v>
      </c>
      <c r="G669" s="147">
        <v>0</v>
      </c>
      <c r="H669" s="307">
        <v>0</v>
      </c>
      <c r="I669" s="500">
        <f t="shared" si="33"/>
        <v>0</v>
      </c>
    </row>
    <row r="670" spans="1:9" ht="10.5" customHeight="1" thickTop="1" thickBot="1" x14ac:dyDescent="0.2">
      <c r="A670" s="146"/>
      <c r="C670" s="114" t="s">
        <v>202</v>
      </c>
      <c r="D670" s="166">
        <f>SUM(D664:D669)</f>
        <v>0</v>
      </c>
      <c r="E670" s="297">
        <f>SUM(E664:E669)</f>
        <v>0</v>
      </c>
      <c r="F670" s="166">
        <f>SUM(F664:F669)</f>
        <v>0</v>
      </c>
      <c r="G670" s="166">
        <f>SUM(G664:G669)</f>
        <v>0</v>
      </c>
      <c r="H670" s="297">
        <f>SUM(H664:H669)</f>
        <v>0</v>
      </c>
      <c r="I670" s="297">
        <f>G670+H670</f>
        <v>0</v>
      </c>
    </row>
    <row r="671" spans="1:9" ht="10.5" customHeight="1" thickTop="1" thickBot="1" x14ac:dyDescent="0.2">
      <c r="A671" s="146"/>
      <c r="C671" s="114"/>
      <c r="D671" s="156"/>
      <c r="E671" s="299"/>
      <c r="F671" s="156"/>
      <c r="G671" s="156"/>
      <c r="H671" s="301"/>
      <c r="I671" s="498"/>
    </row>
    <row r="672" spans="1:9" ht="10.5" customHeight="1" thickBot="1" x14ac:dyDescent="0.2">
      <c r="B672" s="34" t="s">
        <v>201</v>
      </c>
      <c r="D672" s="168">
        <f>D661+D670</f>
        <v>0</v>
      </c>
      <c r="E672" s="314">
        <f>E661+E670</f>
        <v>0</v>
      </c>
      <c r="F672" s="168">
        <f>F661+F670</f>
        <v>0</v>
      </c>
      <c r="G672" s="168">
        <f>G661+G670</f>
        <v>0</v>
      </c>
      <c r="H672" s="314">
        <f>H661+H670</f>
        <v>0</v>
      </c>
      <c r="I672" s="314">
        <f>G672+H672</f>
        <v>0</v>
      </c>
    </row>
    <row r="673" spans="1:9" ht="10.5" customHeight="1" x14ac:dyDescent="0.15">
      <c r="A673" s="146"/>
      <c r="C673" s="114" t="s">
        <v>203</v>
      </c>
      <c r="D673" s="156"/>
      <c r="E673" s="299"/>
      <c r="F673" s="156"/>
      <c r="G673" s="156"/>
      <c r="H673" s="301"/>
      <c r="I673" s="498"/>
    </row>
    <row r="674" spans="1:9" ht="10.5" customHeight="1" x14ac:dyDescent="0.15">
      <c r="A674" s="146"/>
      <c r="C674" s="114"/>
      <c r="D674" s="156"/>
      <c r="E674" s="299"/>
      <c r="F674" s="156"/>
      <c r="G674" s="156"/>
      <c r="H674" s="301"/>
      <c r="I674" s="498"/>
    </row>
    <row r="675" spans="1:9" ht="10.5" customHeight="1" x14ac:dyDescent="0.15">
      <c r="C675" s="206" t="s">
        <v>212</v>
      </c>
      <c r="D675" s="156"/>
      <c r="E675" s="299"/>
      <c r="F675" s="156"/>
      <c r="G675" s="156"/>
      <c r="H675" s="301"/>
      <c r="I675" s="498"/>
    </row>
    <row r="676" spans="1:9" x14ac:dyDescent="0.15">
      <c r="A676" s="157" t="s">
        <v>115</v>
      </c>
      <c r="C676" s="194" t="s">
        <v>809</v>
      </c>
      <c r="D676" s="40">
        <v>0</v>
      </c>
      <c r="E676" s="300">
        <v>0</v>
      </c>
      <c r="F676" s="40">
        <v>0</v>
      </c>
      <c r="G676" s="40">
        <v>0</v>
      </c>
      <c r="H676" s="300">
        <v>0</v>
      </c>
      <c r="I676" s="503">
        <f>G676+H676</f>
        <v>0</v>
      </c>
    </row>
    <row r="677" spans="1:9" ht="10.5" customHeight="1" thickBot="1" x14ac:dyDescent="0.2">
      <c r="C677" s="197" t="s">
        <v>808</v>
      </c>
      <c r="I677" s="375"/>
    </row>
    <row r="678" spans="1:9" ht="10.5" customHeight="1" thickBot="1" x14ac:dyDescent="0.2">
      <c r="B678" s="34" t="s">
        <v>208</v>
      </c>
      <c r="D678" s="208">
        <f>D672+D676</f>
        <v>0</v>
      </c>
      <c r="E678" s="315">
        <f>E672+E676</f>
        <v>0</v>
      </c>
      <c r="F678" s="208">
        <f>F672+F676</f>
        <v>0</v>
      </c>
      <c r="G678" s="208">
        <f>G672+G676</f>
        <v>0</v>
      </c>
      <c r="H678" s="315">
        <f>H672+H676</f>
        <v>0</v>
      </c>
      <c r="I678" s="315">
        <f>G678+H678</f>
        <v>0</v>
      </c>
    </row>
    <row r="679" spans="1:9" ht="10.5" customHeight="1" thickBot="1" x14ac:dyDescent="0.2">
      <c r="C679" s="114"/>
      <c r="D679" s="156"/>
      <c r="E679" s="299"/>
      <c r="F679" s="156"/>
      <c r="G679" s="156"/>
      <c r="H679" s="301"/>
      <c r="I679" s="498"/>
    </row>
    <row r="680" spans="1:9" ht="10.5" customHeight="1" thickTop="1" thickBot="1" x14ac:dyDescent="0.2">
      <c r="C680" s="169" t="s">
        <v>204</v>
      </c>
      <c r="D680" s="170">
        <f>GenFundREV!D114</f>
        <v>0</v>
      </c>
      <c r="E680" s="170">
        <f>GenFundREV!E114</f>
        <v>0</v>
      </c>
      <c r="F680" s="170">
        <f>GenFundREV!F114</f>
        <v>0</v>
      </c>
      <c r="G680" s="170">
        <f>GenFundREV!G114</f>
        <v>0</v>
      </c>
      <c r="H680" s="313">
        <f>GenFundREV!H114</f>
        <v>0</v>
      </c>
      <c r="I680" s="313">
        <f>G680+H680</f>
        <v>0</v>
      </c>
    </row>
    <row r="681" spans="1:9" ht="10.5" customHeight="1" thickTop="1" x14ac:dyDescent="0.15">
      <c r="D681" s="532"/>
      <c r="E681" s="644"/>
      <c r="F681" s="532"/>
      <c r="G681" s="532"/>
      <c r="H681" s="298"/>
      <c r="I681" s="298"/>
    </row>
    <row r="682" spans="1:9" ht="10.5" customHeight="1" x14ac:dyDescent="0.15">
      <c r="C682" s="169" t="s">
        <v>205</v>
      </c>
      <c r="D682" s="164">
        <f>D678-D680</f>
        <v>0</v>
      </c>
      <c r="E682" s="375">
        <f>E678-E680</f>
        <v>0</v>
      </c>
      <c r="F682" s="164">
        <f>F678-F680</f>
        <v>0</v>
      </c>
      <c r="G682" s="164">
        <f>G678-G680</f>
        <v>0</v>
      </c>
      <c r="H682" s="375">
        <f>H678-H680</f>
        <v>0</v>
      </c>
      <c r="I682" s="375">
        <f>G682+H682</f>
        <v>0</v>
      </c>
    </row>
    <row r="683" spans="1:9" ht="10.5" customHeight="1" x14ac:dyDescent="0.15">
      <c r="I683" s="375"/>
    </row>
    <row r="684" spans="1:9" ht="10.5" customHeight="1" x14ac:dyDescent="0.15">
      <c r="I684" s="375"/>
    </row>
    <row r="685" spans="1:9" ht="10.5" customHeight="1" x14ac:dyDescent="0.15">
      <c r="C685" s="114"/>
      <c r="E685" s="155"/>
      <c r="H685" s="155"/>
      <c r="I685" s="155"/>
    </row>
  </sheetData>
  <sheetProtection password="CB03" sheet="1" objects="1" scenarios="1" formatCells="0" formatColumns="0" formatRows="0"/>
  <phoneticPr fontId="15" type="noConversion"/>
  <pageMargins left="0.75" right="0.75" top="1" bottom="1" header="0.5" footer="0.5"/>
  <pageSetup scale="60" firstPageNumber="19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122"/>
  <sheetViews>
    <sheetView topLeftCell="A86" zoomScaleNormal="100" workbookViewId="0">
      <selection activeCell="A2" sqref="A2"/>
    </sheetView>
  </sheetViews>
  <sheetFormatPr defaultRowHeight="10.5" x14ac:dyDescent="0.15"/>
  <cols>
    <col min="1" max="1" width="10" style="423" customWidth="1"/>
    <col min="2" max="2" width="5" style="413" bestFit="1" customWidth="1"/>
    <col min="3" max="3" width="70.83203125" style="412" customWidth="1"/>
    <col min="4" max="4" width="15.83203125" style="412" customWidth="1"/>
    <col min="5" max="5" width="17.33203125" style="412" customWidth="1"/>
    <col min="6" max="6" width="17.1640625" style="412" customWidth="1"/>
    <col min="7" max="7" width="18.33203125" style="412" customWidth="1"/>
    <col min="8" max="8" width="18.83203125" style="412" customWidth="1"/>
    <col min="9" max="9" width="20.5" style="412" customWidth="1"/>
    <col min="10" max="16384" width="9.33203125" style="412"/>
  </cols>
  <sheetData>
    <row r="1" spans="1:9" x14ac:dyDescent="0.15">
      <c r="A1" s="412" t="s">
        <v>1044</v>
      </c>
      <c r="C1" s="414">
        <f>+'Page 1 - FY2016-17'!B5</f>
        <v>0</v>
      </c>
      <c r="D1" s="135" t="s">
        <v>889</v>
      </c>
      <c r="E1" s="415">
        <f>+'Page 1 - FY2016-17'!F7</f>
        <v>0</v>
      </c>
      <c r="G1" s="418" t="s">
        <v>891</v>
      </c>
    </row>
    <row r="2" spans="1:9" ht="15.75" x14ac:dyDescent="0.25">
      <c r="A2" s="420" t="s">
        <v>35</v>
      </c>
      <c r="B2" s="421"/>
      <c r="C2" s="422"/>
    </row>
    <row r="3" spans="1:9" ht="31.5" x14ac:dyDescent="0.15">
      <c r="D3" s="580" t="s">
        <v>1607</v>
      </c>
      <c r="E3" s="580" t="s">
        <v>1606</v>
      </c>
      <c r="F3" s="580" t="s">
        <v>1605</v>
      </c>
      <c r="G3" s="580" t="s">
        <v>1604</v>
      </c>
      <c r="H3" s="580" t="s">
        <v>1603</v>
      </c>
      <c r="I3" s="580" t="s">
        <v>1602</v>
      </c>
    </row>
    <row r="4" spans="1:9" ht="56.25" customHeight="1" thickBot="1" x14ac:dyDescent="0.2">
      <c r="D4" s="424"/>
      <c r="E4" s="424"/>
      <c r="F4" s="424"/>
      <c r="G4" s="424"/>
      <c r="H4" s="713" t="s">
        <v>1541</v>
      </c>
      <c r="I4" s="715" t="s">
        <v>1516</v>
      </c>
    </row>
    <row r="5" spans="1:9" ht="11.25" thickBot="1" x14ac:dyDescent="0.2">
      <c r="A5" s="425" t="s">
        <v>896</v>
      </c>
      <c r="B5" s="426" t="s">
        <v>892</v>
      </c>
      <c r="C5" s="427"/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168">
        <f>SUM(G5+H5)</f>
        <v>0</v>
      </c>
    </row>
    <row r="6" spans="1:9" x14ac:dyDescent="0.15">
      <c r="A6" s="428" t="s">
        <v>895</v>
      </c>
      <c r="B6" s="429" t="s">
        <v>897</v>
      </c>
      <c r="D6" s="430"/>
      <c r="E6" s="430"/>
      <c r="F6" s="430"/>
      <c r="G6" s="430"/>
      <c r="H6" s="430"/>
      <c r="I6" s="156"/>
    </row>
    <row r="7" spans="1:9" x14ac:dyDescent="0.15">
      <c r="A7" s="414" t="s">
        <v>898</v>
      </c>
      <c r="B7" s="431" t="s">
        <v>560</v>
      </c>
      <c r="C7" s="135" t="s">
        <v>1191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92">
        <f t="shared" ref="I7:I44" si="0">SUM(G7+H7)</f>
        <v>0</v>
      </c>
    </row>
    <row r="8" spans="1:9" x14ac:dyDescent="0.15">
      <c r="A8" s="414" t="s">
        <v>899</v>
      </c>
      <c r="B8" s="431" t="s">
        <v>561</v>
      </c>
      <c r="C8" s="135" t="s">
        <v>1192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92">
        <f t="shared" si="0"/>
        <v>0</v>
      </c>
    </row>
    <row r="9" spans="1:9" x14ac:dyDescent="0.15">
      <c r="A9" s="414" t="s">
        <v>900</v>
      </c>
      <c r="B9" s="431" t="s">
        <v>562</v>
      </c>
      <c r="C9" s="135" t="s">
        <v>1193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2">
        <f t="shared" si="0"/>
        <v>0</v>
      </c>
    </row>
    <row r="10" spans="1:9" x14ac:dyDescent="0.15">
      <c r="A10" s="414" t="s">
        <v>901</v>
      </c>
      <c r="B10" s="431" t="s">
        <v>625</v>
      </c>
      <c r="C10" s="135" t="s">
        <v>48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2">
        <f t="shared" si="0"/>
        <v>0</v>
      </c>
    </row>
    <row r="11" spans="1:9" x14ac:dyDescent="0.15">
      <c r="A11" s="414" t="s">
        <v>1190</v>
      </c>
      <c r="B11" s="431" t="s">
        <v>626</v>
      </c>
      <c r="C11" s="135" t="s">
        <v>49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2">
        <f t="shared" si="0"/>
        <v>0</v>
      </c>
    </row>
    <row r="12" spans="1:9" x14ac:dyDescent="0.15">
      <c r="A12" s="414" t="s">
        <v>902</v>
      </c>
      <c r="B12" s="431" t="s">
        <v>627</v>
      </c>
      <c r="C12" s="135" t="s">
        <v>50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92">
        <f t="shared" si="0"/>
        <v>0</v>
      </c>
    </row>
    <row r="13" spans="1:9" x14ac:dyDescent="0.15">
      <c r="A13" s="414" t="s">
        <v>903</v>
      </c>
      <c r="B13" s="431" t="s">
        <v>628</v>
      </c>
      <c r="C13" s="135" t="s">
        <v>51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92">
        <f t="shared" si="0"/>
        <v>0</v>
      </c>
    </row>
    <row r="14" spans="1:9" x14ac:dyDescent="0.15">
      <c r="A14" s="414" t="s">
        <v>82</v>
      </c>
      <c r="B14" s="431" t="s">
        <v>629</v>
      </c>
      <c r="C14" s="135" t="s">
        <v>87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92">
        <f t="shared" si="0"/>
        <v>0</v>
      </c>
    </row>
    <row r="15" spans="1:9" x14ac:dyDescent="0.15">
      <c r="A15" s="414" t="s">
        <v>83</v>
      </c>
      <c r="B15" s="431" t="s">
        <v>637</v>
      </c>
      <c r="C15" s="135" t="s">
        <v>96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92">
        <f t="shared" si="0"/>
        <v>0</v>
      </c>
    </row>
    <row r="16" spans="1:9" x14ac:dyDescent="0.15">
      <c r="A16" s="414" t="s">
        <v>84</v>
      </c>
      <c r="B16" s="431" t="s">
        <v>641</v>
      </c>
      <c r="C16" s="135" t="s">
        <v>88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92">
        <f t="shared" si="0"/>
        <v>0</v>
      </c>
    </row>
    <row r="17" spans="1:9" x14ac:dyDescent="0.15">
      <c r="A17" s="414" t="s">
        <v>85</v>
      </c>
      <c r="B17" s="431" t="s">
        <v>642</v>
      </c>
      <c r="C17" s="135" t="s">
        <v>89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92">
        <f t="shared" si="0"/>
        <v>0</v>
      </c>
    </row>
    <row r="18" spans="1:9" x14ac:dyDescent="0.15">
      <c r="A18" s="414" t="s">
        <v>86</v>
      </c>
      <c r="B18" s="431" t="s">
        <v>638</v>
      </c>
      <c r="C18" s="135" t="s">
        <v>90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92">
        <f t="shared" si="0"/>
        <v>0</v>
      </c>
    </row>
    <row r="19" spans="1:9" x14ac:dyDescent="0.15">
      <c r="A19" s="432" t="s">
        <v>181</v>
      </c>
      <c r="B19" s="431" t="s">
        <v>639</v>
      </c>
      <c r="C19" s="135" t="s">
        <v>91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92">
        <f t="shared" si="0"/>
        <v>0</v>
      </c>
    </row>
    <row r="20" spans="1:9" x14ac:dyDescent="0.15">
      <c r="A20" s="414" t="s">
        <v>92</v>
      </c>
      <c r="B20" s="431" t="s">
        <v>644</v>
      </c>
      <c r="C20" s="135" t="s">
        <v>1331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92">
        <f t="shared" si="0"/>
        <v>0</v>
      </c>
    </row>
    <row r="21" spans="1:9" x14ac:dyDescent="0.15">
      <c r="A21" s="414" t="s">
        <v>93</v>
      </c>
      <c r="B21" s="431" t="s">
        <v>645</v>
      </c>
      <c r="C21" s="135" t="s">
        <v>94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92">
        <f t="shared" si="0"/>
        <v>0</v>
      </c>
    </row>
    <row r="22" spans="1:9" x14ac:dyDescent="0.15">
      <c r="A22" s="414" t="s">
        <v>95</v>
      </c>
      <c r="B22" s="431" t="s">
        <v>646</v>
      </c>
      <c r="C22" s="135" t="s">
        <v>18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92">
        <f t="shared" si="0"/>
        <v>0</v>
      </c>
    </row>
    <row r="23" spans="1:9" x14ac:dyDescent="0.15">
      <c r="A23" s="414" t="s">
        <v>97</v>
      </c>
      <c r="B23" s="431" t="s">
        <v>647</v>
      </c>
      <c r="C23" s="135" t="s">
        <v>11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92">
        <f t="shared" si="0"/>
        <v>0</v>
      </c>
    </row>
    <row r="24" spans="1:9" x14ac:dyDescent="0.15">
      <c r="A24" s="414" t="s">
        <v>12</v>
      </c>
      <c r="B24" s="431" t="s">
        <v>648</v>
      </c>
      <c r="C24" s="135" t="s">
        <v>13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92">
        <f t="shared" si="0"/>
        <v>0</v>
      </c>
    </row>
    <row r="25" spans="1:9" x14ac:dyDescent="0.15">
      <c r="A25" s="414" t="s">
        <v>14</v>
      </c>
      <c r="B25" s="431" t="s">
        <v>649</v>
      </c>
      <c r="C25" s="135" t="s">
        <v>15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92">
        <f t="shared" si="0"/>
        <v>0</v>
      </c>
    </row>
    <row r="26" spans="1:9" x14ac:dyDescent="0.15">
      <c r="A26" s="414" t="s">
        <v>16</v>
      </c>
      <c r="B26" s="431" t="s">
        <v>650</v>
      </c>
      <c r="C26" s="135" t="s">
        <v>17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92">
        <f t="shared" si="0"/>
        <v>0</v>
      </c>
    </row>
    <row r="27" spans="1:9" x14ac:dyDescent="0.15">
      <c r="A27" s="414" t="s">
        <v>905</v>
      </c>
      <c r="B27" s="431" t="s">
        <v>651</v>
      </c>
      <c r="C27" s="135" t="s">
        <v>1332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92">
        <f t="shared" si="0"/>
        <v>0</v>
      </c>
    </row>
    <row r="28" spans="1:9" x14ac:dyDescent="0.15">
      <c r="A28" s="414" t="s">
        <v>19</v>
      </c>
      <c r="B28" s="431" t="s">
        <v>652</v>
      </c>
      <c r="C28" s="135" t="s">
        <v>20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92">
        <f t="shared" si="0"/>
        <v>0</v>
      </c>
    </row>
    <row r="29" spans="1:9" x14ac:dyDescent="0.15">
      <c r="A29" s="414" t="s">
        <v>1051</v>
      </c>
      <c r="B29" s="431" t="s">
        <v>657</v>
      </c>
      <c r="C29" s="135" t="s">
        <v>21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92">
        <f t="shared" si="0"/>
        <v>0</v>
      </c>
    </row>
    <row r="30" spans="1:9" x14ac:dyDescent="0.15">
      <c r="A30" s="414" t="s">
        <v>22</v>
      </c>
      <c r="B30" s="431" t="s">
        <v>658</v>
      </c>
      <c r="C30" s="135" t="s">
        <v>23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92">
        <f t="shared" si="0"/>
        <v>0</v>
      </c>
    </row>
    <row r="31" spans="1:9" x14ac:dyDescent="0.15">
      <c r="A31" s="414">
        <v>1800</v>
      </c>
      <c r="B31" s="431" t="s">
        <v>659</v>
      </c>
      <c r="C31" s="135" t="s">
        <v>1333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92">
        <f t="shared" si="0"/>
        <v>0</v>
      </c>
    </row>
    <row r="32" spans="1:9" x14ac:dyDescent="0.15">
      <c r="A32" s="414">
        <v>1850</v>
      </c>
      <c r="B32" s="431" t="s">
        <v>660</v>
      </c>
      <c r="C32" s="135" t="s">
        <v>1334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92">
        <f t="shared" si="0"/>
        <v>0</v>
      </c>
    </row>
    <row r="33" spans="1:9" x14ac:dyDescent="0.15">
      <c r="A33" s="414" t="s">
        <v>66</v>
      </c>
      <c r="B33" s="702" t="s">
        <v>662</v>
      </c>
      <c r="C33" s="135" t="s">
        <v>67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92">
        <f t="shared" si="0"/>
        <v>0</v>
      </c>
    </row>
    <row r="34" spans="1:9" x14ac:dyDescent="0.15">
      <c r="A34" s="432" t="s">
        <v>0</v>
      </c>
      <c r="B34" s="702" t="s">
        <v>663</v>
      </c>
      <c r="C34" s="135" t="s">
        <v>3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92">
        <f t="shared" si="0"/>
        <v>0</v>
      </c>
    </row>
    <row r="35" spans="1:9" x14ac:dyDescent="0.15">
      <c r="A35" s="432" t="s">
        <v>1</v>
      </c>
      <c r="B35" s="702" t="s">
        <v>664</v>
      </c>
      <c r="C35" s="135" t="s">
        <v>4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92">
        <f t="shared" si="0"/>
        <v>0</v>
      </c>
    </row>
    <row r="36" spans="1:9" x14ac:dyDescent="0.15">
      <c r="A36" s="432" t="s">
        <v>2</v>
      </c>
      <c r="B36" s="702" t="s">
        <v>665</v>
      </c>
      <c r="C36" s="135" t="s">
        <v>5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92">
        <f t="shared" si="0"/>
        <v>0</v>
      </c>
    </row>
    <row r="37" spans="1:9" x14ac:dyDescent="0.15">
      <c r="A37" s="414" t="s">
        <v>906</v>
      </c>
      <c r="B37" s="702" t="s">
        <v>666</v>
      </c>
      <c r="C37" s="135" t="s">
        <v>1335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92">
        <f t="shared" si="0"/>
        <v>0</v>
      </c>
    </row>
    <row r="38" spans="1:9" x14ac:dyDescent="0.15">
      <c r="A38" s="432" t="s">
        <v>230</v>
      </c>
      <c r="B38" s="702" t="s">
        <v>667</v>
      </c>
      <c r="C38" s="135" t="s">
        <v>1336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92">
        <f t="shared" si="0"/>
        <v>0</v>
      </c>
    </row>
    <row r="39" spans="1:9" x14ac:dyDescent="0.15">
      <c r="A39" s="432" t="s">
        <v>231</v>
      </c>
      <c r="B39" s="702" t="s">
        <v>668</v>
      </c>
      <c r="C39" s="135" t="s">
        <v>1337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92">
        <f t="shared" si="0"/>
        <v>0</v>
      </c>
    </row>
    <row r="40" spans="1:9" x14ac:dyDescent="0.15">
      <c r="A40" s="624" t="s">
        <v>1388</v>
      </c>
      <c r="B40" s="702" t="s">
        <v>669</v>
      </c>
      <c r="C40" s="135" t="s">
        <v>6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92">
        <f t="shared" si="0"/>
        <v>0</v>
      </c>
    </row>
    <row r="41" spans="1:9" x14ac:dyDescent="0.15">
      <c r="A41" s="432" t="s">
        <v>232</v>
      </c>
      <c r="B41" s="702" t="s">
        <v>670</v>
      </c>
      <c r="C41" s="135" t="s">
        <v>1338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92">
        <f t="shared" si="0"/>
        <v>0</v>
      </c>
    </row>
    <row r="42" spans="1:9" x14ac:dyDescent="0.15">
      <c r="A42" s="414" t="s">
        <v>907</v>
      </c>
      <c r="B42" s="702" t="s">
        <v>671</v>
      </c>
      <c r="C42" s="135" t="s">
        <v>1339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92">
        <f t="shared" si="0"/>
        <v>0</v>
      </c>
    </row>
    <row r="43" spans="1:9" x14ac:dyDescent="0.15">
      <c r="A43" s="709" t="s">
        <v>1517</v>
      </c>
      <c r="B43" s="702" t="s">
        <v>1187</v>
      </c>
      <c r="C43" s="703" t="s">
        <v>1518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92">
        <f t="shared" ref="I43" si="1">SUM(G43+H43)</f>
        <v>0</v>
      </c>
    </row>
    <row r="44" spans="1:9" x14ac:dyDescent="0.15">
      <c r="B44" s="702" t="s">
        <v>1188</v>
      </c>
      <c r="C44" s="135" t="s">
        <v>182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92">
        <f t="shared" si="0"/>
        <v>0</v>
      </c>
    </row>
    <row r="45" spans="1:9" ht="11.25" thickBot="1" x14ac:dyDescent="0.2">
      <c r="B45" s="433"/>
      <c r="C45" s="135"/>
      <c r="D45" s="14"/>
      <c r="E45" s="14"/>
      <c r="F45" s="14"/>
      <c r="G45" s="14"/>
      <c r="H45" s="14"/>
      <c r="I45" s="491"/>
    </row>
    <row r="46" spans="1:9" ht="12" thickTop="1" thickBot="1" x14ac:dyDescent="0.2">
      <c r="B46" s="434" t="s">
        <v>673</v>
      </c>
      <c r="C46" s="135" t="s">
        <v>8</v>
      </c>
      <c r="D46" s="166">
        <f t="shared" ref="D46:I46" si="2">SUM(D7:D44)</f>
        <v>0</v>
      </c>
      <c r="E46" s="166">
        <f t="shared" si="2"/>
        <v>0</v>
      </c>
      <c r="F46" s="166">
        <f t="shared" si="2"/>
        <v>0</v>
      </c>
      <c r="G46" s="166">
        <f t="shared" si="2"/>
        <v>0</v>
      </c>
      <c r="H46" s="166">
        <f t="shared" si="2"/>
        <v>0</v>
      </c>
      <c r="I46" s="166">
        <f t="shared" si="2"/>
        <v>0</v>
      </c>
    </row>
    <row r="47" spans="1:9" ht="11.25" thickTop="1" x14ac:dyDescent="0.15">
      <c r="B47" s="433"/>
      <c r="C47" s="135"/>
      <c r="D47" s="195"/>
      <c r="E47" s="195"/>
      <c r="F47" s="195"/>
      <c r="G47" s="195"/>
      <c r="I47" s="164"/>
    </row>
    <row r="48" spans="1:9" ht="11.25" thickBot="1" x14ac:dyDescent="0.2">
      <c r="B48" s="429" t="s">
        <v>1032</v>
      </c>
      <c r="D48" s="430"/>
      <c r="E48" s="430"/>
      <c r="F48" s="430"/>
      <c r="G48" s="430"/>
      <c r="H48" s="430"/>
      <c r="I48" s="156"/>
    </row>
    <row r="49" spans="1:9" ht="12" thickTop="1" thickBot="1" x14ac:dyDescent="0.2">
      <c r="A49" s="414" t="s">
        <v>1033</v>
      </c>
      <c r="B49" s="434" t="s">
        <v>674</v>
      </c>
      <c r="C49" s="135" t="s">
        <v>1340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166">
        <f>SUM(G49+H49)</f>
        <v>0</v>
      </c>
    </row>
    <row r="50" spans="1:9" ht="11.25" thickTop="1" x14ac:dyDescent="0.15">
      <c r="D50" s="14"/>
      <c r="E50" s="14"/>
      <c r="F50" s="14"/>
      <c r="G50" s="14"/>
      <c r="I50" s="164"/>
    </row>
    <row r="51" spans="1:9" x14ac:dyDescent="0.15">
      <c r="B51" s="429" t="s">
        <v>1034</v>
      </c>
      <c r="D51" s="430"/>
      <c r="E51" s="430"/>
      <c r="F51" s="430"/>
      <c r="G51" s="430"/>
      <c r="H51" s="430"/>
      <c r="I51" s="156"/>
    </row>
    <row r="52" spans="1:9" x14ac:dyDescent="0.15">
      <c r="A52" s="623" t="s">
        <v>271</v>
      </c>
      <c r="B52" s="702" t="s">
        <v>675</v>
      </c>
      <c r="C52" s="625" t="s">
        <v>1391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92">
        <f t="shared" ref="I52:I73" si="3">SUM(G52+H52)</f>
        <v>0</v>
      </c>
    </row>
    <row r="53" spans="1:9" hidden="1" x14ac:dyDescent="0.15">
      <c r="A53" s="432" t="s">
        <v>233</v>
      </c>
      <c r="B53" s="434" t="s">
        <v>676</v>
      </c>
      <c r="C53" s="135" t="s">
        <v>1342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92">
        <f t="shared" si="3"/>
        <v>0</v>
      </c>
    </row>
    <row r="54" spans="1:9" hidden="1" x14ac:dyDescent="0.15">
      <c r="A54" s="432" t="s">
        <v>234</v>
      </c>
      <c r="B54" s="431" t="s">
        <v>677</v>
      </c>
      <c r="C54" s="135" t="s">
        <v>1343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92">
        <f t="shared" si="3"/>
        <v>0</v>
      </c>
    </row>
    <row r="55" spans="1:9" hidden="1" x14ac:dyDescent="0.15">
      <c r="A55" s="414" t="s">
        <v>68</v>
      </c>
      <c r="B55" s="431" t="s">
        <v>678</v>
      </c>
      <c r="C55" s="135" t="s">
        <v>70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92">
        <f t="shared" si="3"/>
        <v>0</v>
      </c>
    </row>
    <row r="56" spans="1:9" hidden="1" x14ac:dyDescent="0.15">
      <c r="A56" s="414" t="s">
        <v>69</v>
      </c>
      <c r="B56" s="431" t="s">
        <v>679</v>
      </c>
      <c r="C56" s="135" t="s">
        <v>71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92">
        <f t="shared" si="3"/>
        <v>0</v>
      </c>
    </row>
    <row r="57" spans="1:9" hidden="1" x14ac:dyDescent="0.15">
      <c r="A57" s="414" t="s">
        <v>24</v>
      </c>
      <c r="B57" s="431" t="s">
        <v>684</v>
      </c>
      <c r="C57" s="135" t="s">
        <v>25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92">
        <f t="shared" si="3"/>
        <v>0</v>
      </c>
    </row>
    <row r="58" spans="1:9" hidden="1" x14ac:dyDescent="0.15">
      <c r="A58" s="414" t="s">
        <v>1036</v>
      </c>
      <c r="B58" s="431" t="s">
        <v>685</v>
      </c>
      <c r="C58" s="135" t="s">
        <v>1344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92">
        <f t="shared" si="3"/>
        <v>0</v>
      </c>
    </row>
    <row r="59" spans="1:9" hidden="1" x14ac:dyDescent="0.15">
      <c r="A59" s="414" t="s">
        <v>1037</v>
      </c>
      <c r="B59" s="431" t="s">
        <v>686</v>
      </c>
      <c r="C59" s="135" t="s">
        <v>1345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92">
        <f t="shared" si="3"/>
        <v>0</v>
      </c>
    </row>
    <row r="60" spans="1:9" hidden="1" x14ac:dyDescent="0.15">
      <c r="A60" s="414" t="s">
        <v>1038</v>
      </c>
      <c r="B60" s="431" t="s">
        <v>687</v>
      </c>
      <c r="C60" s="135" t="s">
        <v>1346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92">
        <f t="shared" si="3"/>
        <v>0</v>
      </c>
    </row>
    <row r="61" spans="1:9" hidden="1" x14ac:dyDescent="0.15">
      <c r="A61" s="414" t="s">
        <v>1039</v>
      </c>
      <c r="B61" s="431" t="s">
        <v>688</v>
      </c>
      <c r="C61" s="135" t="s">
        <v>1347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92">
        <f t="shared" si="3"/>
        <v>0</v>
      </c>
    </row>
    <row r="62" spans="1:9" hidden="1" x14ac:dyDescent="0.15">
      <c r="A62" s="414" t="s">
        <v>1040</v>
      </c>
      <c r="B62" s="431" t="s">
        <v>689</v>
      </c>
      <c r="C62" s="135" t="s">
        <v>1348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92">
        <f t="shared" si="3"/>
        <v>0</v>
      </c>
    </row>
    <row r="63" spans="1:9" hidden="1" x14ac:dyDescent="0.15">
      <c r="A63" s="414" t="s">
        <v>80</v>
      </c>
      <c r="B63" s="435" t="s">
        <v>690</v>
      </c>
      <c r="C63" s="135" t="s">
        <v>81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92">
        <f t="shared" si="3"/>
        <v>0</v>
      </c>
    </row>
    <row r="64" spans="1:9" hidden="1" x14ac:dyDescent="0.15">
      <c r="A64" s="432" t="s">
        <v>235</v>
      </c>
      <c r="B64" s="431" t="s">
        <v>691</v>
      </c>
      <c r="C64" s="135" t="s">
        <v>1349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92">
        <f t="shared" si="3"/>
        <v>0</v>
      </c>
    </row>
    <row r="65" spans="1:9" x14ac:dyDescent="0.15">
      <c r="A65" s="623" t="s">
        <v>1389</v>
      </c>
      <c r="B65" s="702" t="s">
        <v>676</v>
      </c>
      <c r="C65" s="625" t="s">
        <v>1392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92">
        <f t="shared" si="3"/>
        <v>0</v>
      </c>
    </row>
    <row r="66" spans="1:9" x14ac:dyDescent="0.15">
      <c r="A66" s="623" t="s">
        <v>1542</v>
      </c>
      <c r="B66" s="704" t="s">
        <v>1543</v>
      </c>
      <c r="C66" s="625" t="s">
        <v>1393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92">
        <f t="shared" si="3"/>
        <v>0</v>
      </c>
    </row>
    <row r="67" spans="1:9" x14ac:dyDescent="0.15">
      <c r="A67" s="622" t="s">
        <v>1384</v>
      </c>
      <c r="B67" s="702" t="s">
        <v>684</v>
      </c>
      <c r="C67" s="135" t="s">
        <v>740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92">
        <f t="shared" si="3"/>
        <v>0</v>
      </c>
    </row>
    <row r="68" spans="1:9" x14ac:dyDescent="0.15">
      <c r="A68" s="414" t="s">
        <v>1041</v>
      </c>
      <c r="B68" s="702" t="s">
        <v>685</v>
      </c>
      <c r="C68" s="135" t="s">
        <v>1056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92">
        <f t="shared" si="3"/>
        <v>0</v>
      </c>
    </row>
    <row r="69" spans="1:9" x14ac:dyDescent="0.15">
      <c r="A69" s="623" t="s">
        <v>236</v>
      </c>
      <c r="B69" s="707" t="s">
        <v>686</v>
      </c>
      <c r="C69" s="135" t="s">
        <v>1350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92">
        <f t="shared" si="3"/>
        <v>0</v>
      </c>
    </row>
    <row r="70" spans="1:9" x14ac:dyDescent="0.15">
      <c r="A70" s="624" t="s">
        <v>237</v>
      </c>
      <c r="B70" s="702" t="s">
        <v>687</v>
      </c>
      <c r="C70" s="135" t="s">
        <v>1351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92">
        <f t="shared" si="3"/>
        <v>0</v>
      </c>
    </row>
    <row r="71" spans="1:9" x14ac:dyDescent="0.15">
      <c r="A71" s="624" t="s">
        <v>7</v>
      </c>
      <c r="B71" s="702" t="s">
        <v>688</v>
      </c>
      <c r="C71" s="135" t="s">
        <v>9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92">
        <f t="shared" si="3"/>
        <v>0</v>
      </c>
    </row>
    <row r="72" spans="1:9" x14ac:dyDescent="0.15">
      <c r="A72" s="624" t="s">
        <v>1385</v>
      </c>
      <c r="B72" s="702" t="s">
        <v>689</v>
      </c>
      <c r="C72" s="625" t="s">
        <v>1386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92">
        <f t="shared" si="3"/>
        <v>0</v>
      </c>
    </row>
    <row r="73" spans="1:9" ht="11.25" thickBot="1" x14ac:dyDescent="0.2">
      <c r="A73" s="432" t="s">
        <v>238</v>
      </c>
      <c r="B73" s="702" t="s">
        <v>690</v>
      </c>
      <c r="C73" s="135" t="s">
        <v>61</v>
      </c>
      <c r="D73" s="140">
        <v>0</v>
      </c>
      <c r="E73" s="140">
        <v>0</v>
      </c>
      <c r="F73" s="140">
        <v>0</v>
      </c>
      <c r="G73" s="140">
        <v>0</v>
      </c>
      <c r="H73" s="140">
        <v>0</v>
      </c>
      <c r="I73" s="506">
        <f t="shared" si="3"/>
        <v>0</v>
      </c>
    </row>
    <row r="74" spans="1:9" ht="12" thickTop="1" thickBot="1" x14ac:dyDescent="0.2">
      <c r="A74" s="432"/>
      <c r="B74" s="433"/>
      <c r="C74" s="135"/>
      <c r="D74" s="196"/>
      <c r="E74" s="196"/>
      <c r="F74" s="196"/>
      <c r="G74" s="196"/>
      <c r="H74" s="196"/>
      <c r="I74" s="504"/>
    </row>
    <row r="75" spans="1:9" ht="12" thickTop="1" thickBot="1" x14ac:dyDescent="0.2">
      <c r="B75" s="702" t="s">
        <v>691</v>
      </c>
      <c r="C75" s="703" t="s">
        <v>1528</v>
      </c>
      <c r="D75" s="170">
        <f t="shared" ref="D75:I75" si="4">SUM(D52:D73)</f>
        <v>0</v>
      </c>
      <c r="E75" s="505">
        <f t="shared" si="4"/>
        <v>0</v>
      </c>
      <c r="F75" s="505">
        <f t="shared" si="4"/>
        <v>0</v>
      </c>
      <c r="G75" s="505">
        <f t="shared" si="4"/>
        <v>0</v>
      </c>
      <c r="H75" s="505">
        <f t="shared" si="4"/>
        <v>0</v>
      </c>
      <c r="I75" s="505">
        <f t="shared" si="4"/>
        <v>0</v>
      </c>
    </row>
    <row r="76" spans="1:9" ht="11.25" thickTop="1" x14ac:dyDescent="0.15">
      <c r="B76" s="437"/>
      <c r="C76" s="135"/>
      <c r="D76" s="195"/>
      <c r="E76" s="195"/>
      <c r="F76" s="195"/>
      <c r="G76" s="195"/>
      <c r="H76" s="195"/>
      <c r="I76" s="167"/>
    </row>
    <row r="77" spans="1:9" x14ac:dyDescent="0.15">
      <c r="B77" s="433"/>
      <c r="C77" s="438" t="s">
        <v>1042</v>
      </c>
      <c r="I77" s="164"/>
    </row>
    <row r="78" spans="1:9" x14ac:dyDescent="0.15">
      <c r="A78" s="423" t="s">
        <v>1292</v>
      </c>
      <c r="B78" s="702" t="s">
        <v>692</v>
      </c>
      <c r="C78" s="135" t="s">
        <v>159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92">
        <f t="shared" ref="I78:I88" si="5">SUM(G78+H78)</f>
        <v>0</v>
      </c>
    </row>
    <row r="79" spans="1:9" x14ac:dyDescent="0.15">
      <c r="A79" s="436" t="s">
        <v>162</v>
      </c>
      <c r="B79" s="702" t="s">
        <v>694</v>
      </c>
      <c r="C79" s="135" t="s">
        <v>160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92">
        <f t="shared" si="5"/>
        <v>0</v>
      </c>
    </row>
    <row r="80" spans="1:9" x14ac:dyDescent="0.15">
      <c r="A80" s="436" t="s">
        <v>163</v>
      </c>
      <c r="B80" s="702" t="s">
        <v>695</v>
      </c>
      <c r="C80" s="135" t="s">
        <v>161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92">
        <f t="shared" si="5"/>
        <v>0</v>
      </c>
    </row>
    <row r="81" spans="1:9" x14ac:dyDescent="0.15">
      <c r="A81" s="423" t="s">
        <v>73</v>
      </c>
      <c r="B81" s="702" t="s">
        <v>696</v>
      </c>
      <c r="C81" s="135" t="s">
        <v>74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92">
        <f t="shared" si="5"/>
        <v>0</v>
      </c>
    </row>
    <row r="82" spans="1:9" x14ac:dyDescent="0.15">
      <c r="A82" s="423" t="s">
        <v>75</v>
      </c>
      <c r="B82" s="702" t="s">
        <v>697</v>
      </c>
      <c r="C82" s="135" t="s">
        <v>76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92">
        <f t="shared" si="5"/>
        <v>0</v>
      </c>
    </row>
    <row r="83" spans="1:9" x14ac:dyDescent="0.15">
      <c r="A83" s="622" t="s">
        <v>1387</v>
      </c>
      <c r="B83" s="702" t="s">
        <v>698</v>
      </c>
      <c r="C83" s="135" t="s">
        <v>10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92">
        <f t="shared" si="5"/>
        <v>0</v>
      </c>
    </row>
    <row r="84" spans="1:9" x14ac:dyDescent="0.15">
      <c r="A84" s="423" t="s">
        <v>77</v>
      </c>
      <c r="B84" s="702" t="s">
        <v>699</v>
      </c>
      <c r="C84" s="135" t="s">
        <v>78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92">
        <f t="shared" si="5"/>
        <v>0</v>
      </c>
    </row>
    <row r="85" spans="1:9" x14ac:dyDescent="0.15">
      <c r="B85" s="708" t="s">
        <v>1544</v>
      </c>
      <c r="C85" s="135" t="s">
        <v>62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92">
        <f t="shared" si="5"/>
        <v>0</v>
      </c>
    </row>
    <row r="86" spans="1:9" x14ac:dyDescent="0.15">
      <c r="B86" s="708" t="s">
        <v>1545</v>
      </c>
      <c r="C86" s="135" t="s">
        <v>1344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92">
        <f t="shared" si="5"/>
        <v>0</v>
      </c>
    </row>
    <row r="87" spans="1:9" x14ac:dyDescent="0.15">
      <c r="B87" s="702" t="s">
        <v>1546</v>
      </c>
      <c r="C87" s="135" t="s">
        <v>63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92">
        <f t="shared" si="5"/>
        <v>0</v>
      </c>
    </row>
    <row r="88" spans="1:9" x14ac:dyDescent="0.15">
      <c r="B88" s="702" t="s">
        <v>700</v>
      </c>
      <c r="C88" s="135" t="s">
        <v>64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92">
        <f t="shared" si="5"/>
        <v>0</v>
      </c>
    </row>
    <row r="89" spans="1:9" ht="11.25" thickBot="1" x14ac:dyDescent="0.2">
      <c r="B89" s="433"/>
      <c r="C89" s="135"/>
      <c r="D89" s="14"/>
      <c r="E89" s="14"/>
      <c r="F89" s="14"/>
      <c r="G89" s="14"/>
      <c r="H89" s="14"/>
      <c r="I89" s="491"/>
    </row>
    <row r="90" spans="1:9" ht="12" thickTop="1" thickBot="1" x14ac:dyDescent="0.2">
      <c r="B90" s="702" t="s">
        <v>701</v>
      </c>
      <c r="C90" s="703" t="s">
        <v>1529</v>
      </c>
      <c r="D90" s="166">
        <f t="shared" ref="D90:I90" si="6">SUM(D78:D88)</f>
        <v>0</v>
      </c>
      <c r="E90" s="166">
        <f t="shared" si="6"/>
        <v>0</v>
      </c>
      <c r="F90" s="166">
        <f t="shared" si="6"/>
        <v>0</v>
      </c>
      <c r="G90" s="166">
        <f t="shared" si="6"/>
        <v>0</v>
      </c>
      <c r="H90" s="166">
        <f t="shared" si="6"/>
        <v>0</v>
      </c>
      <c r="I90" s="166">
        <f t="shared" si="6"/>
        <v>0</v>
      </c>
    </row>
    <row r="91" spans="1:9" ht="11.25" thickTop="1" x14ac:dyDescent="0.15">
      <c r="B91" s="433"/>
      <c r="C91" s="135"/>
      <c r="D91" s="195"/>
      <c r="E91" s="195"/>
      <c r="F91" s="195"/>
      <c r="G91" s="195"/>
      <c r="H91" s="195"/>
      <c r="I91" s="167"/>
    </row>
    <row r="92" spans="1:9" x14ac:dyDescent="0.15">
      <c r="B92" s="433"/>
      <c r="C92" s="438" t="s">
        <v>297</v>
      </c>
      <c r="D92" s="430"/>
      <c r="E92" s="430"/>
      <c r="F92" s="430"/>
      <c r="G92" s="430"/>
      <c r="H92" s="430"/>
      <c r="I92" s="156"/>
    </row>
    <row r="93" spans="1:9" x14ac:dyDescent="0.15">
      <c r="A93" s="414" t="s">
        <v>1043</v>
      </c>
      <c r="B93" s="702" t="s">
        <v>702</v>
      </c>
      <c r="C93" s="2" t="s">
        <v>461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92">
        <f>SUM(G93+H93)</f>
        <v>0</v>
      </c>
    </row>
    <row r="94" spans="1:9" x14ac:dyDescent="0.15">
      <c r="A94" s="414" t="s">
        <v>27</v>
      </c>
      <c r="B94" s="702" t="s">
        <v>704</v>
      </c>
      <c r="C94" s="135" t="s">
        <v>28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92">
        <f>SUM(G94+H94)</f>
        <v>0</v>
      </c>
    </row>
    <row r="95" spans="1:9" x14ac:dyDescent="0.15">
      <c r="A95" s="414" t="s">
        <v>26</v>
      </c>
      <c r="B95" s="702" t="s">
        <v>705</v>
      </c>
      <c r="C95" s="135" t="s">
        <v>1055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92">
        <f>SUM(G95+H95)</f>
        <v>0</v>
      </c>
    </row>
    <row r="96" spans="1:9" ht="11.25" thickBot="1" x14ac:dyDescent="0.2">
      <c r="A96" s="423" t="s">
        <v>79</v>
      </c>
      <c r="B96" s="702" t="s">
        <v>707</v>
      </c>
      <c r="C96" s="135" t="s">
        <v>65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92">
        <f>SUM(G96+H96)</f>
        <v>0</v>
      </c>
    </row>
    <row r="97" spans="1:9" ht="12" thickTop="1" thickBot="1" x14ac:dyDescent="0.2">
      <c r="B97" s="702" t="s">
        <v>708</v>
      </c>
      <c r="C97" s="703" t="s">
        <v>1530</v>
      </c>
      <c r="D97" s="166">
        <f t="shared" ref="D97:I97" si="7">SUM(D93:D96)</f>
        <v>0</v>
      </c>
      <c r="E97" s="166">
        <f t="shared" si="7"/>
        <v>0</v>
      </c>
      <c r="F97" s="166">
        <f t="shared" si="7"/>
        <v>0</v>
      </c>
      <c r="G97" s="166">
        <f t="shared" si="7"/>
        <v>0</v>
      </c>
      <c r="H97" s="166">
        <f t="shared" si="7"/>
        <v>0</v>
      </c>
      <c r="I97" s="166">
        <f t="shared" si="7"/>
        <v>0</v>
      </c>
    </row>
    <row r="98" spans="1:9" ht="12" thickTop="1" thickBot="1" x14ac:dyDescent="0.2">
      <c r="B98" s="433"/>
      <c r="C98" s="135"/>
      <c r="D98" s="195"/>
      <c r="E98" s="195"/>
      <c r="F98" s="195"/>
      <c r="G98" s="195"/>
      <c r="H98" s="195"/>
      <c r="I98" s="167"/>
    </row>
    <row r="99" spans="1:9" ht="22.5" thickTop="1" thickBot="1" x14ac:dyDescent="0.2">
      <c r="B99" s="702" t="s">
        <v>709</v>
      </c>
      <c r="C99" s="710" t="s">
        <v>1547</v>
      </c>
      <c r="D99" s="166">
        <f t="shared" ref="D99:I99" si="8">SUM(D46+D49+D75+D90+D97)</f>
        <v>0</v>
      </c>
      <c r="E99" s="166">
        <f t="shared" si="8"/>
        <v>0</v>
      </c>
      <c r="F99" s="166">
        <f t="shared" si="8"/>
        <v>0</v>
      </c>
      <c r="G99" s="166">
        <f>SUM(G46+G49+G75+G90+G97)</f>
        <v>0</v>
      </c>
      <c r="H99" s="166">
        <f t="shared" si="8"/>
        <v>0</v>
      </c>
      <c r="I99" s="166">
        <f t="shared" si="8"/>
        <v>0</v>
      </c>
    </row>
    <row r="100" spans="1:9" ht="12" thickTop="1" thickBot="1" x14ac:dyDescent="0.2">
      <c r="B100" s="433"/>
      <c r="C100" s="135"/>
      <c r="D100" s="195"/>
      <c r="E100" s="195"/>
      <c r="F100" s="195"/>
      <c r="G100" s="195"/>
      <c r="H100" s="195"/>
      <c r="I100" s="167"/>
    </row>
    <row r="101" spans="1:9" ht="22.5" thickTop="1" thickBot="1" x14ac:dyDescent="0.2">
      <c r="B101" s="702" t="s">
        <v>710</v>
      </c>
      <c r="C101" s="710" t="s">
        <v>1532</v>
      </c>
      <c r="D101" s="166">
        <f t="shared" ref="D101:I101" si="9">D99+D5</f>
        <v>0</v>
      </c>
      <c r="E101" s="166">
        <f t="shared" si="9"/>
        <v>0</v>
      </c>
      <c r="F101" s="166">
        <f t="shared" si="9"/>
        <v>0</v>
      </c>
      <c r="G101" s="166">
        <f t="shared" si="9"/>
        <v>0</v>
      </c>
      <c r="H101" s="166">
        <f t="shared" si="9"/>
        <v>0</v>
      </c>
      <c r="I101" s="166">
        <f t="shared" si="9"/>
        <v>0</v>
      </c>
    </row>
    <row r="102" spans="1:9" ht="11.25" thickTop="1" x14ac:dyDescent="0.15">
      <c r="B102" s="433"/>
      <c r="C102" s="703" t="s">
        <v>296</v>
      </c>
      <c r="D102" s="195"/>
      <c r="E102" s="195"/>
      <c r="F102" s="195"/>
      <c r="G102" s="195"/>
      <c r="H102" s="195"/>
      <c r="I102" s="167"/>
    </row>
    <row r="103" spans="1:9" x14ac:dyDescent="0.15">
      <c r="A103" s="436" t="s">
        <v>239</v>
      </c>
      <c r="B103" s="711" t="s">
        <v>711</v>
      </c>
      <c r="C103" s="554" t="s">
        <v>1548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92">
        <f>SUM(G103+H103)</f>
        <v>0</v>
      </c>
    </row>
    <row r="104" spans="1:9" x14ac:dyDescent="0.15">
      <c r="A104" s="436" t="s">
        <v>819</v>
      </c>
      <c r="B104" s="711" t="s">
        <v>712</v>
      </c>
      <c r="C104" s="135" t="s">
        <v>989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92">
        <f>SUM(G104+H104)</f>
        <v>0</v>
      </c>
    </row>
    <row r="105" spans="1:9" x14ac:dyDescent="0.15">
      <c r="A105" s="436" t="s">
        <v>164</v>
      </c>
      <c r="B105" s="711" t="s">
        <v>713</v>
      </c>
      <c r="C105" s="135" t="s">
        <v>1199</v>
      </c>
      <c r="D105" s="40">
        <v>0</v>
      </c>
      <c r="E105" s="40">
        <v>0</v>
      </c>
      <c r="F105" s="40">
        <v>0</v>
      </c>
      <c r="G105" s="40">
        <v>0</v>
      </c>
      <c r="H105" s="40">
        <v>0</v>
      </c>
      <c r="I105" s="492">
        <f>SUM(G105+H105)</f>
        <v>0</v>
      </c>
    </row>
    <row r="106" spans="1:9" ht="11.25" thickBot="1" x14ac:dyDescent="0.2">
      <c r="A106" s="436"/>
      <c r="B106" s="431"/>
      <c r="C106" s="135"/>
      <c r="D106" s="14"/>
      <c r="E106" s="14"/>
      <c r="F106" s="14"/>
      <c r="G106" s="14"/>
      <c r="H106" s="14"/>
      <c r="I106" s="491"/>
    </row>
    <row r="107" spans="1:9" ht="12" thickTop="1" thickBot="1" x14ac:dyDescent="0.2">
      <c r="A107" s="436"/>
      <c r="B107" s="711" t="s">
        <v>714</v>
      </c>
      <c r="C107" s="703" t="s">
        <v>1534</v>
      </c>
      <c r="D107" s="166">
        <f t="shared" ref="D107:I107" si="10">SUM(D103:D105)</f>
        <v>0</v>
      </c>
      <c r="E107" s="166">
        <f t="shared" si="10"/>
        <v>0</v>
      </c>
      <c r="F107" s="166">
        <f t="shared" si="10"/>
        <v>0</v>
      </c>
      <c r="G107" s="166">
        <f t="shared" si="10"/>
        <v>0</v>
      </c>
      <c r="H107" s="166">
        <f t="shared" si="10"/>
        <v>0</v>
      </c>
      <c r="I107" s="166">
        <f t="shared" si="10"/>
        <v>0</v>
      </c>
    </row>
    <row r="108" spans="1:9" ht="12" thickTop="1" thickBot="1" x14ac:dyDescent="0.2">
      <c r="A108" s="436"/>
      <c r="B108" s="702" t="s">
        <v>1533</v>
      </c>
      <c r="C108" s="135"/>
      <c r="D108" s="14"/>
      <c r="E108" s="14"/>
      <c r="F108" s="14"/>
      <c r="G108" s="14"/>
      <c r="H108" s="14"/>
      <c r="I108" s="491"/>
    </row>
    <row r="109" spans="1:9" ht="11.25" thickBot="1" x14ac:dyDescent="0.2">
      <c r="B109" s="711" t="s">
        <v>715</v>
      </c>
      <c r="C109" s="442" t="s">
        <v>1535</v>
      </c>
      <c r="D109" s="168">
        <f>D101-D107</f>
        <v>0</v>
      </c>
      <c r="E109" s="168">
        <f t="shared" ref="E109:I109" si="11">E101-E107</f>
        <v>0</v>
      </c>
      <c r="F109" s="168">
        <f t="shared" si="11"/>
        <v>0</v>
      </c>
      <c r="G109" s="168">
        <f t="shared" si="11"/>
        <v>0</v>
      </c>
      <c r="H109" s="168">
        <f t="shared" si="11"/>
        <v>0</v>
      </c>
      <c r="I109" s="168">
        <f t="shared" si="11"/>
        <v>0</v>
      </c>
    </row>
    <row r="110" spans="1:9" x14ac:dyDescent="0.15">
      <c r="I110" s="164"/>
    </row>
    <row r="111" spans="1:9" x14ac:dyDescent="0.15">
      <c r="A111" s="563" t="s">
        <v>290</v>
      </c>
      <c r="C111" s="427" t="s">
        <v>286</v>
      </c>
      <c r="I111" s="176"/>
    </row>
    <row r="112" spans="1:9" x14ac:dyDescent="0.15">
      <c r="A112" s="417" t="s">
        <v>1043</v>
      </c>
      <c r="B112" s="702" t="s">
        <v>1536</v>
      </c>
      <c r="C112" s="2" t="s">
        <v>293</v>
      </c>
      <c r="D112" s="40">
        <v>0</v>
      </c>
      <c r="E112" s="40">
        <v>0</v>
      </c>
      <c r="F112" s="40">
        <v>0</v>
      </c>
      <c r="G112" s="40">
        <v>0</v>
      </c>
      <c r="H112" s="463">
        <v>0</v>
      </c>
      <c r="I112" s="464">
        <f>SUM(G112+H112)</f>
        <v>0</v>
      </c>
    </row>
    <row r="114" spans="1:9" x14ac:dyDescent="0.15">
      <c r="A114" s="563" t="s">
        <v>291</v>
      </c>
      <c r="C114" s="427" t="s">
        <v>287</v>
      </c>
    </row>
    <row r="115" spans="1:9" x14ac:dyDescent="0.15">
      <c r="A115" s="563"/>
      <c r="C115" s="412" t="s">
        <v>298</v>
      </c>
    </row>
    <row r="116" spans="1:9" x14ac:dyDescent="0.15">
      <c r="A116" s="582" t="s">
        <v>239</v>
      </c>
      <c r="B116" s="711" t="s">
        <v>1537</v>
      </c>
      <c r="C116" s="554" t="s">
        <v>1548</v>
      </c>
      <c r="D116" s="40">
        <v>0</v>
      </c>
      <c r="E116" s="40">
        <v>0</v>
      </c>
      <c r="F116" s="40">
        <v>0</v>
      </c>
      <c r="G116" s="40">
        <v>0</v>
      </c>
      <c r="H116" s="462">
        <v>0</v>
      </c>
      <c r="I116" s="464">
        <f>SUM(G116+H116)</f>
        <v>0</v>
      </c>
    </row>
    <row r="117" spans="1:9" x14ac:dyDescent="0.15">
      <c r="A117" s="720" t="s">
        <v>819</v>
      </c>
      <c r="B117" s="711" t="s">
        <v>1538</v>
      </c>
      <c r="C117" s="554" t="s">
        <v>610</v>
      </c>
      <c r="D117" s="567">
        <v>0</v>
      </c>
      <c r="E117" s="567">
        <v>0</v>
      </c>
      <c r="F117" s="567">
        <v>0</v>
      </c>
      <c r="G117" s="567">
        <v>0</v>
      </c>
      <c r="H117" s="578">
        <v>0</v>
      </c>
      <c r="I117" s="459">
        <f>SUM(G117+H117)</f>
        <v>0</v>
      </c>
    </row>
    <row r="118" spans="1:9" x14ac:dyDescent="0.15">
      <c r="A118" s="582" t="s">
        <v>164</v>
      </c>
      <c r="B118" s="711" t="s">
        <v>1539</v>
      </c>
      <c r="C118" s="135" t="s">
        <v>1127</v>
      </c>
      <c r="D118" s="40">
        <v>0</v>
      </c>
      <c r="E118" s="40">
        <v>0</v>
      </c>
      <c r="F118" s="40">
        <v>0</v>
      </c>
      <c r="G118" s="40">
        <v>0</v>
      </c>
      <c r="H118" s="462">
        <v>0</v>
      </c>
      <c r="I118" s="464">
        <f>SUM(G118+H118)</f>
        <v>0</v>
      </c>
    </row>
    <row r="120" spans="1:9" x14ac:dyDescent="0.15">
      <c r="B120" s="412" t="s">
        <v>299</v>
      </c>
    </row>
    <row r="122" spans="1:9" x14ac:dyDescent="0.15">
      <c r="A122" s="565" t="s">
        <v>294</v>
      </c>
      <c r="B122" s="413" t="s">
        <v>295</v>
      </c>
    </row>
  </sheetData>
  <sheetProtection password="CB03" sheet="1" objects="1" scenarios="1" formatCells="0" formatColumns="0" formatRows="0"/>
  <phoneticPr fontId="15" type="noConversion"/>
  <pageMargins left="0.75" right="0.75" top="1" bottom="1" header="0.5" footer="0.5"/>
  <pageSetup scale="58" fitToHeight="0" orientation="portrait" r:id="rId1"/>
  <headerFooter alignWithMargins="0">
    <oddFooter>&amp;LCDE, Public Scool Finance Unit&amp;C&amp;P&amp;R&amp;D</oddFooter>
  </headerFooter>
  <rowBreaks count="1" manualBreakCount="1">
    <brk id="9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1114"/>
  <sheetViews>
    <sheetView zoomScaleNormal="100" workbookViewId="0">
      <selection activeCell="A2" sqref="A2"/>
    </sheetView>
  </sheetViews>
  <sheetFormatPr defaultRowHeight="10.5" x14ac:dyDescent="0.15"/>
  <cols>
    <col min="1" max="1" width="4.83203125" style="412" customWidth="1"/>
    <col min="2" max="2" width="17.5" style="412" customWidth="1"/>
    <col min="3" max="3" width="58.33203125" style="412" customWidth="1"/>
    <col min="4" max="4" width="15.83203125" style="412" customWidth="1"/>
    <col min="5" max="5" width="17" style="412" customWidth="1"/>
    <col min="6" max="6" width="17.33203125" style="412" customWidth="1"/>
    <col min="7" max="7" width="18.33203125" style="412" customWidth="1"/>
    <col min="8" max="8" width="20.33203125" style="412" customWidth="1"/>
    <col min="9" max="9" width="21.1640625" style="412" customWidth="1"/>
    <col min="10" max="16384" width="9.33203125" style="412"/>
  </cols>
  <sheetData>
    <row r="1" spans="1:10" x14ac:dyDescent="0.15">
      <c r="A1" s="412" t="s">
        <v>1044</v>
      </c>
      <c r="C1" s="135">
        <f>+'Page 1 - FY2016-17'!B5</f>
        <v>0</v>
      </c>
      <c r="D1" s="412" t="s">
        <v>889</v>
      </c>
      <c r="E1" s="415">
        <f>+'Page 1 - FY2016-17'!F7</f>
        <v>0</v>
      </c>
      <c r="G1" s="418" t="s">
        <v>891</v>
      </c>
    </row>
    <row r="2" spans="1:10" ht="12.75" x14ac:dyDescent="0.2">
      <c r="A2" s="444" t="s">
        <v>36</v>
      </c>
      <c r="B2" s="445"/>
      <c r="H2" s="418"/>
      <c r="I2" s="418"/>
    </row>
    <row r="3" spans="1:10" x14ac:dyDescent="0.15">
      <c r="A3" s="445"/>
      <c r="B3" s="445"/>
      <c r="G3" s="418"/>
      <c r="H3" s="418"/>
      <c r="I3" s="418"/>
    </row>
    <row r="4" spans="1:10" ht="35.25" customHeight="1" x14ac:dyDescent="0.15">
      <c r="A4" s="445"/>
      <c r="B4" s="445"/>
      <c r="D4" s="580" t="s">
        <v>1607</v>
      </c>
      <c r="E4" s="580" t="s">
        <v>1606</v>
      </c>
      <c r="F4" s="580" t="s">
        <v>1605</v>
      </c>
      <c r="G4" s="580" t="s">
        <v>1604</v>
      </c>
      <c r="H4" s="580" t="s">
        <v>1603</v>
      </c>
      <c r="I4" s="580" t="s">
        <v>1602</v>
      </c>
    </row>
    <row r="5" spans="1:10" ht="54.75" customHeight="1" x14ac:dyDescent="0.15">
      <c r="A5" s="445"/>
      <c r="B5" s="445"/>
      <c r="D5" s="424"/>
      <c r="E5" s="424"/>
      <c r="F5" s="424"/>
      <c r="G5" s="424"/>
      <c r="H5" s="713" t="s">
        <v>1541</v>
      </c>
      <c r="I5" s="715" t="s">
        <v>1516</v>
      </c>
    </row>
    <row r="6" spans="1:10" x14ac:dyDescent="0.15">
      <c r="A6" s="445"/>
      <c r="B6" s="445"/>
      <c r="G6" s="418"/>
      <c r="H6" s="418"/>
      <c r="I6" s="418"/>
    </row>
    <row r="7" spans="1:10" x14ac:dyDescent="0.15">
      <c r="A7" s="445"/>
      <c r="B7" s="445"/>
      <c r="G7" s="418"/>
      <c r="H7" s="418"/>
      <c r="I7" s="418"/>
    </row>
    <row r="8" spans="1:10" x14ac:dyDescent="0.15">
      <c r="A8" s="438" t="s">
        <v>1057</v>
      </c>
      <c r="D8" s="446"/>
      <c r="E8" s="446"/>
      <c r="F8" s="446"/>
      <c r="G8" s="446"/>
    </row>
    <row r="9" spans="1:10" s="448" customFormat="1" x14ac:dyDescent="0.15">
      <c r="B9" s="449" t="s">
        <v>213</v>
      </c>
      <c r="D9" s="143"/>
      <c r="E9" s="143"/>
      <c r="F9" s="143"/>
      <c r="G9" s="142"/>
      <c r="I9" s="460"/>
    </row>
    <row r="10" spans="1:10" x14ac:dyDescent="0.15">
      <c r="A10" s="442" t="s">
        <v>1008</v>
      </c>
      <c r="I10" s="164"/>
    </row>
    <row r="11" spans="1:10" s="416" customFormat="1" hidden="1" x14ac:dyDescent="0.15">
      <c r="B11" s="453" t="s">
        <v>880</v>
      </c>
      <c r="C11" s="454" t="s">
        <v>1164</v>
      </c>
      <c r="D11" s="308">
        <v>0</v>
      </c>
      <c r="E11" s="308">
        <v>0</v>
      </c>
      <c r="F11" s="308">
        <v>0</v>
      </c>
      <c r="G11" s="458"/>
      <c r="H11" s="457">
        <v>0</v>
      </c>
      <c r="I11" s="494">
        <f>SUM(G11+H11)</f>
        <v>0</v>
      </c>
    </row>
    <row r="12" spans="1:10" s="416" customFormat="1" x14ac:dyDescent="0.15">
      <c r="B12" s="453" t="s">
        <v>880</v>
      </c>
      <c r="C12" s="454" t="s">
        <v>337</v>
      </c>
      <c r="D12" s="308">
        <v>0</v>
      </c>
      <c r="E12" s="308">
        <v>0</v>
      </c>
      <c r="F12" s="308">
        <v>0</v>
      </c>
      <c r="G12" s="308">
        <v>0</v>
      </c>
      <c r="H12" s="457">
        <v>0</v>
      </c>
      <c r="I12" s="494">
        <f>SUM(G12+H12)</f>
        <v>0</v>
      </c>
    </row>
    <row r="13" spans="1:10" s="416" customFormat="1" hidden="1" x14ac:dyDescent="0.15">
      <c r="A13" s="454"/>
      <c r="B13" s="453" t="s">
        <v>881</v>
      </c>
      <c r="C13" s="454" t="s">
        <v>382</v>
      </c>
      <c r="D13" s="308">
        <v>0</v>
      </c>
      <c r="E13" s="308">
        <v>0</v>
      </c>
      <c r="F13" s="308">
        <v>0</v>
      </c>
      <c r="G13" s="459"/>
      <c r="H13" s="457">
        <v>0</v>
      </c>
      <c r="I13" s="494">
        <f>SUM(G13+H13)</f>
        <v>0</v>
      </c>
    </row>
    <row r="14" spans="1:10" x14ac:dyDescent="0.15">
      <c r="A14" s="135"/>
      <c r="B14" s="451" t="s">
        <v>881</v>
      </c>
      <c r="C14" s="135" t="s">
        <v>338</v>
      </c>
      <c r="D14" s="144">
        <v>0</v>
      </c>
      <c r="E14" s="144">
        <v>0</v>
      </c>
      <c r="F14" s="144">
        <v>0</v>
      </c>
      <c r="G14" s="144">
        <v>0</v>
      </c>
      <c r="H14" s="147">
        <v>0</v>
      </c>
      <c r="I14" s="495">
        <f>SUM(G14+H14)</f>
        <v>0</v>
      </c>
      <c r="J14" s="416"/>
    </row>
    <row r="15" spans="1:10" x14ac:dyDescent="0.15">
      <c r="A15" s="135"/>
      <c r="B15" s="451" t="s">
        <v>882</v>
      </c>
      <c r="C15" s="135" t="s">
        <v>1058</v>
      </c>
      <c r="D15" s="144">
        <v>0</v>
      </c>
      <c r="E15" s="144">
        <v>0</v>
      </c>
      <c r="F15" s="144">
        <v>0</v>
      </c>
      <c r="G15" s="285">
        <v>0</v>
      </c>
      <c r="H15" s="147">
        <v>0</v>
      </c>
      <c r="I15" s="495">
        <f t="shared" ref="I15:I43" si="0">SUM(G15+H15)</f>
        <v>0</v>
      </c>
    </row>
    <row r="16" spans="1:10" x14ac:dyDescent="0.15">
      <c r="A16" s="135"/>
      <c r="B16" s="451" t="s">
        <v>883</v>
      </c>
      <c r="C16" s="135" t="s">
        <v>1059</v>
      </c>
      <c r="D16" s="144">
        <v>0</v>
      </c>
      <c r="E16" s="144">
        <v>0</v>
      </c>
      <c r="F16" s="144">
        <v>0</v>
      </c>
      <c r="G16" s="285">
        <v>0</v>
      </c>
      <c r="H16" s="147">
        <v>0</v>
      </c>
      <c r="I16" s="495">
        <f t="shared" si="0"/>
        <v>0</v>
      </c>
    </row>
    <row r="17" spans="1:9" x14ac:dyDescent="0.15">
      <c r="A17" s="135"/>
      <c r="B17" s="451" t="s">
        <v>1060</v>
      </c>
      <c r="C17" s="135" t="s">
        <v>1061</v>
      </c>
      <c r="D17" s="144">
        <v>0</v>
      </c>
      <c r="E17" s="144">
        <v>0</v>
      </c>
      <c r="F17" s="144">
        <v>0</v>
      </c>
      <c r="G17" s="285">
        <v>0</v>
      </c>
      <c r="H17" s="147">
        <v>0</v>
      </c>
      <c r="I17" s="495">
        <f t="shared" si="0"/>
        <v>0</v>
      </c>
    </row>
    <row r="18" spans="1:9" x14ac:dyDescent="0.15">
      <c r="A18" s="135"/>
      <c r="B18" s="451" t="s">
        <v>1062</v>
      </c>
      <c r="C18" s="135" t="s">
        <v>1063</v>
      </c>
      <c r="D18" s="144">
        <v>0</v>
      </c>
      <c r="E18" s="144">
        <v>0</v>
      </c>
      <c r="F18" s="144">
        <v>0</v>
      </c>
      <c r="G18" s="285">
        <v>0</v>
      </c>
      <c r="H18" s="147">
        <v>0</v>
      </c>
      <c r="I18" s="495">
        <f t="shared" si="0"/>
        <v>0</v>
      </c>
    </row>
    <row r="19" spans="1:9" x14ac:dyDescent="0.15">
      <c r="A19" s="135"/>
      <c r="B19" s="451" t="s">
        <v>884</v>
      </c>
      <c r="C19" s="135" t="s">
        <v>1064</v>
      </c>
      <c r="D19" s="144">
        <v>0</v>
      </c>
      <c r="E19" s="144">
        <v>0</v>
      </c>
      <c r="F19" s="144">
        <v>0</v>
      </c>
      <c r="G19" s="285">
        <v>0</v>
      </c>
      <c r="H19" s="147">
        <v>0</v>
      </c>
      <c r="I19" s="495">
        <f t="shared" si="0"/>
        <v>0</v>
      </c>
    </row>
    <row r="20" spans="1:9" x14ac:dyDescent="0.15">
      <c r="A20" s="135"/>
      <c r="B20" s="451" t="s">
        <v>1067</v>
      </c>
      <c r="C20" s="135" t="s">
        <v>1074</v>
      </c>
      <c r="D20" s="144">
        <v>0</v>
      </c>
      <c r="E20" s="144">
        <v>0</v>
      </c>
      <c r="F20" s="144">
        <v>0</v>
      </c>
      <c r="G20" s="285">
        <v>0</v>
      </c>
      <c r="H20" s="147">
        <v>0</v>
      </c>
      <c r="I20" s="495">
        <f t="shared" si="0"/>
        <v>0</v>
      </c>
    </row>
    <row r="21" spans="1:9" x14ac:dyDescent="0.15">
      <c r="A21" s="135"/>
      <c r="B21" s="451" t="s">
        <v>1072</v>
      </c>
      <c r="C21" s="135" t="s">
        <v>920</v>
      </c>
      <c r="D21" s="144">
        <v>0</v>
      </c>
      <c r="E21" s="144">
        <v>0</v>
      </c>
      <c r="F21" s="144">
        <v>0</v>
      </c>
      <c r="G21" s="285">
        <v>0</v>
      </c>
      <c r="H21" s="147">
        <v>0</v>
      </c>
      <c r="I21" s="495">
        <f t="shared" si="0"/>
        <v>0</v>
      </c>
    </row>
    <row r="22" spans="1:9" x14ac:dyDescent="0.15">
      <c r="A22" s="135"/>
      <c r="B22" s="716" t="s">
        <v>155</v>
      </c>
      <c r="C22" s="703" t="s">
        <v>178</v>
      </c>
      <c r="D22" s="144">
        <v>0</v>
      </c>
      <c r="E22" s="144">
        <v>0</v>
      </c>
      <c r="F22" s="144">
        <v>0</v>
      </c>
      <c r="G22" s="285">
        <v>0</v>
      </c>
      <c r="H22" s="147">
        <v>0</v>
      </c>
      <c r="I22" s="495">
        <f t="shared" ref="I22" si="1">SUM(G22+H22)</f>
        <v>0</v>
      </c>
    </row>
    <row r="23" spans="1:9" x14ac:dyDescent="0.15">
      <c r="A23" s="135"/>
      <c r="B23" s="451" t="s">
        <v>921</v>
      </c>
      <c r="C23" s="135" t="s">
        <v>955</v>
      </c>
      <c r="D23" s="144">
        <v>0</v>
      </c>
      <c r="E23" s="144">
        <v>0</v>
      </c>
      <c r="F23" s="144">
        <v>0</v>
      </c>
      <c r="G23" s="285">
        <v>0</v>
      </c>
      <c r="H23" s="147">
        <v>0</v>
      </c>
      <c r="I23" s="495">
        <f t="shared" si="0"/>
        <v>0</v>
      </c>
    </row>
    <row r="24" spans="1:9" x14ac:dyDescent="0.15">
      <c r="A24" s="135"/>
      <c r="B24" s="451" t="s">
        <v>922</v>
      </c>
      <c r="C24" s="135" t="s">
        <v>1123</v>
      </c>
      <c r="D24" s="144">
        <v>0</v>
      </c>
      <c r="E24" s="144">
        <v>0</v>
      </c>
      <c r="F24" s="144">
        <v>0</v>
      </c>
      <c r="G24" s="285">
        <v>0</v>
      </c>
      <c r="H24" s="147">
        <v>0</v>
      </c>
      <c r="I24" s="495">
        <f t="shared" si="0"/>
        <v>0</v>
      </c>
    </row>
    <row r="25" spans="1:9" x14ac:dyDescent="0.15">
      <c r="A25" s="135"/>
      <c r="B25" s="451" t="s">
        <v>923</v>
      </c>
      <c r="C25" s="135" t="s">
        <v>957</v>
      </c>
      <c r="D25" s="144">
        <v>0</v>
      </c>
      <c r="E25" s="144">
        <v>0</v>
      </c>
      <c r="F25" s="144">
        <v>0</v>
      </c>
      <c r="G25" s="285">
        <v>0</v>
      </c>
      <c r="H25" s="147">
        <v>0</v>
      </c>
      <c r="I25" s="495">
        <f t="shared" si="0"/>
        <v>0</v>
      </c>
    </row>
    <row r="26" spans="1:9" x14ac:dyDescent="0.15">
      <c r="A26" s="135"/>
      <c r="B26" s="451" t="s">
        <v>924</v>
      </c>
      <c r="C26" s="135" t="s">
        <v>958</v>
      </c>
      <c r="D26" s="144">
        <v>0</v>
      </c>
      <c r="E26" s="144">
        <v>0</v>
      </c>
      <c r="F26" s="144">
        <v>0</v>
      </c>
      <c r="G26" s="285">
        <v>0</v>
      </c>
      <c r="H26" s="147">
        <v>0</v>
      </c>
      <c r="I26" s="495">
        <f t="shared" si="0"/>
        <v>0</v>
      </c>
    </row>
    <row r="27" spans="1:9" x14ac:dyDescent="0.15">
      <c r="A27" s="135"/>
      <c r="B27" s="451" t="s">
        <v>925</v>
      </c>
      <c r="C27" s="135" t="s">
        <v>1128</v>
      </c>
      <c r="D27" s="144">
        <v>0</v>
      </c>
      <c r="E27" s="144">
        <v>0</v>
      </c>
      <c r="F27" s="144">
        <v>0</v>
      </c>
      <c r="G27" s="285">
        <v>0</v>
      </c>
      <c r="H27" s="147">
        <v>0</v>
      </c>
      <c r="I27" s="495">
        <f t="shared" si="0"/>
        <v>0</v>
      </c>
    </row>
    <row r="28" spans="1:9" x14ac:dyDescent="0.15">
      <c r="A28" s="135"/>
      <c r="B28" s="451" t="s">
        <v>926</v>
      </c>
      <c r="C28" s="135" t="s">
        <v>1129</v>
      </c>
      <c r="D28" s="144">
        <v>0</v>
      </c>
      <c r="E28" s="144">
        <v>0</v>
      </c>
      <c r="F28" s="144">
        <v>0</v>
      </c>
      <c r="G28" s="285">
        <v>0</v>
      </c>
      <c r="H28" s="147">
        <v>0</v>
      </c>
      <c r="I28" s="495">
        <f t="shared" si="0"/>
        <v>0</v>
      </c>
    </row>
    <row r="29" spans="1:9" x14ac:dyDescent="0.15">
      <c r="A29" s="135"/>
      <c r="B29" s="451" t="s">
        <v>927</v>
      </c>
      <c r="C29" s="135" t="s">
        <v>959</v>
      </c>
      <c r="D29" s="144">
        <v>0</v>
      </c>
      <c r="E29" s="144">
        <v>0</v>
      </c>
      <c r="F29" s="144">
        <v>0</v>
      </c>
      <c r="G29" s="285">
        <v>0</v>
      </c>
      <c r="H29" s="147">
        <v>0</v>
      </c>
      <c r="I29" s="495">
        <f t="shared" si="0"/>
        <v>0</v>
      </c>
    </row>
    <row r="30" spans="1:9" x14ac:dyDescent="0.15">
      <c r="A30" s="135"/>
      <c r="B30" s="451" t="s">
        <v>928</v>
      </c>
      <c r="C30" s="135" t="s">
        <v>961</v>
      </c>
      <c r="D30" s="144">
        <v>0</v>
      </c>
      <c r="E30" s="144">
        <v>0</v>
      </c>
      <c r="F30" s="144">
        <v>0</v>
      </c>
      <c r="G30" s="285">
        <v>0</v>
      </c>
      <c r="H30" s="147">
        <v>0</v>
      </c>
      <c r="I30" s="495">
        <f t="shared" si="0"/>
        <v>0</v>
      </c>
    </row>
    <row r="31" spans="1:9" x14ac:dyDescent="0.15">
      <c r="A31" s="135"/>
      <c r="B31" s="451" t="s">
        <v>962</v>
      </c>
      <c r="C31" s="135" t="s">
        <v>967</v>
      </c>
      <c r="D31" s="144">
        <v>0</v>
      </c>
      <c r="E31" s="144">
        <v>0</v>
      </c>
      <c r="F31" s="144">
        <v>0</v>
      </c>
      <c r="G31" s="285">
        <v>0</v>
      </c>
      <c r="H31" s="147">
        <v>0</v>
      </c>
      <c r="I31" s="495">
        <f t="shared" si="0"/>
        <v>0</v>
      </c>
    </row>
    <row r="32" spans="1:9" x14ac:dyDescent="0.15">
      <c r="A32" s="135"/>
      <c r="B32" s="451" t="s">
        <v>963</v>
      </c>
      <c r="C32" s="135" t="s">
        <v>1124</v>
      </c>
      <c r="D32" s="144">
        <v>0</v>
      </c>
      <c r="E32" s="144">
        <v>0</v>
      </c>
      <c r="F32" s="144">
        <v>0</v>
      </c>
      <c r="G32" s="285">
        <v>0</v>
      </c>
      <c r="H32" s="147">
        <v>0</v>
      </c>
      <c r="I32" s="495">
        <f t="shared" si="0"/>
        <v>0</v>
      </c>
    </row>
    <row r="33" spans="1:9" x14ac:dyDescent="0.15">
      <c r="A33" s="135"/>
      <c r="B33" s="451" t="s">
        <v>964</v>
      </c>
      <c r="C33" s="135" t="s">
        <v>1094</v>
      </c>
      <c r="D33" s="144">
        <v>0</v>
      </c>
      <c r="E33" s="144">
        <v>0</v>
      </c>
      <c r="F33" s="144">
        <v>0</v>
      </c>
      <c r="G33" s="285">
        <v>0</v>
      </c>
      <c r="H33" s="147">
        <v>0</v>
      </c>
      <c r="I33" s="495">
        <f t="shared" si="0"/>
        <v>0</v>
      </c>
    </row>
    <row r="34" spans="1:9" x14ac:dyDescent="0.15">
      <c r="A34" s="135"/>
      <c r="B34" s="451" t="s">
        <v>965</v>
      </c>
      <c r="C34" s="135" t="s">
        <v>1095</v>
      </c>
      <c r="D34" s="144">
        <v>0</v>
      </c>
      <c r="E34" s="144">
        <v>0</v>
      </c>
      <c r="F34" s="144">
        <v>0</v>
      </c>
      <c r="G34" s="285">
        <v>0</v>
      </c>
      <c r="H34" s="147">
        <v>0</v>
      </c>
      <c r="I34" s="495">
        <f t="shared" si="0"/>
        <v>0</v>
      </c>
    </row>
    <row r="35" spans="1:9" x14ac:dyDescent="0.15">
      <c r="A35" s="135"/>
      <c r="B35" s="451" t="s">
        <v>885</v>
      </c>
      <c r="C35" s="135" t="s">
        <v>1096</v>
      </c>
      <c r="D35" s="144">
        <v>0</v>
      </c>
      <c r="E35" s="144">
        <v>0</v>
      </c>
      <c r="F35" s="144">
        <v>0</v>
      </c>
      <c r="G35" s="285">
        <v>0</v>
      </c>
      <c r="H35" s="147">
        <v>0</v>
      </c>
      <c r="I35" s="495">
        <f t="shared" si="0"/>
        <v>0</v>
      </c>
    </row>
    <row r="36" spans="1:9" x14ac:dyDescent="0.15">
      <c r="A36" s="135"/>
      <c r="B36" s="451" t="s">
        <v>966</v>
      </c>
      <c r="C36" s="135" t="s">
        <v>1097</v>
      </c>
      <c r="D36" s="144">
        <v>0</v>
      </c>
      <c r="E36" s="144">
        <v>0</v>
      </c>
      <c r="F36" s="144">
        <v>0</v>
      </c>
      <c r="G36" s="285">
        <v>0</v>
      </c>
      <c r="H36" s="147">
        <v>0</v>
      </c>
      <c r="I36" s="495">
        <f t="shared" si="0"/>
        <v>0</v>
      </c>
    </row>
    <row r="37" spans="1:9" x14ac:dyDescent="0.15">
      <c r="A37" s="135"/>
      <c r="B37" s="451" t="s">
        <v>886</v>
      </c>
      <c r="C37" s="135" t="s">
        <v>1100</v>
      </c>
      <c r="D37" s="144">
        <v>0</v>
      </c>
      <c r="E37" s="144">
        <v>0</v>
      </c>
      <c r="F37" s="144">
        <v>0</v>
      </c>
      <c r="G37" s="285">
        <v>0</v>
      </c>
      <c r="H37" s="147">
        <v>0</v>
      </c>
      <c r="I37" s="495">
        <f t="shared" si="0"/>
        <v>0</v>
      </c>
    </row>
    <row r="38" spans="1:9" x14ac:dyDescent="0.15">
      <c r="A38" s="135"/>
      <c r="B38" s="451" t="s">
        <v>116</v>
      </c>
      <c r="C38" s="135" t="s">
        <v>1105</v>
      </c>
      <c r="D38" s="144">
        <v>0</v>
      </c>
      <c r="E38" s="144">
        <v>0</v>
      </c>
      <c r="F38" s="144">
        <v>0</v>
      </c>
      <c r="G38" s="285">
        <v>0</v>
      </c>
      <c r="H38" s="147">
        <v>0</v>
      </c>
      <c r="I38" s="495">
        <f t="shared" si="0"/>
        <v>0</v>
      </c>
    </row>
    <row r="39" spans="1:9" x14ac:dyDescent="0.15">
      <c r="A39" s="135"/>
      <c r="B39" s="451" t="s">
        <v>112</v>
      </c>
      <c r="C39" s="135" t="s">
        <v>1110</v>
      </c>
      <c r="D39" s="144">
        <v>0</v>
      </c>
      <c r="E39" s="144">
        <v>0</v>
      </c>
      <c r="F39" s="144">
        <v>0</v>
      </c>
      <c r="G39" s="285">
        <v>0</v>
      </c>
      <c r="H39" s="147">
        <v>0</v>
      </c>
      <c r="I39" s="495">
        <f t="shared" si="0"/>
        <v>0</v>
      </c>
    </row>
    <row r="40" spans="1:9" x14ac:dyDescent="0.15">
      <c r="A40" s="135"/>
      <c r="B40" s="451" t="s">
        <v>887</v>
      </c>
      <c r="C40" s="135" t="s">
        <v>1116</v>
      </c>
      <c r="D40" s="144">
        <v>0</v>
      </c>
      <c r="E40" s="144">
        <v>0</v>
      </c>
      <c r="F40" s="144">
        <v>0</v>
      </c>
      <c r="G40" s="285">
        <v>0</v>
      </c>
      <c r="H40" s="147">
        <v>0</v>
      </c>
      <c r="I40" s="495">
        <f t="shared" si="0"/>
        <v>0</v>
      </c>
    </row>
    <row r="41" spans="1:9" x14ac:dyDescent="0.15">
      <c r="A41" s="135"/>
      <c r="B41" s="451" t="s">
        <v>1112</v>
      </c>
      <c r="C41" s="135" t="s">
        <v>1117</v>
      </c>
      <c r="D41" s="144">
        <v>0</v>
      </c>
      <c r="E41" s="144">
        <v>0</v>
      </c>
      <c r="F41" s="144">
        <v>0</v>
      </c>
      <c r="G41" s="285">
        <v>0</v>
      </c>
      <c r="H41" s="147">
        <v>0</v>
      </c>
      <c r="I41" s="495">
        <f t="shared" si="0"/>
        <v>0</v>
      </c>
    </row>
    <row r="42" spans="1:9" x14ac:dyDescent="0.15">
      <c r="A42" s="135"/>
      <c r="B42" s="451" t="s">
        <v>1113</v>
      </c>
      <c r="C42" s="135" t="s">
        <v>1118</v>
      </c>
      <c r="D42" s="144">
        <v>0</v>
      </c>
      <c r="E42" s="144">
        <v>0</v>
      </c>
      <c r="F42" s="144">
        <v>0</v>
      </c>
      <c r="G42" s="285">
        <v>0</v>
      </c>
      <c r="H42" s="147">
        <v>0</v>
      </c>
      <c r="I42" s="495">
        <f t="shared" si="0"/>
        <v>0</v>
      </c>
    </row>
    <row r="43" spans="1:9" ht="11.25" thickBot="1" x14ac:dyDescent="0.2">
      <c r="A43" s="135"/>
      <c r="B43" s="451" t="s">
        <v>1114</v>
      </c>
      <c r="C43" s="135" t="s">
        <v>1119</v>
      </c>
      <c r="D43" s="144">
        <v>0</v>
      </c>
      <c r="E43" s="144">
        <v>0</v>
      </c>
      <c r="F43" s="144">
        <v>0</v>
      </c>
      <c r="G43" s="285">
        <v>0</v>
      </c>
      <c r="H43" s="147">
        <v>0</v>
      </c>
      <c r="I43" s="495">
        <f t="shared" si="0"/>
        <v>0</v>
      </c>
    </row>
    <row r="44" spans="1:9" ht="12" thickTop="1" thickBot="1" x14ac:dyDescent="0.2">
      <c r="A44" s="135"/>
      <c r="B44" s="451"/>
      <c r="C44" s="135" t="s">
        <v>1122</v>
      </c>
      <c r="D44" s="166">
        <f>SUM(D11:D43)</f>
        <v>0</v>
      </c>
      <c r="E44" s="166">
        <f>SUM(E11:E43)</f>
        <v>0</v>
      </c>
      <c r="F44" s="166">
        <f>SUM(F11:F43)</f>
        <v>0</v>
      </c>
      <c r="G44" s="166">
        <f>SUM(G11:G43)</f>
        <v>0</v>
      </c>
      <c r="H44" s="166">
        <f>SUM(H11:H43)</f>
        <v>0</v>
      </c>
      <c r="I44" s="166">
        <f>SUM(G44+H44)</f>
        <v>0</v>
      </c>
    </row>
    <row r="45" spans="1:9" ht="11.25" thickTop="1" x14ac:dyDescent="0.15">
      <c r="A45" s="135"/>
      <c r="B45" s="451"/>
      <c r="C45" s="135"/>
      <c r="D45" s="14"/>
      <c r="E45" s="14"/>
      <c r="F45" s="14"/>
      <c r="G45" s="14"/>
      <c r="H45" s="14"/>
      <c r="I45" s="491"/>
    </row>
    <row r="46" spans="1:9" x14ac:dyDescent="0.15">
      <c r="A46" s="442" t="s">
        <v>1010</v>
      </c>
      <c r="B46" s="135"/>
      <c r="C46" s="135"/>
      <c r="D46" s="14"/>
      <c r="E46" s="14"/>
      <c r="F46" s="14"/>
      <c r="G46" s="14"/>
      <c r="H46" s="14"/>
      <c r="I46" s="491"/>
    </row>
    <row r="47" spans="1:9" s="416" customFormat="1" hidden="1" x14ac:dyDescent="0.15">
      <c r="B47" s="453" t="s">
        <v>880</v>
      </c>
      <c r="C47" s="454" t="s">
        <v>1164</v>
      </c>
      <c r="D47" s="308">
        <v>0</v>
      </c>
      <c r="E47" s="308">
        <v>0</v>
      </c>
      <c r="F47" s="308">
        <v>0</v>
      </c>
      <c r="G47" s="458"/>
      <c r="H47" s="457">
        <v>0</v>
      </c>
      <c r="I47" s="494">
        <f>SUM(G47+H47)</f>
        <v>0</v>
      </c>
    </row>
    <row r="48" spans="1:9" s="416" customFormat="1" x14ac:dyDescent="0.15">
      <c r="B48" s="453" t="s">
        <v>880</v>
      </c>
      <c r="C48" s="454" t="s">
        <v>337</v>
      </c>
      <c r="D48" s="308">
        <v>0</v>
      </c>
      <c r="E48" s="308">
        <v>0</v>
      </c>
      <c r="F48" s="308">
        <v>0</v>
      </c>
      <c r="G48" s="308">
        <v>0</v>
      </c>
      <c r="H48" s="457">
        <v>0</v>
      </c>
      <c r="I48" s="494">
        <f>SUM(G48+H48)</f>
        <v>0</v>
      </c>
    </row>
    <row r="49" spans="1:10" s="416" customFormat="1" hidden="1" x14ac:dyDescent="0.15">
      <c r="A49" s="454"/>
      <c r="B49" s="453" t="s">
        <v>881</v>
      </c>
      <c r="C49" s="454" t="s">
        <v>382</v>
      </c>
      <c r="D49" s="308">
        <v>0</v>
      </c>
      <c r="E49" s="308">
        <v>0</v>
      </c>
      <c r="F49" s="308">
        <v>0</v>
      </c>
      <c r="G49" s="459"/>
      <c r="H49" s="457">
        <v>0</v>
      </c>
      <c r="I49" s="494">
        <f>SUM(G49+H49)</f>
        <v>0</v>
      </c>
    </row>
    <row r="50" spans="1:10" x14ac:dyDescent="0.15">
      <c r="A50" s="135"/>
      <c r="B50" s="451" t="s">
        <v>881</v>
      </c>
      <c r="C50" s="135" t="s">
        <v>338</v>
      </c>
      <c r="D50" s="144">
        <v>0</v>
      </c>
      <c r="E50" s="144">
        <v>0</v>
      </c>
      <c r="F50" s="144">
        <v>0</v>
      </c>
      <c r="G50" s="144">
        <v>0</v>
      </c>
      <c r="H50" s="147">
        <v>0</v>
      </c>
      <c r="I50" s="495">
        <f>SUM(G50+H50)</f>
        <v>0</v>
      </c>
      <c r="J50" s="416"/>
    </row>
    <row r="51" spans="1:10" x14ac:dyDescent="0.15">
      <c r="A51" s="135"/>
      <c r="B51" s="451" t="s">
        <v>882</v>
      </c>
      <c r="C51" s="135" t="s">
        <v>1058</v>
      </c>
      <c r="D51" s="141">
        <v>0</v>
      </c>
      <c r="E51" s="141">
        <v>0</v>
      </c>
      <c r="F51" s="141">
        <v>0</v>
      </c>
      <c r="G51" s="285">
        <v>0</v>
      </c>
      <c r="H51" s="147">
        <v>0</v>
      </c>
      <c r="I51" s="495">
        <f t="shared" ref="I51:I80" si="2">SUM(G51+H51)</f>
        <v>0</v>
      </c>
    </row>
    <row r="52" spans="1:10" x14ac:dyDescent="0.15">
      <c r="A52" s="135"/>
      <c r="B52" s="451" t="s">
        <v>883</v>
      </c>
      <c r="C52" s="135" t="s">
        <v>1059</v>
      </c>
      <c r="D52" s="141">
        <v>0</v>
      </c>
      <c r="E52" s="141">
        <v>0</v>
      </c>
      <c r="F52" s="141">
        <v>0</v>
      </c>
      <c r="G52" s="285">
        <v>0</v>
      </c>
      <c r="H52" s="147">
        <v>0</v>
      </c>
      <c r="I52" s="495">
        <f t="shared" si="2"/>
        <v>0</v>
      </c>
    </row>
    <row r="53" spans="1:10" x14ac:dyDescent="0.15">
      <c r="A53" s="135"/>
      <c r="B53" s="451" t="s">
        <v>1060</v>
      </c>
      <c r="C53" s="135" t="s">
        <v>1061</v>
      </c>
      <c r="D53" s="141">
        <v>0</v>
      </c>
      <c r="E53" s="141">
        <v>0</v>
      </c>
      <c r="F53" s="141">
        <v>0</v>
      </c>
      <c r="G53" s="285">
        <v>0</v>
      </c>
      <c r="H53" s="147">
        <v>0</v>
      </c>
      <c r="I53" s="495">
        <f t="shared" si="2"/>
        <v>0</v>
      </c>
    </row>
    <row r="54" spans="1:10" x14ac:dyDescent="0.15">
      <c r="A54" s="135"/>
      <c r="B54" s="451" t="s">
        <v>1062</v>
      </c>
      <c r="C54" s="135" t="s">
        <v>1063</v>
      </c>
      <c r="D54" s="141">
        <v>0</v>
      </c>
      <c r="E54" s="141">
        <v>0</v>
      </c>
      <c r="F54" s="141">
        <v>0</v>
      </c>
      <c r="G54" s="285">
        <v>0</v>
      </c>
      <c r="H54" s="147">
        <v>0</v>
      </c>
      <c r="I54" s="495">
        <f t="shared" si="2"/>
        <v>0</v>
      </c>
    </row>
    <row r="55" spans="1:10" x14ac:dyDescent="0.15">
      <c r="A55" s="135"/>
      <c r="B55" s="451" t="s">
        <v>884</v>
      </c>
      <c r="C55" s="135" t="s">
        <v>1064</v>
      </c>
      <c r="D55" s="141">
        <v>0</v>
      </c>
      <c r="E55" s="141">
        <v>0</v>
      </c>
      <c r="F55" s="141">
        <v>0</v>
      </c>
      <c r="G55" s="285">
        <v>0</v>
      </c>
      <c r="H55" s="147">
        <v>0</v>
      </c>
      <c r="I55" s="495">
        <f t="shared" si="2"/>
        <v>0</v>
      </c>
    </row>
    <row r="56" spans="1:10" x14ac:dyDescent="0.15">
      <c r="A56" s="135"/>
      <c r="B56" s="451" t="s">
        <v>1067</v>
      </c>
      <c r="C56" s="135" t="s">
        <v>1074</v>
      </c>
      <c r="D56" s="141">
        <v>0</v>
      </c>
      <c r="E56" s="141">
        <v>0</v>
      </c>
      <c r="F56" s="141">
        <v>0</v>
      </c>
      <c r="G56" s="285">
        <v>0</v>
      </c>
      <c r="H56" s="147">
        <v>0</v>
      </c>
      <c r="I56" s="495">
        <f t="shared" si="2"/>
        <v>0</v>
      </c>
    </row>
    <row r="57" spans="1:10" x14ac:dyDescent="0.15">
      <c r="A57" s="135"/>
      <c r="B57" s="451" t="s">
        <v>1072</v>
      </c>
      <c r="C57" s="135" t="s">
        <v>920</v>
      </c>
      <c r="D57" s="141">
        <v>0</v>
      </c>
      <c r="E57" s="141">
        <v>0</v>
      </c>
      <c r="F57" s="141">
        <v>0</v>
      </c>
      <c r="G57" s="285">
        <v>0</v>
      </c>
      <c r="H57" s="147">
        <v>0</v>
      </c>
      <c r="I57" s="495">
        <f t="shared" si="2"/>
        <v>0</v>
      </c>
    </row>
    <row r="58" spans="1:10" x14ac:dyDescent="0.15">
      <c r="A58" s="135"/>
      <c r="B58" s="716" t="s">
        <v>155</v>
      </c>
      <c r="C58" s="703" t="s">
        <v>178</v>
      </c>
      <c r="D58" s="141">
        <v>0</v>
      </c>
      <c r="E58" s="141">
        <v>0</v>
      </c>
      <c r="F58" s="141">
        <v>0</v>
      </c>
      <c r="G58" s="285">
        <v>0</v>
      </c>
      <c r="H58" s="147">
        <v>0</v>
      </c>
      <c r="I58" s="495">
        <f t="shared" ref="I58" si="3">SUM(G58+H58)</f>
        <v>0</v>
      </c>
    </row>
    <row r="59" spans="1:10" x14ac:dyDescent="0.15">
      <c r="A59" s="135"/>
      <c r="B59" s="451" t="s">
        <v>921</v>
      </c>
      <c r="C59" s="135" t="s">
        <v>955</v>
      </c>
      <c r="D59" s="141">
        <v>0</v>
      </c>
      <c r="E59" s="141">
        <v>0</v>
      </c>
      <c r="F59" s="141">
        <v>0</v>
      </c>
      <c r="G59" s="285">
        <v>0</v>
      </c>
      <c r="H59" s="147">
        <v>0</v>
      </c>
      <c r="I59" s="495">
        <f t="shared" si="2"/>
        <v>0</v>
      </c>
    </row>
    <row r="60" spans="1:10" x14ac:dyDescent="0.15">
      <c r="A60" s="135"/>
      <c r="B60" s="451" t="s">
        <v>922</v>
      </c>
      <c r="C60" s="135" t="s">
        <v>1123</v>
      </c>
      <c r="D60" s="141">
        <v>0</v>
      </c>
      <c r="E60" s="141">
        <v>0</v>
      </c>
      <c r="F60" s="141">
        <v>0</v>
      </c>
      <c r="G60" s="285">
        <v>0</v>
      </c>
      <c r="H60" s="147">
        <v>0</v>
      </c>
      <c r="I60" s="495">
        <f t="shared" si="2"/>
        <v>0</v>
      </c>
    </row>
    <row r="61" spans="1:10" x14ac:dyDescent="0.15">
      <c r="A61" s="135"/>
      <c r="B61" s="451" t="s">
        <v>923</v>
      </c>
      <c r="C61" s="135" t="s">
        <v>957</v>
      </c>
      <c r="D61" s="141">
        <v>0</v>
      </c>
      <c r="E61" s="141">
        <v>0</v>
      </c>
      <c r="F61" s="141">
        <v>0</v>
      </c>
      <c r="G61" s="285">
        <v>0</v>
      </c>
      <c r="H61" s="147">
        <v>0</v>
      </c>
      <c r="I61" s="495">
        <f t="shared" si="2"/>
        <v>0</v>
      </c>
    </row>
    <row r="62" spans="1:10" x14ac:dyDescent="0.15">
      <c r="A62" s="135"/>
      <c r="B62" s="451" t="s">
        <v>924</v>
      </c>
      <c r="C62" s="135" t="s">
        <v>958</v>
      </c>
      <c r="D62" s="141">
        <v>0</v>
      </c>
      <c r="E62" s="141">
        <v>0</v>
      </c>
      <c r="F62" s="141">
        <v>0</v>
      </c>
      <c r="G62" s="285">
        <v>0</v>
      </c>
      <c r="H62" s="147">
        <v>0</v>
      </c>
      <c r="I62" s="495">
        <f t="shared" si="2"/>
        <v>0</v>
      </c>
    </row>
    <row r="63" spans="1:10" x14ac:dyDescent="0.15">
      <c r="A63" s="135"/>
      <c r="B63" s="451" t="s">
        <v>925</v>
      </c>
      <c r="C63" s="135" t="s">
        <v>1128</v>
      </c>
      <c r="D63" s="141">
        <v>0</v>
      </c>
      <c r="E63" s="141">
        <v>0</v>
      </c>
      <c r="F63" s="141">
        <v>0</v>
      </c>
      <c r="G63" s="285">
        <v>0</v>
      </c>
      <c r="H63" s="147">
        <v>0</v>
      </c>
      <c r="I63" s="495">
        <f t="shared" si="2"/>
        <v>0</v>
      </c>
    </row>
    <row r="64" spans="1:10" x14ac:dyDescent="0.15">
      <c r="A64" s="135"/>
      <c r="B64" s="451" t="s">
        <v>926</v>
      </c>
      <c r="C64" s="135" t="s">
        <v>1129</v>
      </c>
      <c r="D64" s="141">
        <v>0</v>
      </c>
      <c r="E64" s="141">
        <v>0</v>
      </c>
      <c r="F64" s="141">
        <v>0</v>
      </c>
      <c r="G64" s="285">
        <v>0</v>
      </c>
      <c r="H64" s="147">
        <v>0</v>
      </c>
      <c r="I64" s="495">
        <f t="shared" si="2"/>
        <v>0</v>
      </c>
    </row>
    <row r="65" spans="1:9" x14ac:dyDescent="0.15">
      <c r="A65" s="135"/>
      <c r="B65" s="451" t="s">
        <v>927</v>
      </c>
      <c r="C65" s="135" t="s">
        <v>959</v>
      </c>
      <c r="D65" s="141">
        <v>0</v>
      </c>
      <c r="E65" s="141">
        <v>0</v>
      </c>
      <c r="F65" s="141">
        <v>0</v>
      </c>
      <c r="G65" s="285">
        <v>0</v>
      </c>
      <c r="H65" s="147">
        <v>0</v>
      </c>
      <c r="I65" s="495">
        <f t="shared" si="2"/>
        <v>0</v>
      </c>
    </row>
    <row r="66" spans="1:9" x14ac:dyDescent="0.15">
      <c r="A66" s="135"/>
      <c r="B66" s="451" t="s">
        <v>928</v>
      </c>
      <c r="C66" s="135" t="s">
        <v>961</v>
      </c>
      <c r="D66" s="141">
        <v>0</v>
      </c>
      <c r="E66" s="141">
        <v>0</v>
      </c>
      <c r="F66" s="141">
        <v>0</v>
      </c>
      <c r="G66" s="285">
        <v>0</v>
      </c>
      <c r="H66" s="147">
        <v>0</v>
      </c>
      <c r="I66" s="495">
        <f t="shared" si="2"/>
        <v>0</v>
      </c>
    </row>
    <row r="67" spans="1:9" x14ac:dyDescent="0.15">
      <c r="A67" s="135"/>
      <c r="B67" s="451" t="s">
        <v>962</v>
      </c>
      <c r="C67" s="135" t="s">
        <v>967</v>
      </c>
      <c r="D67" s="141">
        <v>0</v>
      </c>
      <c r="E67" s="141">
        <v>0</v>
      </c>
      <c r="F67" s="141">
        <v>0</v>
      </c>
      <c r="G67" s="285">
        <v>0</v>
      </c>
      <c r="H67" s="147">
        <v>0</v>
      </c>
      <c r="I67" s="495">
        <f t="shared" si="2"/>
        <v>0</v>
      </c>
    </row>
    <row r="68" spans="1:9" x14ac:dyDescent="0.15">
      <c r="A68" s="135"/>
      <c r="B68" s="451" t="s">
        <v>963</v>
      </c>
      <c r="C68" s="135" t="s">
        <v>1124</v>
      </c>
      <c r="D68" s="141">
        <v>0</v>
      </c>
      <c r="E68" s="141">
        <v>0</v>
      </c>
      <c r="F68" s="141">
        <v>0</v>
      </c>
      <c r="G68" s="285">
        <v>0</v>
      </c>
      <c r="H68" s="147">
        <v>0</v>
      </c>
      <c r="I68" s="495">
        <f t="shared" si="2"/>
        <v>0</v>
      </c>
    </row>
    <row r="69" spans="1:9" x14ac:dyDescent="0.15">
      <c r="A69" s="135"/>
      <c r="B69" s="451" t="s">
        <v>964</v>
      </c>
      <c r="C69" s="135" t="s">
        <v>1094</v>
      </c>
      <c r="D69" s="141">
        <v>0</v>
      </c>
      <c r="E69" s="141">
        <v>0</v>
      </c>
      <c r="F69" s="141">
        <v>0</v>
      </c>
      <c r="G69" s="285">
        <v>0</v>
      </c>
      <c r="H69" s="147">
        <v>0</v>
      </c>
      <c r="I69" s="495">
        <f t="shared" si="2"/>
        <v>0</v>
      </c>
    </row>
    <row r="70" spans="1:9" x14ac:dyDescent="0.15">
      <c r="A70" s="135"/>
      <c r="B70" s="451" t="s">
        <v>965</v>
      </c>
      <c r="C70" s="135" t="s">
        <v>1095</v>
      </c>
      <c r="D70" s="141">
        <v>0</v>
      </c>
      <c r="E70" s="141">
        <v>0</v>
      </c>
      <c r="F70" s="141">
        <v>0</v>
      </c>
      <c r="G70" s="285">
        <v>0</v>
      </c>
      <c r="H70" s="147">
        <v>0</v>
      </c>
      <c r="I70" s="495">
        <f t="shared" si="2"/>
        <v>0</v>
      </c>
    </row>
    <row r="71" spans="1:9" x14ac:dyDescent="0.15">
      <c r="A71" s="135"/>
      <c r="B71" s="451" t="s">
        <v>885</v>
      </c>
      <c r="C71" s="135" t="s">
        <v>1096</v>
      </c>
      <c r="D71" s="141">
        <v>0</v>
      </c>
      <c r="E71" s="141">
        <v>0</v>
      </c>
      <c r="F71" s="141">
        <v>0</v>
      </c>
      <c r="G71" s="285">
        <v>0</v>
      </c>
      <c r="H71" s="147">
        <v>0</v>
      </c>
      <c r="I71" s="495">
        <f t="shared" si="2"/>
        <v>0</v>
      </c>
    </row>
    <row r="72" spans="1:9" x14ac:dyDescent="0.15">
      <c r="A72" s="135"/>
      <c r="B72" s="451" t="s">
        <v>966</v>
      </c>
      <c r="C72" s="135" t="s">
        <v>1097</v>
      </c>
      <c r="D72" s="141">
        <v>0</v>
      </c>
      <c r="E72" s="141">
        <v>0</v>
      </c>
      <c r="F72" s="141">
        <v>0</v>
      </c>
      <c r="G72" s="285">
        <v>0</v>
      </c>
      <c r="H72" s="147">
        <v>0</v>
      </c>
      <c r="I72" s="495">
        <f t="shared" si="2"/>
        <v>0</v>
      </c>
    </row>
    <row r="73" spans="1:9" x14ac:dyDescent="0.15">
      <c r="A73" s="135"/>
      <c r="B73" s="451" t="s">
        <v>886</v>
      </c>
      <c r="C73" s="135" t="s">
        <v>1100</v>
      </c>
      <c r="D73" s="141">
        <v>0</v>
      </c>
      <c r="E73" s="141">
        <v>0</v>
      </c>
      <c r="F73" s="141">
        <v>0</v>
      </c>
      <c r="G73" s="285">
        <v>0</v>
      </c>
      <c r="H73" s="147">
        <v>0</v>
      </c>
      <c r="I73" s="495">
        <f t="shared" si="2"/>
        <v>0</v>
      </c>
    </row>
    <row r="74" spans="1:9" x14ac:dyDescent="0.15">
      <c r="A74" s="135"/>
      <c r="B74" s="451" t="s">
        <v>116</v>
      </c>
      <c r="C74" s="135" t="s">
        <v>1105</v>
      </c>
      <c r="D74" s="141">
        <v>0</v>
      </c>
      <c r="E74" s="141">
        <v>0</v>
      </c>
      <c r="F74" s="141">
        <v>0</v>
      </c>
      <c r="G74" s="285">
        <v>0</v>
      </c>
      <c r="H74" s="147">
        <v>0</v>
      </c>
      <c r="I74" s="495">
        <f t="shared" si="2"/>
        <v>0</v>
      </c>
    </row>
    <row r="75" spans="1:9" x14ac:dyDescent="0.15">
      <c r="A75" s="135"/>
      <c r="B75" s="451" t="s">
        <v>112</v>
      </c>
      <c r="C75" s="135" t="s">
        <v>1110</v>
      </c>
      <c r="D75" s="141">
        <v>0</v>
      </c>
      <c r="E75" s="141">
        <v>0</v>
      </c>
      <c r="F75" s="141">
        <v>0</v>
      </c>
      <c r="G75" s="285">
        <v>0</v>
      </c>
      <c r="H75" s="147">
        <v>0</v>
      </c>
      <c r="I75" s="495">
        <f t="shared" si="2"/>
        <v>0</v>
      </c>
    </row>
    <row r="76" spans="1:9" x14ac:dyDescent="0.15">
      <c r="A76" s="135"/>
      <c r="B76" s="451" t="s">
        <v>887</v>
      </c>
      <c r="C76" s="135" t="s">
        <v>1116</v>
      </c>
      <c r="D76" s="141">
        <v>0</v>
      </c>
      <c r="E76" s="141">
        <v>0</v>
      </c>
      <c r="F76" s="141">
        <v>0</v>
      </c>
      <c r="G76" s="285">
        <v>0</v>
      </c>
      <c r="H76" s="147">
        <v>0</v>
      </c>
      <c r="I76" s="495">
        <f t="shared" si="2"/>
        <v>0</v>
      </c>
    </row>
    <row r="77" spans="1:9" x14ac:dyDescent="0.15">
      <c r="A77" s="135"/>
      <c r="B77" s="451" t="s">
        <v>1112</v>
      </c>
      <c r="C77" s="135" t="s">
        <v>1117</v>
      </c>
      <c r="D77" s="141">
        <v>0</v>
      </c>
      <c r="E77" s="141">
        <v>0</v>
      </c>
      <c r="F77" s="141">
        <v>0</v>
      </c>
      <c r="G77" s="285">
        <v>0</v>
      </c>
      <c r="H77" s="147">
        <v>0</v>
      </c>
      <c r="I77" s="495">
        <f t="shared" si="2"/>
        <v>0</v>
      </c>
    </row>
    <row r="78" spans="1:9" x14ac:dyDescent="0.15">
      <c r="A78" s="135"/>
      <c r="B78" s="451" t="s">
        <v>1113</v>
      </c>
      <c r="C78" s="135" t="s">
        <v>1118</v>
      </c>
      <c r="D78" s="141">
        <v>0</v>
      </c>
      <c r="E78" s="141">
        <v>0</v>
      </c>
      <c r="F78" s="141">
        <v>0</v>
      </c>
      <c r="G78" s="285">
        <v>0</v>
      </c>
      <c r="H78" s="147">
        <v>0</v>
      </c>
      <c r="I78" s="495">
        <f t="shared" si="2"/>
        <v>0</v>
      </c>
    </row>
    <row r="79" spans="1:9" ht="11.25" thickBot="1" x14ac:dyDescent="0.2">
      <c r="A79" s="135"/>
      <c r="B79" s="451" t="s">
        <v>1114</v>
      </c>
      <c r="C79" s="135" t="s">
        <v>1119</v>
      </c>
      <c r="D79" s="141">
        <v>0</v>
      </c>
      <c r="E79" s="141">
        <v>0</v>
      </c>
      <c r="F79" s="141">
        <v>0</v>
      </c>
      <c r="G79" s="285">
        <v>0</v>
      </c>
      <c r="H79" s="147">
        <v>0</v>
      </c>
      <c r="I79" s="495">
        <f t="shared" si="2"/>
        <v>0</v>
      </c>
    </row>
    <row r="80" spans="1:9" ht="12" thickTop="1" thickBot="1" x14ac:dyDescent="0.2">
      <c r="A80" s="135"/>
      <c r="B80" s="451"/>
      <c r="C80" s="135" t="s">
        <v>1011</v>
      </c>
      <c r="D80" s="166">
        <f>SUM(D47:D79)</f>
        <v>0</v>
      </c>
      <c r="E80" s="166">
        <f>SUM(E47:E79)</f>
        <v>0</v>
      </c>
      <c r="F80" s="166">
        <f>SUM(F47:F79)</f>
        <v>0</v>
      </c>
      <c r="G80" s="166">
        <f>SUM(G47:G79)</f>
        <v>0</v>
      </c>
      <c r="H80" s="166">
        <f>SUM(H47:H79)</f>
        <v>0</v>
      </c>
      <c r="I80" s="166">
        <f t="shared" si="2"/>
        <v>0</v>
      </c>
    </row>
    <row r="81" spans="1:10" ht="11.25" thickTop="1" x14ac:dyDescent="0.15">
      <c r="A81" s="135"/>
      <c r="B81" s="135"/>
      <c r="C81" s="135"/>
      <c r="D81" s="14"/>
      <c r="E81" s="14"/>
      <c r="F81" s="14"/>
      <c r="G81" s="14"/>
      <c r="H81" s="14"/>
      <c r="I81" s="491"/>
    </row>
    <row r="82" spans="1:10" x14ac:dyDescent="0.15">
      <c r="A82" s="442" t="s">
        <v>1009</v>
      </c>
      <c r="B82" s="442"/>
      <c r="C82" s="442"/>
      <c r="D82" s="14"/>
      <c r="E82" s="14"/>
      <c r="F82" s="14"/>
      <c r="G82" s="14"/>
      <c r="H82" s="14"/>
      <c r="I82" s="491"/>
    </row>
    <row r="83" spans="1:10" s="416" customFormat="1" hidden="1" x14ac:dyDescent="0.15">
      <c r="B83" s="453" t="s">
        <v>880</v>
      </c>
      <c r="C83" s="454" t="s">
        <v>1164</v>
      </c>
      <c r="D83" s="308">
        <v>0</v>
      </c>
      <c r="E83" s="308">
        <v>0</v>
      </c>
      <c r="F83" s="308">
        <v>0</v>
      </c>
      <c r="G83" s="458"/>
      <c r="H83" s="457">
        <v>0</v>
      </c>
      <c r="I83" s="494">
        <f>SUM(G83+H83)</f>
        <v>0</v>
      </c>
    </row>
    <row r="84" spans="1:10" s="416" customFormat="1" x14ac:dyDescent="0.15">
      <c r="B84" s="453" t="s">
        <v>880</v>
      </c>
      <c r="C84" s="454" t="s">
        <v>337</v>
      </c>
      <c r="D84" s="308">
        <v>0</v>
      </c>
      <c r="E84" s="308">
        <v>0</v>
      </c>
      <c r="F84" s="308">
        <v>0</v>
      </c>
      <c r="G84" s="308">
        <v>0</v>
      </c>
      <c r="H84" s="457">
        <v>0</v>
      </c>
      <c r="I84" s="494">
        <f>SUM(G84+H84)</f>
        <v>0</v>
      </c>
    </row>
    <row r="85" spans="1:10" s="416" customFormat="1" hidden="1" x14ac:dyDescent="0.15">
      <c r="A85" s="454"/>
      <c r="B85" s="453" t="s">
        <v>881</v>
      </c>
      <c r="C85" s="454" t="s">
        <v>382</v>
      </c>
      <c r="D85" s="308">
        <v>0</v>
      </c>
      <c r="E85" s="308">
        <v>0</v>
      </c>
      <c r="F85" s="308">
        <v>0</v>
      </c>
      <c r="G85" s="459"/>
      <c r="H85" s="457">
        <v>0</v>
      </c>
      <c r="I85" s="494">
        <f>SUM(G85+H85)</f>
        <v>0</v>
      </c>
    </row>
    <row r="86" spans="1:10" x14ac:dyDescent="0.15">
      <c r="A86" s="135"/>
      <c r="B86" s="451" t="s">
        <v>881</v>
      </c>
      <c r="C86" s="135" t="s">
        <v>338</v>
      </c>
      <c r="D86" s="144">
        <v>0</v>
      </c>
      <c r="E86" s="144">
        <v>0</v>
      </c>
      <c r="F86" s="144">
        <v>0</v>
      </c>
      <c r="G86" s="144">
        <v>0</v>
      </c>
      <c r="H86" s="147">
        <v>0</v>
      </c>
      <c r="I86" s="495">
        <f>SUM(G86+H86)</f>
        <v>0</v>
      </c>
      <c r="J86" s="416"/>
    </row>
    <row r="87" spans="1:10" x14ac:dyDescent="0.15">
      <c r="A87" s="135"/>
      <c r="B87" s="451" t="s">
        <v>882</v>
      </c>
      <c r="C87" s="135" t="s">
        <v>1058</v>
      </c>
      <c r="D87" s="141">
        <v>0</v>
      </c>
      <c r="E87" s="141">
        <v>0</v>
      </c>
      <c r="F87" s="141">
        <v>0</v>
      </c>
      <c r="G87" s="285">
        <v>0</v>
      </c>
      <c r="H87" s="147">
        <v>0</v>
      </c>
      <c r="I87" s="495">
        <f t="shared" ref="I87:I116" si="4">SUM(G87+H87)</f>
        <v>0</v>
      </c>
    </row>
    <row r="88" spans="1:10" x14ac:dyDescent="0.15">
      <c r="A88" s="135"/>
      <c r="B88" s="451" t="s">
        <v>883</v>
      </c>
      <c r="C88" s="135" t="s">
        <v>1059</v>
      </c>
      <c r="D88" s="141">
        <v>0</v>
      </c>
      <c r="E88" s="141">
        <v>0</v>
      </c>
      <c r="F88" s="141">
        <v>0</v>
      </c>
      <c r="G88" s="285">
        <v>0</v>
      </c>
      <c r="H88" s="147">
        <v>0</v>
      </c>
      <c r="I88" s="495">
        <f t="shared" si="4"/>
        <v>0</v>
      </c>
    </row>
    <row r="89" spans="1:10" x14ac:dyDescent="0.15">
      <c r="A89" s="135"/>
      <c r="B89" s="451" t="s">
        <v>1060</v>
      </c>
      <c r="C89" s="135" t="s">
        <v>1061</v>
      </c>
      <c r="D89" s="141">
        <v>0</v>
      </c>
      <c r="E89" s="141">
        <v>0</v>
      </c>
      <c r="F89" s="141">
        <v>0</v>
      </c>
      <c r="G89" s="285">
        <v>0</v>
      </c>
      <c r="H89" s="147">
        <v>0</v>
      </c>
      <c r="I89" s="495">
        <f t="shared" si="4"/>
        <v>0</v>
      </c>
    </row>
    <row r="90" spans="1:10" x14ac:dyDescent="0.15">
      <c r="A90" s="135"/>
      <c r="B90" s="451" t="s">
        <v>1062</v>
      </c>
      <c r="C90" s="135" t="s">
        <v>1063</v>
      </c>
      <c r="D90" s="141">
        <v>0</v>
      </c>
      <c r="E90" s="141">
        <v>0</v>
      </c>
      <c r="F90" s="141">
        <v>0</v>
      </c>
      <c r="G90" s="285">
        <v>0</v>
      </c>
      <c r="H90" s="147">
        <v>0</v>
      </c>
      <c r="I90" s="495">
        <f t="shared" si="4"/>
        <v>0</v>
      </c>
    </row>
    <row r="91" spans="1:10" x14ac:dyDescent="0.15">
      <c r="A91" s="135"/>
      <c r="B91" s="451" t="s">
        <v>884</v>
      </c>
      <c r="C91" s="135" t="s">
        <v>1064</v>
      </c>
      <c r="D91" s="141">
        <v>0</v>
      </c>
      <c r="E91" s="141">
        <v>0</v>
      </c>
      <c r="F91" s="141">
        <v>0</v>
      </c>
      <c r="G91" s="285">
        <v>0</v>
      </c>
      <c r="H91" s="147">
        <v>0</v>
      </c>
      <c r="I91" s="495">
        <f t="shared" si="4"/>
        <v>0</v>
      </c>
    </row>
    <row r="92" spans="1:10" x14ac:dyDescent="0.15">
      <c r="A92" s="135"/>
      <c r="B92" s="451" t="s">
        <v>1067</v>
      </c>
      <c r="C92" s="135" t="s">
        <v>1074</v>
      </c>
      <c r="D92" s="141">
        <v>0</v>
      </c>
      <c r="E92" s="141">
        <v>0</v>
      </c>
      <c r="F92" s="141">
        <v>0</v>
      </c>
      <c r="G92" s="285">
        <v>0</v>
      </c>
      <c r="H92" s="147">
        <v>0</v>
      </c>
      <c r="I92" s="495">
        <f t="shared" si="4"/>
        <v>0</v>
      </c>
    </row>
    <row r="93" spans="1:10" x14ac:dyDescent="0.15">
      <c r="A93" s="135"/>
      <c r="B93" s="451" t="s">
        <v>1072</v>
      </c>
      <c r="C93" s="135" t="s">
        <v>920</v>
      </c>
      <c r="D93" s="141">
        <v>0</v>
      </c>
      <c r="E93" s="141">
        <v>0</v>
      </c>
      <c r="F93" s="141">
        <v>0</v>
      </c>
      <c r="G93" s="285">
        <v>0</v>
      </c>
      <c r="H93" s="147">
        <v>0</v>
      </c>
      <c r="I93" s="495">
        <f t="shared" si="4"/>
        <v>0</v>
      </c>
    </row>
    <row r="94" spans="1:10" x14ac:dyDescent="0.15">
      <c r="A94" s="135"/>
      <c r="B94" s="716" t="s">
        <v>155</v>
      </c>
      <c r="C94" s="703" t="s">
        <v>178</v>
      </c>
      <c r="D94" s="141">
        <v>0</v>
      </c>
      <c r="E94" s="141">
        <v>0</v>
      </c>
      <c r="F94" s="141">
        <v>0</v>
      </c>
      <c r="G94" s="285">
        <v>0</v>
      </c>
      <c r="H94" s="147">
        <v>0</v>
      </c>
      <c r="I94" s="495">
        <f t="shared" ref="I94" si="5">SUM(G94+H94)</f>
        <v>0</v>
      </c>
    </row>
    <row r="95" spans="1:10" x14ac:dyDescent="0.15">
      <c r="A95" s="135"/>
      <c r="B95" s="451" t="s">
        <v>921</v>
      </c>
      <c r="C95" s="135" t="s">
        <v>955</v>
      </c>
      <c r="D95" s="141">
        <v>0</v>
      </c>
      <c r="E95" s="141">
        <v>0</v>
      </c>
      <c r="F95" s="141">
        <v>0</v>
      </c>
      <c r="G95" s="285">
        <v>0</v>
      </c>
      <c r="H95" s="147">
        <v>0</v>
      </c>
      <c r="I95" s="495">
        <f t="shared" si="4"/>
        <v>0</v>
      </c>
    </row>
    <row r="96" spans="1:10" x14ac:dyDescent="0.15">
      <c r="A96" s="135"/>
      <c r="B96" s="451" t="s">
        <v>922</v>
      </c>
      <c r="C96" s="135" t="s">
        <v>1123</v>
      </c>
      <c r="D96" s="141">
        <v>0</v>
      </c>
      <c r="E96" s="141">
        <v>0</v>
      </c>
      <c r="F96" s="141">
        <v>0</v>
      </c>
      <c r="G96" s="285">
        <v>0</v>
      </c>
      <c r="H96" s="147">
        <v>0</v>
      </c>
      <c r="I96" s="495">
        <f t="shared" si="4"/>
        <v>0</v>
      </c>
    </row>
    <row r="97" spans="1:9" x14ac:dyDescent="0.15">
      <c r="A97" s="135"/>
      <c r="B97" s="451" t="s">
        <v>923</v>
      </c>
      <c r="C97" s="135" t="s">
        <v>957</v>
      </c>
      <c r="D97" s="141">
        <v>0</v>
      </c>
      <c r="E97" s="141">
        <v>0</v>
      </c>
      <c r="F97" s="141">
        <v>0</v>
      </c>
      <c r="G97" s="285">
        <v>0</v>
      </c>
      <c r="H97" s="147">
        <v>0</v>
      </c>
      <c r="I97" s="495">
        <f t="shared" si="4"/>
        <v>0</v>
      </c>
    </row>
    <row r="98" spans="1:9" x14ac:dyDescent="0.15">
      <c r="A98" s="135"/>
      <c r="B98" s="451" t="s">
        <v>924</v>
      </c>
      <c r="C98" s="135" t="s">
        <v>958</v>
      </c>
      <c r="D98" s="141">
        <v>0</v>
      </c>
      <c r="E98" s="141">
        <v>0</v>
      </c>
      <c r="F98" s="141">
        <v>0</v>
      </c>
      <c r="G98" s="285">
        <v>0</v>
      </c>
      <c r="H98" s="147">
        <v>0</v>
      </c>
      <c r="I98" s="495">
        <f t="shared" si="4"/>
        <v>0</v>
      </c>
    </row>
    <row r="99" spans="1:9" x14ac:dyDescent="0.15">
      <c r="A99" s="135"/>
      <c r="B99" s="451" t="s">
        <v>925</v>
      </c>
      <c r="C99" s="135" t="s">
        <v>1128</v>
      </c>
      <c r="D99" s="141">
        <v>0</v>
      </c>
      <c r="E99" s="141">
        <v>0</v>
      </c>
      <c r="F99" s="141">
        <v>0</v>
      </c>
      <c r="G99" s="285">
        <v>0</v>
      </c>
      <c r="H99" s="147">
        <v>0</v>
      </c>
      <c r="I99" s="495">
        <f t="shared" si="4"/>
        <v>0</v>
      </c>
    </row>
    <row r="100" spans="1:9" x14ac:dyDescent="0.15">
      <c r="A100" s="135"/>
      <c r="B100" s="451" t="s">
        <v>926</v>
      </c>
      <c r="C100" s="135" t="s">
        <v>1129</v>
      </c>
      <c r="D100" s="141">
        <v>0</v>
      </c>
      <c r="E100" s="141">
        <v>0</v>
      </c>
      <c r="F100" s="141">
        <v>0</v>
      </c>
      <c r="G100" s="285">
        <v>0</v>
      </c>
      <c r="H100" s="147">
        <v>0</v>
      </c>
      <c r="I100" s="495">
        <f t="shared" si="4"/>
        <v>0</v>
      </c>
    </row>
    <row r="101" spans="1:9" x14ac:dyDescent="0.15">
      <c r="A101" s="135"/>
      <c r="B101" s="451" t="s">
        <v>927</v>
      </c>
      <c r="C101" s="135" t="s">
        <v>959</v>
      </c>
      <c r="D101" s="141">
        <v>0</v>
      </c>
      <c r="E101" s="141">
        <v>0</v>
      </c>
      <c r="F101" s="141">
        <v>0</v>
      </c>
      <c r="G101" s="285">
        <v>0</v>
      </c>
      <c r="H101" s="147">
        <v>0</v>
      </c>
      <c r="I101" s="495">
        <f t="shared" si="4"/>
        <v>0</v>
      </c>
    </row>
    <row r="102" spans="1:9" x14ac:dyDescent="0.15">
      <c r="A102" s="135"/>
      <c r="B102" s="451" t="s">
        <v>928</v>
      </c>
      <c r="C102" s="135" t="s">
        <v>961</v>
      </c>
      <c r="D102" s="141">
        <v>0</v>
      </c>
      <c r="E102" s="141">
        <v>0</v>
      </c>
      <c r="F102" s="141">
        <v>0</v>
      </c>
      <c r="G102" s="285">
        <v>0</v>
      </c>
      <c r="H102" s="147">
        <v>0</v>
      </c>
      <c r="I102" s="495">
        <f t="shared" si="4"/>
        <v>0</v>
      </c>
    </row>
    <row r="103" spans="1:9" x14ac:dyDescent="0.15">
      <c r="A103" s="135"/>
      <c r="B103" s="451" t="s">
        <v>962</v>
      </c>
      <c r="C103" s="135" t="s">
        <v>967</v>
      </c>
      <c r="D103" s="141">
        <v>0</v>
      </c>
      <c r="E103" s="141">
        <v>0</v>
      </c>
      <c r="F103" s="141">
        <v>0</v>
      </c>
      <c r="G103" s="285">
        <v>0</v>
      </c>
      <c r="H103" s="147">
        <v>0</v>
      </c>
      <c r="I103" s="495">
        <f t="shared" si="4"/>
        <v>0</v>
      </c>
    </row>
    <row r="104" spans="1:9" x14ac:dyDescent="0.15">
      <c r="A104" s="135"/>
      <c r="B104" s="451" t="s">
        <v>963</v>
      </c>
      <c r="C104" s="135" t="s">
        <v>1124</v>
      </c>
      <c r="D104" s="141">
        <v>0</v>
      </c>
      <c r="E104" s="141">
        <v>0</v>
      </c>
      <c r="F104" s="141">
        <v>0</v>
      </c>
      <c r="G104" s="285">
        <v>0</v>
      </c>
      <c r="H104" s="147">
        <v>0</v>
      </c>
      <c r="I104" s="495">
        <f t="shared" si="4"/>
        <v>0</v>
      </c>
    </row>
    <row r="105" spans="1:9" x14ac:dyDescent="0.15">
      <c r="A105" s="135"/>
      <c r="B105" s="451" t="s">
        <v>964</v>
      </c>
      <c r="C105" s="135" t="s">
        <v>1094</v>
      </c>
      <c r="D105" s="141">
        <v>0</v>
      </c>
      <c r="E105" s="141">
        <v>0</v>
      </c>
      <c r="F105" s="141">
        <v>0</v>
      </c>
      <c r="G105" s="285">
        <v>0</v>
      </c>
      <c r="H105" s="147">
        <v>0</v>
      </c>
      <c r="I105" s="495">
        <f t="shared" si="4"/>
        <v>0</v>
      </c>
    </row>
    <row r="106" spans="1:9" x14ac:dyDescent="0.15">
      <c r="A106" s="135"/>
      <c r="B106" s="451" t="s">
        <v>965</v>
      </c>
      <c r="C106" s="135" t="s">
        <v>1095</v>
      </c>
      <c r="D106" s="141">
        <v>0</v>
      </c>
      <c r="E106" s="141">
        <v>0</v>
      </c>
      <c r="F106" s="141">
        <v>0</v>
      </c>
      <c r="G106" s="285">
        <v>0</v>
      </c>
      <c r="H106" s="147">
        <v>0</v>
      </c>
      <c r="I106" s="495">
        <f t="shared" si="4"/>
        <v>0</v>
      </c>
    </row>
    <row r="107" spans="1:9" x14ac:dyDescent="0.15">
      <c r="A107" s="135"/>
      <c r="B107" s="451" t="s">
        <v>885</v>
      </c>
      <c r="C107" s="135" t="s">
        <v>1096</v>
      </c>
      <c r="D107" s="141">
        <v>0</v>
      </c>
      <c r="E107" s="141">
        <v>0</v>
      </c>
      <c r="F107" s="141">
        <v>0</v>
      </c>
      <c r="G107" s="285">
        <v>0</v>
      </c>
      <c r="H107" s="147">
        <v>0</v>
      </c>
      <c r="I107" s="495">
        <f t="shared" si="4"/>
        <v>0</v>
      </c>
    </row>
    <row r="108" spans="1:9" x14ac:dyDescent="0.15">
      <c r="A108" s="135"/>
      <c r="B108" s="451" t="s">
        <v>966</v>
      </c>
      <c r="C108" s="135" t="s">
        <v>1097</v>
      </c>
      <c r="D108" s="141">
        <v>0</v>
      </c>
      <c r="E108" s="141">
        <v>0</v>
      </c>
      <c r="F108" s="141">
        <v>0</v>
      </c>
      <c r="G108" s="285">
        <v>0</v>
      </c>
      <c r="H108" s="147">
        <v>0</v>
      </c>
      <c r="I108" s="495">
        <f t="shared" si="4"/>
        <v>0</v>
      </c>
    </row>
    <row r="109" spans="1:9" x14ac:dyDescent="0.15">
      <c r="A109" s="135"/>
      <c r="B109" s="451" t="s">
        <v>886</v>
      </c>
      <c r="C109" s="135" t="s">
        <v>1100</v>
      </c>
      <c r="D109" s="141">
        <v>0</v>
      </c>
      <c r="E109" s="141">
        <v>0</v>
      </c>
      <c r="F109" s="141">
        <v>0</v>
      </c>
      <c r="G109" s="285">
        <v>0</v>
      </c>
      <c r="H109" s="147">
        <v>0</v>
      </c>
      <c r="I109" s="495">
        <f t="shared" si="4"/>
        <v>0</v>
      </c>
    </row>
    <row r="110" spans="1:9" x14ac:dyDescent="0.15">
      <c r="A110" s="135"/>
      <c r="B110" s="451" t="s">
        <v>116</v>
      </c>
      <c r="C110" s="135" t="s">
        <v>1105</v>
      </c>
      <c r="D110" s="141">
        <v>0</v>
      </c>
      <c r="E110" s="141">
        <v>0</v>
      </c>
      <c r="F110" s="141">
        <v>0</v>
      </c>
      <c r="G110" s="285">
        <v>0</v>
      </c>
      <c r="H110" s="147">
        <v>0</v>
      </c>
      <c r="I110" s="495">
        <f t="shared" si="4"/>
        <v>0</v>
      </c>
    </row>
    <row r="111" spans="1:9" x14ac:dyDescent="0.15">
      <c r="A111" s="135"/>
      <c r="B111" s="451" t="s">
        <v>112</v>
      </c>
      <c r="C111" s="135" t="s">
        <v>1110</v>
      </c>
      <c r="D111" s="141">
        <v>0</v>
      </c>
      <c r="E111" s="141">
        <v>0</v>
      </c>
      <c r="F111" s="141">
        <v>0</v>
      </c>
      <c r="G111" s="285">
        <v>0</v>
      </c>
      <c r="H111" s="147">
        <v>0</v>
      </c>
      <c r="I111" s="495">
        <f t="shared" si="4"/>
        <v>0</v>
      </c>
    </row>
    <row r="112" spans="1:9" x14ac:dyDescent="0.15">
      <c r="A112" s="135"/>
      <c r="B112" s="451" t="s">
        <v>887</v>
      </c>
      <c r="C112" s="135" t="s">
        <v>1116</v>
      </c>
      <c r="D112" s="141">
        <v>0</v>
      </c>
      <c r="E112" s="141">
        <v>0</v>
      </c>
      <c r="F112" s="141">
        <v>0</v>
      </c>
      <c r="G112" s="285">
        <v>0</v>
      </c>
      <c r="H112" s="147">
        <v>0</v>
      </c>
      <c r="I112" s="495">
        <f t="shared" si="4"/>
        <v>0</v>
      </c>
    </row>
    <row r="113" spans="1:10" x14ac:dyDescent="0.15">
      <c r="A113" s="135"/>
      <c r="B113" s="451" t="s">
        <v>1112</v>
      </c>
      <c r="C113" s="135" t="s">
        <v>1117</v>
      </c>
      <c r="D113" s="141">
        <v>0</v>
      </c>
      <c r="E113" s="141">
        <v>0</v>
      </c>
      <c r="F113" s="141">
        <v>0</v>
      </c>
      <c r="G113" s="285">
        <v>0</v>
      </c>
      <c r="H113" s="147">
        <v>0</v>
      </c>
      <c r="I113" s="495">
        <f t="shared" si="4"/>
        <v>0</v>
      </c>
    </row>
    <row r="114" spans="1:10" x14ac:dyDescent="0.15">
      <c r="A114" s="135"/>
      <c r="B114" s="451" t="s">
        <v>1113</v>
      </c>
      <c r="C114" s="135" t="s">
        <v>1118</v>
      </c>
      <c r="D114" s="141">
        <v>0</v>
      </c>
      <c r="E114" s="141">
        <v>0</v>
      </c>
      <c r="F114" s="141">
        <v>0</v>
      </c>
      <c r="G114" s="285">
        <v>0</v>
      </c>
      <c r="H114" s="147">
        <v>0</v>
      </c>
      <c r="I114" s="495">
        <f t="shared" si="4"/>
        <v>0</v>
      </c>
    </row>
    <row r="115" spans="1:10" ht="11.25" thickBot="1" x14ac:dyDescent="0.2">
      <c r="A115" s="135"/>
      <c r="B115" s="451" t="s">
        <v>1114</v>
      </c>
      <c r="C115" s="135" t="s">
        <v>1119</v>
      </c>
      <c r="D115" s="141">
        <v>0</v>
      </c>
      <c r="E115" s="141">
        <v>0</v>
      </c>
      <c r="F115" s="141">
        <v>0</v>
      </c>
      <c r="G115" s="285">
        <v>0</v>
      </c>
      <c r="H115" s="147">
        <v>0</v>
      </c>
      <c r="I115" s="495">
        <f t="shared" si="4"/>
        <v>0</v>
      </c>
    </row>
    <row r="116" spans="1:10" ht="12" thickTop="1" thickBot="1" x14ac:dyDescent="0.2">
      <c r="A116" s="135"/>
      <c r="B116" s="451"/>
      <c r="C116" s="135" t="s">
        <v>1006</v>
      </c>
      <c r="D116" s="166">
        <f>SUM(D83:D115)</f>
        <v>0</v>
      </c>
      <c r="E116" s="166">
        <f>SUM(E83:E115)</f>
        <v>0</v>
      </c>
      <c r="F116" s="166">
        <f>SUM(F83:F115)</f>
        <v>0</v>
      </c>
      <c r="G116" s="166">
        <f>SUM(G83:G115)</f>
        <v>0</v>
      </c>
      <c r="H116" s="166">
        <f>SUM(H83:H115)</f>
        <v>0</v>
      </c>
      <c r="I116" s="166">
        <f t="shared" si="4"/>
        <v>0</v>
      </c>
    </row>
    <row r="117" spans="1:10" ht="11.25" thickTop="1" x14ac:dyDescent="0.15">
      <c r="A117" s="442"/>
      <c r="B117" s="442"/>
      <c r="C117" s="442"/>
      <c r="D117" s="14"/>
      <c r="E117" s="14"/>
      <c r="F117" s="14"/>
      <c r="G117" s="14"/>
      <c r="H117" s="14"/>
      <c r="I117" s="491"/>
    </row>
    <row r="118" spans="1:10" x14ac:dyDescent="0.15">
      <c r="A118" s="442" t="s">
        <v>1007</v>
      </c>
      <c r="B118" s="442"/>
      <c r="C118" s="442"/>
      <c r="D118" s="14"/>
      <c r="E118" s="14"/>
      <c r="F118" s="14"/>
      <c r="G118" s="14"/>
      <c r="H118" s="14"/>
      <c r="I118" s="491"/>
    </row>
    <row r="119" spans="1:10" s="416" customFormat="1" hidden="1" x14ac:dyDescent="0.15">
      <c r="B119" s="453" t="s">
        <v>880</v>
      </c>
      <c r="C119" s="454" t="s">
        <v>1164</v>
      </c>
      <c r="D119" s="308">
        <v>0</v>
      </c>
      <c r="E119" s="308">
        <v>0</v>
      </c>
      <c r="F119" s="308">
        <v>0</v>
      </c>
      <c r="G119" s="458"/>
      <c r="H119" s="457">
        <v>0</v>
      </c>
      <c r="I119" s="494">
        <f>SUM(G119+H119)</f>
        <v>0</v>
      </c>
    </row>
    <row r="120" spans="1:10" s="416" customFormat="1" x14ac:dyDescent="0.15">
      <c r="B120" s="453" t="s">
        <v>880</v>
      </c>
      <c r="C120" s="454" t="s">
        <v>337</v>
      </c>
      <c r="D120" s="308">
        <v>0</v>
      </c>
      <c r="E120" s="308">
        <v>0</v>
      </c>
      <c r="F120" s="308">
        <v>0</v>
      </c>
      <c r="G120" s="308">
        <v>0</v>
      </c>
      <c r="H120" s="457">
        <v>0</v>
      </c>
      <c r="I120" s="494">
        <f>SUM(G120+H120)</f>
        <v>0</v>
      </c>
    </row>
    <row r="121" spans="1:10" s="416" customFormat="1" hidden="1" x14ac:dyDescent="0.15">
      <c r="A121" s="454"/>
      <c r="B121" s="453" t="s">
        <v>881</v>
      </c>
      <c r="C121" s="454" t="s">
        <v>382</v>
      </c>
      <c r="D121" s="308">
        <v>0</v>
      </c>
      <c r="E121" s="308">
        <v>0</v>
      </c>
      <c r="F121" s="308">
        <v>0</v>
      </c>
      <c r="G121" s="459"/>
      <c r="H121" s="457">
        <v>0</v>
      </c>
      <c r="I121" s="494">
        <f>SUM(G121+H121)</f>
        <v>0</v>
      </c>
    </row>
    <row r="122" spans="1:10" x14ac:dyDescent="0.15">
      <c r="A122" s="135"/>
      <c r="B122" s="451" t="s">
        <v>881</v>
      </c>
      <c r="C122" s="135" t="s">
        <v>338</v>
      </c>
      <c r="D122" s="144">
        <v>0</v>
      </c>
      <c r="E122" s="144">
        <v>0</v>
      </c>
      <c r="F122" s="144">
        <v>0</v>
      </c>
      <c r="G122" s="144">
        <v>0</v>
      </c>
      <c r="H122" s="147">
        <v>0</v>
      </c>
      <c r="I122" s="495">
        <f>SUM(G122+H122)</f>
        <v>0</v>
      </c>
      <c r="J122" s="416"/>
    </row>
    <row r="123" spans="1:10" x14ac:dyDescent="0.15">
      <c r="A123" s="135"/>
      <c r="B123" s="451" t="s">
        <v>882</v>
      </c>
      <c r="C123" s="135" t="s">
        <v>1058</v>
      </c>
      <c r="D123" s="141">
        <v>0</v>
      </c>
      <c r="E123" s="141">
        <v>0</v>
      </c>
      <c r="F123" s="141">
        <v>0</v>
      </c>
      <c r="G123" s="285">
        <v>0</v>
      </c>
      <c r="H123" s="147">
        <v>0</v>
      </c>
      <c r="I123" s="495">
        <f t="shared" ref="I123:I152" si="6">SUM(G123+H123)</f>
        <v>0</v>
      </c>
    </row>
    <row r="124" spans="1:10" x14ac:dyDescent="0.15">
      <c r="A124" s="135"/>
      <c r="B124" s="451" t="s">
        <v>883</v>
      </c>
      <c r="C124" s="135" t="s">
        <v>1059</v>
      </c>
      <c r="D124" s="141">
        <v>0</v>
      </c>
      <c r="E124" s="141">
        <v>0</v>
      </c>
      <c r="F124" s="141">
        <v>0</v>
      </c>
      <c r="G124" s="285">
        <v>0</v>
      </c>
      <c r="H124" s="147">
        <v>0</v>
      </c>
      <c r="I124" s="495">
        <f t="shared" si="6"/>
        <v>0</v>
      </c>
    </row>
    <row r="125" spans="1:10" x14ac:dyDescent="0.15">
      <c r="A125" s="135"/>
      <c r="B125" s="451" t="s">
        <v>1060</v>
      </c>
      <c r="C125" s="135" t="s">
        <v>1061</v>
      </c>
      <c r="D125" s="141">
        <v>0</v>
      </c>
      <c r="E125" s="141">
        <v>0</v>
      </c>
      <c r="F125" s="141">
        <v>0</v>
      </c>
      <c r="G125" s="285">
        <v>0</v>
      </c>
      <c r="H125" s="147">
        <v>0</v>
      </c>
      <c r="I125" s="495">
        <f t="shared" si="6"/>
        <v>0</v>
      </c>
    </row>
    <row r="126" spans="1:10" x14ac:dyDescent="0.15">
      <c r="A126" s="135"/>
      <c r="B126" s="451" t="s">
        <v>1062</v>
      </c>
      <c r="C126" s="135" t="s">
        <v>1063</v>
      </c>
      <c r="D126" s="141">
        <v>0</v>
      </c>
      <c r="E126" s="141">
        <v>0</v>
      </c>
      <c r="F126" s="141">
        <v>0</v>
      </c>
      <c r="G126" s="285">
        <v>0</v>
      </c>
      <c r="H126" s="147">
        <v>0</v>
      </c>
      <c r="I126" s="495">
        <f t="shared" si="6"/>
        <v>0</v>
      </c>
    </row>
    <row r="127" spans="1:10" x14ac:dyDescent="0.15">
      <c r="A127" s="135"/>
      <c r="B127" s="451" t="s">
        <v>884</v>
      </c>
      <c r="C127" s="135" t="s">
        <v>1064</v>
      </c>
      <c r="D127" s="141">
        <v>0</v>
      </c>
      <c r="E127" s="141">
        <v>0</v>
      </c>
      <c r="F127" s="141">
        <v>0</v>
      </c>
      <c r="G127" s="285">
        <v>0</v>
      </c>
      <c r="H127" s="147">
        <v>0</v>
      </c>
      <c r="I127" s="495">
        <f t="shared" si="6"/>
        <v>0</v>
      </c>
    </row>
    <row r="128" spans="1:10" x14ac:dyDescent="0.15">
      <c r="A128" s="135"/>
      <c r="B128" s="451" t="s">
        <v>1067</v>
      </c>
      <c r="C128" s="135" t="s">
        <v>1074</v>
      </c>
      <c r="D128" s="141">
        <v>0</v>
      </c>
      <c r="E128" s="141">
        <v>0</v>
      </c>
      <c r="F128" s="141">
        <v>0</v>
      </c>
      <c r="G128" s="285">
        <v>0</v>
      </c>
      <c r="H128" s="147">
        <v>0</v>
      </c>
      <c r="I128" s="495">
        <f t="shared" si="6"/>
        <v>0</v>
      </c>
    </row>
    <row r="129" spans="1:9" x14ac:dyDescent="0.15">
      <c r="A129" s="135"/>
      <c r="B129" s="451" t="s">
        <v>1072</v>
      </c>
      <c r="C129" s="135" t="s">
        <v>920</v>
      </c>
      <c r="D129" s="141">
        <v>0</v>
      </c>
      <c r="E129" s="141">
        <v>0</v>
      </c>
      <c r="F129" s="141">
        <v>0</v>
      </c>
      <c r="G129" s="285">
        <v>0</v>
      </c>
      <c r="H129" s="147">
        <v>0</v>
      </c>
      <c r="I129" s="495">
        <f t="shared" si="6"/>
        <v>0</v>
      </c>
    </row>
    <row r="130" spans="1:9" x14ac:dyDescent="0.15">
      <c r="A130" s="135"/>
      <c r="B130" s="716" t="s">
        <v>155</v>
      </c>
      <c r="C130" s="703" t="s">
        <v>178</v>
      </c>
      <c r="D130" s="141">
        <v>0</v>
      </c>
      <c r="E130" s="141">
        <v>0</v>
      </c>
      <c r="F130" s="141">
        <v>0</v>
      </c>
      <c r="G130" s="285">
        <v>0</v>
      </c>
      <c r="H130" s="147">
        <v>0</v>
      </c>
      <c r="I130" s="495">
        <f t="shared" ref="I130" si="7">SUM(G130+H130)</f>
        <v>0</v>
      </c>
    </row>
    <row r="131" spans="1:9" x14ac:dyDescent="0.15">
      <c r="A131" s="135"/>
      <c r="B131" s="451" t="s">
        <v>921</v>
      </c>
      <c r="C131" s="135" t="s">
        <v>955</v>
      </c>
      <c r="D131" s="141">
        <v>0</v>
      </c>
      <c r="E131" s="141">
        <v>0</v>
      </c>
      <c r="F131" s="141">
        <v>0</v>
      </c>
      <c r="G131" s="285">
        <v>0</v>
      </c>
      <c r="H131" s="147">
        <v>0</v>
      </c>
      <c r="I131" s="495">
        <f t="shared" si="6"/>
        <v>0</v>
      </c>
    </row>
    <row r="132" spans="1:9" x14ac:dyDescent="0.15">
      <c r="A132" s="135"/>
      <c r="B132" s="451" t="s">
        <v>922</v>
      </c>
      <c r="C132" s="135" t="s">
        <v>1123</v>
      </c>
      <c r="D132" s="141">
        <v>0</v>
      </c>
      <c r="E132" s="141">
        <v>0</v>
      </c>
      <c r="F132" s="141">
        <v>0</v>
      </c>
      <c r="G132" s="285">
        <v>0</v>
      </c>
      <c r="H132" s="147">
        <v>0</v>
      </c>
      <c r="I132" s="495">
        <f t="shared" si="6"/>
        <v>0</v>
      </c>
    </row>
    <row r="133" spans="1:9" x14ac:dyDescent="0.15">
      <c r="A133" s="135"/>
      <c r="B133" s="451" t="s">
        <v>923</v>
      </c>
      <c r="C133" s="135" t="s">
        <v>957</v>
      </c>
      <c r="D133" s="141">
        <v>0</v>
      </c>
      <c r="E133" s="141">
        <v>0</v>
      </c>
      <c r="F133" s="141">
        <v>0</v>
      </c>
      <c r="G133" s="285">
        <v>0</v>
      </c>
      <c r="H133" s="147">
        <v>0</v>
      </c>
      <c r="I133" s="495">
        <f t="shared" si="6"/>
        <v>0</v>
      </c>
    </row>
    <row r="134" spans="1:9" x14ac:dyDescent="0.15">
      <c r="A134" s="135"/>
      <c r="B134" s="451" t="s">
        <v>924</v>
      </c>
      <c r="C134" s="135" t="s">
        <v>958</v>
      </c>
      <c r="D134" s="141">
        <v>0</v>
      </c>
      <c r="E134" s="141">
        <v>0</v>
      </c>
      <c r="F134" s="141">
        <v>0</v>
      </c>
      <c r="G134" s="285">
        <v>0</v>
      </c>
      <c r="H134" s="147">
        <v>0</v>
      </c>
      <c r="I134" s="495">
        <f t="shared" si="6"/>
        <v>0</v>
      </c>
    </row>
    <row r="135" spans="1:9" x14ac:dyDescent="0.15">
      <c r="A135" s="135"/>
      <c r="B135" s="451" t="s">
        <v>925</v>
      </c>
      <c r="C135" s="135" t="s">
        <v>1128</v>
      </c>
      <c r="D135" s="141">
        <v>0</v>
      </c>
      <c r="E135" s="141">
        <v>0</v>
      </c>
      <c r="F135" s="141">
        <v>0</v>
      </c>
      <c r="G135" s="285">
        <v>0</v>
      </c>
      <c r="H135" s="147">
        <v>0</v>
      </c>
      <c r="I135" s="495">
        <f t="shared" si="6"/>
        <v>0</v>
      </c>
    </row>
    <row r="136" spans="1:9" x14ac:dyDescent="0.15">
      <c r="A136" s="135"/>
      <c r="B136" s="451" t="s">
        <v>926</v>
      </c>
      <c r="C136" s="135" t="s">
        <v>1129</v>
      </c>
      <c r="D136" s="141">
        <v>0</v>
      </c>
      <c r="E136" s="141">
        <v>0</v>
      </c>
      <c r="F136" s="141">
        <v>0</v>
      </c>
      <c r="G136" s="285">
        <v>0</v>
      </c>
      <c r="H136" s="147">
        <v>0</v>
      </c>
      <c r="I136" s="495">
        <f t="shared" si="6"/>
        <v>0</v>
      </c>
    </row>
    <row r="137" spans="1:9" x14ac:dyDescent="0.15">
      <c r="A137" s="135"/>
      <c r="B137" s="451" t="s">
        <v>927</v>
      </c>
      <c r="C137" s="135" t="s">
        <v>959</v>
      </c>
      <c r="D137" s="141">
        <v>0</v>
      </c>
      <c r="E137" s="141">
        <v>0</v>
      </c>
      <c r="F137" s="141">
        <v>0</v>
      </c>
      <c r="G137" s="285">
        <v>0</v>
      </c>
      <c r="H137" s="147">
        <v>0</v>
      </c>
      <c r="I137" s="495">
        <f t="shared" si="6"/>
        <v>0</v>
      </c>
    </row>
    <row r="138" spans="1:9" x14ac:dyDescent="0.15">
      <c r="A138" s="135"/>
      <c r="B138" s="451" t="s">
        <v>928</v>
      </c>
      <c r="C138" s="135" t="s">
        <v>961</v>
      </c>
      <c r="D138" s="141">
        <v>0</v>
      </c>
      <c r="E138" s="141">
        <v>0</v>
      </c>
      <c r="F138" s="141">
        <v>0</v>
      </c>
      <c r="G138" s="285">
        <v>0</v>
      </c>
      <c r="H138" s="147">
        <v>0</v>
      </c>
      <c r="I138" s="495">
        <f t="shared" si="6"/>
        <v>0</v>
      </c>
    </row>
    <row r="139" spans="1:9" x14ac:dyDescent="0.15">
      <c r="A139" s="135"/>
      <c r="B139" s="451" t="s">
        <v>962</v>
      </c>
      <c r="C139" s="135" t="s">
        <v>967</v>
      </c>
      <c r="D139" s="141">
        <v>0</v>
      </c>
      <c r="E139" s="141">
        <v>0</v>
      </c>
      <c r="F139" s="141">
        <v>0</v>
      </c>
      <c r="G139" s="285">
        <v>0</v>
      </c>
      <c r="H139" s="147">
        <v>0</v>
      </c>
      <c r="I139" s="495">
        <f t="shared" si="6"/>
        <v>0</v>
      </c>
    </row>
    <row r="140" spans="1:9" x14ac:dyDescent="0.15">
      <c r="A140" s="135"/>
      <c r="B140" s="451" t="s">
        <v>963</v>
      </c>
      <c r="C140" s="135" t="s">
        <v>1124</v>
      </c>
      <c r="D140" s="141">
        <v>0</v>
      </c>
      <c r="E140" s="141">
        <v>0</v>
      </c>
      <c r="F140" s="141">
        <v>0</v>
      </c>
      <c r="G140" s="285">
        <v>0</v>
      </c>
      <c r="H140" s="147">
        <v>0</v>
      </c>
      <c r="I140" s="495">
        <f t="shared" si="6"/>
        <v>0</v>
      </c>
    </row>
    <row r="141" spans="1:9" x14ac:dyDescent="0.15">
      <c r="A141" s="135"/>
      <c r="B141" s="451" t="s">
        <v>964</v>
      </c>
      <c r="C141" s="135" t="s">
        <v>1094</v>
      </c>
      <c r="D141" s="141">
        <v>0</v>
      </c>
      <c r="E141" s="141">
        <v>0</v>
      </c>
      <c r="F141" s="141">
        <v>0</v>
      </c>
      <c r="G141" s="285">
        <v>0</v>
      </c>
      <c r="H141" s="147">
        <v>0</v>
      </c>
      <c r="I141" s="495">
        <f t="shared" si="6"/>
        <v>0</v>
      </c>
    </row>
    <row r="142" spans="1:9" x14ac:dyDescent="0.15">
      <c r="A142" s="135"/>
      <c r="B142" s="451" t="s">
        <v>965</v>
      </c>
      <c r="C142" s="135" t="s">
        <v>1095</v>
      </c>
      <c r="D142" s="141">
        <v>0</v>
      </c>
      <c r="E142" s="141">
        <v>0</v>
      </c>
      <c r="F142" s="141">
        <v>0</v>
      </c>
      <c r="G142" s="285">
        <v>0</v>
      </c>
      <c r="H142" s="147">
        <v>0</v>
      </c>
      <c r="I142" s="495">
        <f t="shared" si="6"/>
        <v>0</v>
      </c>
    </row>
    <row r="143" spans="1:9" x14ac:dyDescent="0.15">
      <c r="A143" s="135"/>
      <c r="B143" s="451" t="s">
        <v>885</v>
      </c>
      <c r="C143" s="135" t="s">
        <v>1096</v>
      </c>
      <c r="D143" s="141">
        <v>0</v>
      </c>
      <c r="E143" s="141">
        <v>0</v>
      </c>
      <c r="F143" s="141">
        <v>0</v>
      </c>
      <c r="G143" s="285">
        <v>0</v>
      </c>
      <c r="H143" s="147">
        <v>0</v>
      </c>
      <c r="I143" s="495">
        <f t="shared" si="6"/>
        <v>0</v>
      </c>
    </row>
    <row r="144" spans="1:9" x14ac:dyDescent="0.15">
      <c r="A144" s="135"/>
      <c r="B144" s="451" t="s">
        <v>966</v>
      </c>
      <c r="C144" s="135" t="s">
        <v>1097</v>
      </c>
      <c r="D144" s="141">
        <v>0</v>
      </c>
      <c r="E144" s="141">
        <v>0</v>
      </c>
      <c r="F144" s="141">
        <v>0</v>
      </c>
      <c r="G144" s="285">
        <v>0</v>
      </c>
      <c r="H144" s="147">
        <v>0</v>
      </c>
      <c r="I144" s="495">
        <f t="shared" si="6"/>
        <v>0</v>
      </c>
    </row>
    <row r="145" spans="1:10" x14ac:dyDescent="0.15">
      <c r="A145" s="135"/>
      <c r="B145" s="451" t="s">
        <v>886</v>
      </c>
      <c r="C145" s="135" t="s">
        <v>1100</v>
      </c>
      <c r="D145" s="141">
        <v>0</v>
      </c>
      <c r="E145" s="141">
        <v>0</v>
      </c>
      <c r="F145" s="141">
        <v>0</v>
      </c>
      <c r="G145" s="285">
        <v>0</v>
      </c>
      <c r="H145" s="147">
        <v>0</v>
      </c>
      <c r="I145" s="495">
        <f t="shared" si="6"/>
        <v>0</v>
      </c>
    </row>
    <row r="146" spans="1:10" x14ac:dyDescent="0.15">
      <c r="A146" s="135"/>
      <c r="B146" s="451" t="s">
        <v>116</v>
      </c>
      <c r="C146" s="135" t="s">
        <v>1105</v>
      </c>
      <c r="D146" s="141">
        <v>0</v>
      </c>
      <c r="E146" s="141">
        <v>0</v>
      </c>
      <c r="F146" s="141">
        <v>0</v>
      </c>
      <c r="G146" s="285">
        <v>0</v>
      </c>
      <c r="H146" s="147">
        <v>0</v>
      </c>
      <c r="I146" s="495">
        <f t="shared" si="6"/>
        <v>0</v>
      </c>
    </row>
    <row r="147" spans="1:10" x14ac:dyDescent="0.15">
      <c r="A147" s="135"/>
      <c r="B147" s="451" t="s">
        <v>112</v>
      </c>
      <c r="C147" s="135" t="s">
        <v>1110</v>
      </c>
      <c r="D147" s="141">
        <v>0</v>
      </c>
      <c r="E147" s="141">
        <v>0</v>
      </c>
      <c r="F147" s="141">
        <v>0</v>
      </c>
      <c r="G147" s="285">
        <v>0</v>
      </c>
      <c r="H147" s="147">
        <v>0</v>
      </c>
      <c r="I147" s="495">
        <f t="shared" si="6"/>
        <v>0</v>
      </c>
    </row>
    <row r="148" spans="1:10" x14ac:dyDescent="0.15">
      <c r="A148" s="135"/>
      <c r="B148" s="451" t="s">
        <v>887</v>
      </c>
      <c r="C148" s="135" t="s">
        <v>1116</v>
      </c>
      <c r="D148" s="141">
        <v>0</v>
      </c>
      <c r="E148" s="141">
        <v>0</v>
      </c>
      <c r="F148" s="141">
        <v>0</v>
      </c>
      <c r="G148" s="285">
        <v>0</v>
      </c>
      <c r="H148" s="147">
        <v>0</v>
      </c>
      <c r="I148" s="495">
        <f t="shared" si="6"/>
        <v>0</v>
      </c>
    </row>
    <row r="149" spans="1:10" x14ac:dyDescent="0.15">
      <c r="A149" s="135"/>
      <c r="B149" s="451" t="s">
        <v>1112</v>
      </c>
      <c r="C149" s="135" t="s">
        <v>1117</v>
      </c>
      <c r="D149" s="141">
        <v>0</v>
      </c>
      <c r="E149" s="141">
        <v>0</v>
      </c>
      <c r="F149" s="141">
        <v>0</v>
      </c>
      <c r="G149" s="285">
        <v>0</v>
      </c>
      <c r="H149" s="147">
        <v>0</v>
      </c>
      <c r="I149" s="495">
        <f t="shared" si="6"/>
        <v>0</v>
      </c>
    </row>
    <row r="150" spans="1:10" x14ac:dyDescent="0.15">
      <c r="A150" s="135"/>
      <c r="B150" s="451" t="s">
        <v>1113</v>
      </c>
      <c r="C150" s="135" t="s">
        <v>1118</v>
      </c>
      <c r="D150" s="141">
        <v>0</v>
      </c>
      <c r="E150" s="141">
        <v>0</v>
      </c>
      <c r="F150" s="141">
        <v>0</v>
      </c>
      <c r="G150" s="285">
        <v>0</v>
      </c>
      <c r="H150" s="147">
        <v>0</v>
      </c>
      <c r="I150" s="495">
        <f t="shared" si="6"/>
        <v>0</v>
      </c>
    </row>
    <row r="151" spans="1:10" ht="11.25" thickBot="1" x14ac:dyDescent="0.2">
      <c r="A151" s="135"/>
      <c r="B151" s="451" t="s">
        <v>1114</v>
      </c>
      <c r="C151" s="135" t="s">
        <v>1119</v>
      </c>
      <c r="D151" s="141">
        <v>0</v>
      </c>
      <c r="E151" s="141">
        <v>0</v>
      </c>
      <c r="F151" s="141">
        <v>0</v>
      </c>
      <c r="G151" s="285">
        <v>0</v>
      </c>
      <c r="H151" s="147">
        <v>0</v>
      </c>
      <c r="I151" s="495">
        <f t="shared" si="6"/>
        <v>0</v>
      </c>
    </row>
    <row r="152" spans="1:10" ht="12" thickTop="1" thickBot="1" x14ac:dyDescent="0.2">
      <c r="A152" s="135"/>
      <c r="B152" s="451"/>
      <c r="C152" s="135" t="s">
        <v>1156</v>
      </c>
      <c r="D152" s="166">
        <f>SUM(D119:D151)</f>
        <v>0</v>
      </c>
      <c r="E152" s="166">
        <f>SUM(E119:E151)</f>
        <v>0</v>
      </c>
      <c r="F152" s="166">
        <f>SUM(F119:F151)</f>
        <v>0</v>
      </c>
      <c r="G152" s="166">
        <f>SUM(G119:G151)</f>
        <v>0</v>
      </c>
      <c r="H152" s="166">
        <f>SUM(H119:H151)</f>
        <v>0</v>
      </c>
      <c r="I152" s="166">
        <f t="shared" si="6"/>
        <v>0</v>
      </c>
    </row>
    <row r="153" spans="1:10" ht="11.25" thickTop="1" x14ac:dyDescent="0.15">
      <c r="A153" s="442"/>
      <c r="B153" s="442"/>
      <c r="C153" s="442"/>
      <c r="D153" s="14"/>
      <c r="E153" s="14"/>
      <c r="F153" s="14"/>
      <c r="G153" s="14"/>
      <c r="H153" s="14"/>
      <c r="I153" s="491"/>
    </row>
    <row r="154" spans="1:10" x14ac:dyDescent="0.15">
      <c r="A154" s="442" t="s">
        <v>1157</v>
      </c>
      <c r="B154" s="135"/>
      <c r="C154" s="135"/>
      <c r="D154" s="14"/>
      <c r="E154" s="14"/>
      <c r="F154" s="14"/>
      <c r="G154" s="14"/>
      <c r="H154" s="14"/>
      <c r="I154" s="491"/>
    </row>
    <row r="155" spans="1:10" s="416" customFormat="1" hidden="1" x14ac:dyDescent="0.15">
      <c r="B155" s="453" t="s">
        <v>880</v>
      </c>
      <c r="C155" s="454" t="s">
        <v>1164</v>
      </c>
      <c r="D155" s="308">
        <v>0</v>
      </c>
      <c r="E155" s="308">
        <v>0</v>
      </c>
      <c r="F155" s="308">
        <v>0</v>
      </c>
      <c r="G155" s="458"/>
      <c r="H155" s="457">
        <v>0</v>
      </c>
      <c r="I155" s="494">
        <f>SUM(G155+H155)</f>
        <v>0</v>
      </c>
    </row>
    <row r="156" spans="1:10" s="416" customFormat="1" x14ac:dyDescent="0.15">
      <c r="B156" s="453" t="s">
        <v>880</v>
      </c>
      <c r="C156" s="454" t="s">
        <v>337</v>
      </c>
      <c r="D156" s="308">
        <v>0</v>
      </c>
      <c r="E156" s="308">
        <v>0</v>
      </c>
      <c r="F156" s="308">
        <v>0</v>
      </c>
      <c r="G156" s="308">
        <v>0</v>
      </c>
      <c r="H156" s="457">
        <v>0</v>
      </c>
      <c r="I156" s="494">
        <f>SUM(G156+H156)</f>
        <v>0</v>
      </c>
    </row>
    <row r="157" spans="1:10" s="416" customFormat="1" hidden="1" x14ac:dyDescent="0.15">
      <c r="A157" s="454"/>
      <c r="B157" s="453" t="s">
        <v>881</v>
      </c>
      <c r="C157" s="454" t="s">
        <v>382</v>
      </c>
      <c r="D157" s="308">
        <v>0</v>
      </c>
      <c r="E157" s="308">
        <v>0</v>
      </c>
      <c r="F157" s="308">
        <v>0</v>
      </c>
      <c r="G157" s="459"/>
      <c r="H157" s="457">
        <v>0</v>
      </c>
      <c r="I157" s="494">
        <f>SUM(G157+H157)</f>
        <v>0</v>
      </c>
    </row>
    <row r="158" spans="1:10" x14ac:dyDescent="0.15">
      <c r="A158" s="135"/>
      <c r="B158" s="451" t="s">
        <v>881</v>
      </c>
      <c r="C158" s="135" t="s">
        <v>338</v>
      </c>
      <c r="D158" s="144">
        <v>0</v>
      </c>
      <c r="E158" s="144">
        <v>0</v>
      </c>
      <c r="F158" s="144">
        <v>0</v>
      </c>
      <c r="G158" s="144">
        <v>0</v>
      </c>
      <c r="H158" s="147">
        <v>0</v>
      </c>
      <c r="I158" s="495">
        <f>SUM(G158+H158)</f>
        <v>0</v>
      </c>
      <c r="J158" s="416"/>
    </row>
    <row r="159" spans="1:10" x14ac:dyDescent="0.15">
      <c r="A159" s="135"/>
      <c r="B159" s="451" t="s">
        <v>882</v>
      </c>
      <c r="C159" s="135" t="s">
        <v>1058</v>
      </c>
      <c r="D159" s="141">
        <v>0</v>
      </c>
      <c r="E159" s="141">
        <v>0</v>
      </c>
      <c r="F159" s="141">
        <v>0</v>
      </c>
      <c r="G159" s="285">
        <v>0</v>
      </c>
      <c r="H159" s="147">
        <v>0</v>
      </c>
      <c r="I159" s="495">
        <f t="shared" ref="I159:I188" si="8">SUM(G159+H159)</f>
        <v>0</v>
      </c>
    </row>
    <row r="160" spans="1:10" x14ac:dyDescent="0.15">
      <c r="A160" s="135"/>
      <c r="B160" s="451" t="s">
        <v>883</v>
      </c>
      <c r="C160" s="135" t="s">
        <v>1059</v>
      </c>
      <c r="D160" s="141">
        <v>0</v>
      </c>
      <c r="E160" s="141">
        <v>0</v>
      </c>
      <c r="F160" s="141">
        <v>0</v>
      </c>
      <c r="G160" s="285">
        <v>0</v>
      </c>
      <c r="H160" s="147">
        <v>0</v>
      </c>
      <c r="I160" s="495">
        <f t="shared" si="8"/>
        <v>0</v>
      </c>
    </row>
    <row r="161" spans="1:9" x14ac:dyDescent="0.15">
      <c r="A161" s="135"/>
      <c r="B161" s="451" t="s">
        <v>1060</v>
      </c>
      <c r="C161" s="135" t="s">
        <v>1061</v>
      </c>
      <c r="D161" s="141">
        <v>0</v>
      </c>
      <c r="E161" s="141">
        <v>0</v>
      </c>
      <c r="F161" s="141">
        <v>0</v>
      </c>
      <c r="G161" s="285">
        <v>0</v>
      </c>
      <c r="H161" s="147">
        <v>0</v>
      </c>
      <c r="I161" s="495">
        <f t="shared" si="8"/>
        <v>0</v>
      </c>
    </row>
    <row r="162" spans="1:9" x14ac:dyDescent="0.15">
      <c r="A162" s="135"/>
      <c r="B162" s="451" t="s">
        <v>1062</v>
      </c>
      <c r="C162" s="135" t="s">
        <v>1063</v>
      </c>
      <c r="D162" s="141">
        <v>0</v>
      </c>
      <c r="E162" s="141">
        <v>0</v>
      </c>
      <c r="F162" s="141">
        <v>0</v>
      </c>
      <c r="G162" s="285">
        <v>0</v>
      </c>
      <c r="H162" s="147">
        <v>0</v>
      </c>
      <c r="I162" s="495">
        <f t="shared" si="8"/>
        <v>0</v>
      </c>
    </row>
    <row r="163" spans="1:9" x14ac:dyDescent="0.15">
      <c r="A163" s="135"/>
      <c r="B163" s="451" t="s">
        <v>884</v>
      </c>
      <c r="C163" s="135" t="s">
        <v>1064</v>
      </c>
      <c r="D163" s="141">
        <v>0</v>
      </c>
      <c r="E163" s="141">
        <v>0</v>
      </c>
      <c r="F163" s="141">
        <v>0</v>
      </c>
      <c r="G163" s="285">
        <v>0</v>
      </c>
      <c r="H163" s="147">
        <v>0</v>
      </c>
      <c r="I163" s="495">
        <f t="shared" si="8"/>
        <v>0</v>
      </c>
    </row>
    <row r="164" spans="1:9" x14ac:dyDescent="0.15">
      <c r="A164" s="135"/>
      <c r="B164" s="451" t="s">
        <v>1067</v>
      </c>
      <c r="C164" s="135" t="s">
        <v>1074</v>
      </c>
      <c r="D164" s="141">
        <v>0</v>
      </c>
      <c r="E164" s="141">
        <v>0</v>
      </c>
      <c r="F164" s="141">
        <v>0</v>
      </c>
      <c r="G164" s="285">
        <v>0</v>
      </c>
      <c r="H164" s="147">
        <v>0</v>
      </c>
      <c r="I164" s="495">
        <f t="shared" si="8"/>
        <v>0</v>
      </c>
    </row>
    <row r="165" spans="1:9" x14ac:dyDescent="0.15">
      <c r="A165" s="135"/>
      <c r="B165" s="451" t="s">
        <v>1072</v>
      </c>
      <c r="C165" s="135" t="s">
        <v>920</v>
      </c>
      <c r="D165" s="141">
        <v>0</v>
      </c>
      <c r="E165" s="141">
        <v>0</v>
      </c>
      <c r="F165" s="141">
        <v>0</v>
      </c>
      <c r="G165" s="285">
        <v>0</v>
      </c>
      <c r="H165" s="147">
        <v>0</v>
      </c>
      <c r="I165" s="495">
        <f t="shared" si="8"/>
        <v>0</v>
      </c>
    </row>
    <row r="166" spans="1:9" x14ac:dyDescent="0.15">
      <c r="A166" s="135"/>
      <c r="B166" s="716" t="s">
        <v>155</v>
      </c>
      <c r="C166" s="703" t="s">
        <v>178</v>
      </c>
      <c r="D166" s="141">
        <v>0</v>
      </c>
      <c r="E166" s="141">
        <v>0</v>
      </c>
      <c r="F166" s="141">
        <v>0</v>
      </c>
      <c r="G166" s="285">
        <v>0</v>
      </c>
      <c r="H166" s="147">
        <v>0</v>
      </c>
      <c r="I166" s="495">
        <f t="shared" ref="I166" si="9">SUM(G166+H166)</f>
        <v>0</v>
      </c>
    </row>
    <row r="167" spans="1:9" x14ac:dyDescent="0.15">
      <c r="A167" s="135"/>
      <c r="B167" s="451" t="s">
        <v>921</v>
      </c>
      <c r="C167" s="135" t="s">
        <v>955</v>
      </c>
      <c r="D167" s="141">
        <v>0</v>
      </c>
      <c r="E167" s="141">
        <v>0</v>
      </c>
      <c r="F167" s="141">
        <v>0</v>
      </c>
      <c r="G167" s="285">
        <v>0</v>
      </c>
      <c r="H167" s="147">
        <v>0</v>
      </c>
      <c r="I167" s="495">
        <f t="shared" si="8"/>
        <v>0</v>
      </c>
    </row>
    <row r="168" spans="1:9" x14ac:dyDescent="0.15">
      <c r="A168" s="135"/>
      <c r="B168" s="451" t="s">
        <v>922</v>
      </c>
      <c r="C168" s="135" t="s">
        <v>1123</v>
      </c>
      <c r="D168" s="141">
        <v>0</v>
      </c>
      <c r="E168" s="141">
        <v>0</v>
      </c>
      <c r="F168" s="141">
        <v>0</v>
      </c>
      <c r="G168" s="285">
        <v>0</v>
      </c>
      <c r="H168" s="147">
        <v>0</v>
      </c>
      <c r="I168" s="495">
        <f t="shared" si="8"/>
        <v>0</v>
      </c>
    </row>
    <row r="169" spans="1:9" x14ac:dyDescent="0.15">
      <c r="A169" s="135"/>
      <c r="B169" s="451" t="s">
        <v>923</v>
      </c>
      <c r="C169" s="135" t="s">
        <v>957</v>
      </c>
      <c r="D169" s="141">
        <v>0</v>
      </c>
      <c r="E169" s="141">
        <v>0</v>
      </c>
      <c r="F169" s="141">
        <v>0</v>
      </c>
      <c r="G169" s="285">
        <v>0</v>
      </c>
      <c r="H169" s="147">
        <v>0</v>
      </c>
      <c r="I169" s="495">
        <f t="shared" si="8"/>
        <v>0</v>
      </c>
    </row>
    <row r="170" spans="1:9" x14ac:dyDescent="0.15">
      <c r="A170" s="135"/>
      <c r="B170" s="451" t="s">
        <v>924</v>
      </c>
      <c r="C170" s="135" t="s">
        <v>958</v>
      </c>
      <c r="D170" s="141">
        <v>0</v>
      </c>
      <c r="E170" s="141">
        <v>0</v>
      </c>
      <c r="F170" s="141">
        <v>0</v>
      </c>
      <c r="G170" s="285">
        <v>0</v>
      </c>
      <c r="H170" s="147">
        <v>0</v>
      </c>
      <c r="I170" s="495">
        <f t="shared" si="8"/>
        <v>0</v>
      </c>
    </row>
    <row r="171" spans="1:9" x14ac:dyDescent="0.15">
      <c r="A171" s="135"/>
      <c r="B171" s="451" t="s">
        <v>925</v>
      </c>
      <c r="C171" s="135" t="s">
        <v>1128</v>
      </c>
      <c r="D171" s="141">
        <v>0</v>
      </c>
      <c r="E171" s="141">
        <v>0</v>
      </c>
      <c r="F171" s="141">
        <v>0</v>
      </c>
      <c r="G171" s="285">
        <v>0</v>
      </c>
      <c r="H171" s="147">
        <v>0</v>
      </c>
      <c r="I171" s="495">
        <f t="shared" si="8"/>
        <v>0</v>
      </c>
    </row>
    <row r="172" spans="1:9" x14ac:dyDescent="0.15">
      <c r="A172" s="135"/>
      <c r="B172" s="451" t="s">
        <v>926</v>
      </c>
      <c r="C172" s="135" t="s">
        <v>1129</v>
      </c>
      <c r="D172" s="141">
        <v>0</v>
      </c>
      <c r="E172" s="141">
        <v>0</v>
      </c>
      <c r="F172" s="141">
        <v>0</v>
      </c>
      <c r="G172" s="285">
        <v>0</v>
      </c>
      <c r="H172" s="147">
        <v>0</v>
      </c>
      <c r="I172" s="495">
        <f t="shared" si="8"/>
        <v>0</v>
      </c>
    </row>
    <row r="173" spans="1:9" x14ac:dyDescent="0.15">
      <c r="A173" s="135"/>
      <c r="B173" s="451" t="s">
        <v>927</v>
      </c>
      <c r="C173" s="135" t="s">
        <v>959</v>
      </c>
      <c r="D173" s="141">
        <v>0</v>
      </c>
      <c r="E173" s="141">
        <v>0</v>
      </c>
      <c r="F173" s="141">
        <v>0</v>
      </c>
      <c r="G173" s="285">
        <v>0</v>
      </c>
      <c r="H173" s="147">
        <v>0</v>
      </c>
      <c r="I173" s="495">
        <f t="shared" si="8"/>
        <v>0</v>
      </c>
    </row>
    <row r="174" spans="1:9" x14ac:dyDescent="0.15">
      <c r="A174" s="135"/>
      <c r="B174" s="451" t="s">
        <v>928</v>
      </c>
      <c r="C174" s="135" t="s">
        <v>961</v>
      </c>
      <c r="D174" s="141">
        <v>0</v>
      </c>
      <c r="E174" s="141">
        <v>0</v>
      </c>
      <c r="F174" s="141">
        <v>0</v>
      </c>
      <c r="G174" s="285">
        <v>0</v>
      </c>
      <c r="H174" s="147">
        <v>0</v>
      </c>
      <c r="I174" s="495">
        <f t="shared" si="8"/>
        <v>0</v>
      </c>
    </row>
    <row r="175" spans="1:9" x14ac:dyDescent="0.15">
      <c r="A175" s="135"/>
      <c r="B175" s="451" t="s">
        <v>962</v>
      </c>
      <c r="C175" s="135" t="s">
        <v>967</v>
      </c>
      <c r="D175" s="141">
        <v>0</v>
      </c>
      <c r="E175" s="141">
        <v>0</v>
      </c>
      <c r="F175" s="141">
        <v>0</v>
      </c>
      <c r="G175" s="285">
        <v>0</v>
      </c>
      <c r="H175" s="147">
        <v>0</v>
      </c>
      <c r="I175" s="495">
        <f t="shared" si="8"/>
        <v>0</v>
      </c>
    </row>
    <row r="176" spans="1:9" x14ac:dyDescent="0.15">
      <c r="A176" s="135"/>
      <c r="B176" s="451" t="s">
        <v>963</v>
      </c>
      <c r="C176" s="135" t="s">
        <v>1124</v>
      </c>
      <c r="D176" s="141">
        <v>0</v>
      </c>
      <c r="E176" s="141">
        <v>0</v>
      </c>
      <c r="F176" s="141">
        <v>0</v>
      </c>
      <c r="G176" s="285">
        <v>0</v>
      </c>
      <c r="H176" s="147">
        <v>0</v>
      </c>
      <c r="I176" s="495">
        <f t="shared" si="8"/>
        <v>0</v>
      </c>
    </row>
    <row r="177" spans="1:9" x14ac:dyDescent="0.15">
      <c r="A177" s="135"/>
      <c r="B177" s="451" t="s">
        <v>964</v>
      </c>
      <c r="C177" s="135" t="s">
        <v>1094</v>
      </c>
      <c r="D177" s="141">
        <v>0</v>
      </c>
      <c r="E177" s="141">
        <v>0</v>
      </c>
      <c r="F177" s="141">
        <v>0</v>
      </c>
      <c r="G177" s="285">
        <v>0</v>
      </c>
      <c r="H177" s="147">
        <v>0</v>
      </c>
      <c r="I177" s="495">
        <f t="shared" si="8"/>
        <v>0</v>
      </c>
    </row>
    <row r="178" spans="1:9" x14ac:dyDescent="0.15">
      <c r="A178" s="135"/>
      <c r="B178" s="451" t="s">
        <v>965</v>
      </c>
      <c r="C178" s="135" t="s">
        <v>1095</v>
      </c>
      <c r="D178" s="141">
        <v>0</v>
      </c>
      <c r="E178" s="141">
        <v>0</v>
      </c>
      <c r="F178" s="141">
        <v>0</v>
      </c>
      <c r="G178" s="285">
        <v>0</v>
      </c>
      <c r="H178" s="147">
        <v>0</v>
      </c>
      <c r="I178" s="495">
        <f t="shared" si="8"/>
        <v>0</v>
      </c>
    </row>
    <row r="179" spans="1:9" x14ac:dyDescent="0.15">
      <c r="A179" s="135"/>
      <c r="B179" s="451" t="s">
        <v>885</v>
      </c>
      <c r="C179" s="135" t="s">
        <v>1096</v>
      </c>
      <c r="D179" s="141">
        <v>0</v>
      </c>
      <c r="E179" s="141">
        <v>0</v>
      </c>
      <c r="F179" s="141">
        <v>0</v>
      </c>
      <c r="G179" s="285">
        <v>0</v>
      </c>
      <c r="H179" s="147">
        <v>0</v>
      </c>
      <c r="I179" s="495">
        <f t="shared" si="8"/>
        <v>0</v>
      </c>
    </row>
    <row r="180" spans="1:9" x14ac:dyDescent="0.15">
      <c r="A180" s="135"/>
      <c r="B180" s="451" t="s">
        <v>966</v>
      </c>
      <c r="C180" s="135" t="s">
        <v>1097</v>
      </c>
      <c r="D180" s="141">
        <v>0</v>
      </c>
      <c r="E180" s="141">
        <v>0</v>
      </c>
      <c r="F180" s="141">
        <v>0</v>
      </c>
      <c r="G180" s="285">
        <v>0</v>
      </c>
      <c r="H180" s="147">
        <v>0</v>
      </c>
      <c r="I180" s="495">
        <f t="shared" si="8"/>
        <v>0</v>
      </c>
    </row>
    <row r="181" spans="1:9" x14ac:dyDescent="0.15">
      <c r="A181" s="135"/>
      <c r="B181" s="451" t="s">
        <v>886</v>
      </c>
      <c r="C181" s="135" t="s">
        <v>1100</v>
      </c>
      <c r="D181" s="141">
        <v>0</v>
      </c>
      <c r="E181" s="141">
        <v>0</v>
      </c>
      <c r="F181" s="141">
        <v>0</v>
      </c>
      <c r="G181" s="285">
        <v>0</v>
      </c>
      <c r="H181" s="147">
        <v>0</v>
      </c>
      <c r="I181" s="495">
        <f t="shared" si="8"/>
        <v>0</v>
      </c>
    </row>
    <row r="182" spans="1:9" x14ac:dyDescent="0.15">
      <c r="A182" s="135"/>
      <c r="B182" s="451" t="s">
        <v>116</v>
      </c>
      <c r="C182" s="135" t="s">
        <v>1105</v>
      </c>
      <c r="D182" s="141">
        <v>0</v>
      </c>
      <c r="E182" s="141">
        <v>0</v>
      </c>
      <c r="F182" s="141">
        <v>0</v>
      </c>
      <c r="G182" s="285">
        <v>0</v>
      </c>
      <c r="H182" s="147">
        <v>0</v>
      </c>
      <c r="I182" s="495">
        <f t="shared" si="8"/>
        <v>0</v>
      </c>
    </row>
    <row r="183" spans="1:9" x14ac:dyDescent="0.15">
      <c r="A183" s="135"/>
      <c r="B183" s="451" t="s">
        <v>112</v>
      </c>
      <c r="C183" s="135" t="s">
        <v>1110</v>
      </c>
      <c r="D183" s="141">
        <v>0</v>
      </c>
      <c r="E183" s="141">
        <v>0</v>
      </c>
      <c r="F183" s="141">
        <v>0</v>
      </c>
      <c r="G183" s="285">
        <v>0</v>
      </c>
      <c r="H183" s="147">
        <v>0</v>
      </c>
      <c r="I183" s="495">
        <f t="shared" si="8"/>
        <v>0</v>
      </c>
    </row>
    <row r="184" spans="1:9" x14ac:dyDescent="0.15">
      <c r="A184" s="135"/>
      <c r="B184" s="451" t="s">
        <v>887</v>
      </c>
      <c r="C184" s="135" t="s">
        <v>1116</v>
      </c>
      <c r="D184" s="141">
        <v>0</v>
      </c>
      <c r="E184" s="141">
        <v>0</v>
      </c>
      <c r="F184" s="141">
        <v>0</v>
      </c>
      <c r="G184" s="285">
        <v>0</v>
      </c>
      <c r="H184" s="147">
        <v>0</v>
      </c>
      <c r="I184" s="495">
        <f t="shared" si="8"/>
        <v>0</v>
      </c>
    </row>
    <row r="185" spans="1:9" x14ac:dyDescent="0.15">
      <c r="A185" s="135"/>
      <c r="B185" s="451" t="s">
        <v>1112</v>
      </c>
      <c r="C185" s="135" t="s">
        <v>1117</v>
      </c>
      <c r="D185" s="141">
        <v>0</v>
      </c>
      <c r="E185" s="141">
        <v>0</v>
      </c>
      <c r="F185" s="141">
        <v>0</v>
      </c>
      <c r="G185" s="285">
        <v>0</v>
      </c>
      <c r="H185" s="147">
        <v>0</v>
      </c>
      <c r="I185" s="495">
        <f t="shared" si="8"/>
        <v>0</v>
      </c>
    </row>
    <row r="186" spans="1:9" x14ac:dyDescent="0.15">
      <c r="A186" s="135"/>
      <c r="B186" s="451" t="s">
        <v>1113</v>
      </c>
      <c r="C186" s="135" t="s">
        <v>1118</v>
      </c>
      <c r="D186" s="141">
        <v>0</v>
      </c>
      <c r="E186" s="141">
        <v>0</v>
      </c>
      <c r="F186" s="141">
        <v>0</v>
      </c>
      <c r="G186" s="285">
        <v>0</v>
      </c>
      <c r="H186" s="147">
        <v>0</v>
      </c>
      <c r="I186" s="495">
        <f t="shared" si="8"/>
        <v>0</v>
      </c>
    </row>
    <row r="187" spans="1:9" ht="11.25" thickBot="1" x14ac:dyDescent="0.2">
      <c r="A187" s="135"/>
      <c r="B187" s="451" t="s">
        <v>1114</v>
      </c>
      <c r="C187" s="135" t="s">
        <v>1119</v>
      </c>
      <c r="D187" s="141">
        <v>0</v>
      </c>
      <c r="E187" s="141">
        <v>0</v>
      </c>
      <c r="F187" s="141">
        <v>0</v>
      </c>
      <c r="G187" s="285">
        <v>0</v>
      </c>
      <c r="H187" s="147">
        <v>0</v>
      </c>
      <c r="I187" s="495">
        <f t="shared" si="8"/>
        <v>0</v>
      </c>
    </row>
    <row r="188" spans="1:9" ht="12" thickTop="1" thickBot="1" x14ac:dyDescent="0.2">
      <c r="A188" s="135"/>
      <c r="B188" s="451"/>
      <c r="C188" s="135" t="s">
        <v>1158</v>
      </c>
      <c r="D188" s="166">
        <f>SUM(D155:D187)</f>
        <v>0</v>
      </c>
      <c r="E188" s="166">
        <f>SUM(E155:E187)</f>
        <v>0</v>
      </c>
      <c r="F188" s="166">
        <f>SUM(F155:F187)</f>
        <v>0</v>
      </c>
      <c r="G188" s="166">
        <f>SUM(G155:G187)</f>
        <v>0</v>
      </c>
      <c r="H188" s="166">
        <f>SUM(H155:H187)</f>
        <v>0</v>
      </c>
      <c r="I188" s="166">
        <f t="shared" si="8"/>
        <v>0</v>
      </c>
    </row>
    <row r="189" spans="1:9" ht="11.25" thickTop="1" x14ac:dyDescent="0.15">
      <c r="A189" s="442"/>
      <c r="B189" s="135"/>
      <c r="C189" s="135"/>
      <c r="D189" s="14"/>
      <c r="E189" s="14"/>
      <c r="F189" s="14"/>
      <c r="G189" s="14"/>
      <c r="H189" s="14"/>
      <c r="I189" s="491"/>
    </row>
    <row r="190" spans="1:9" x14ac:dyDescent="0.15">
      <c r="A190" s="442" t="s">
        <v>1195</v>
      </c>
      <c r="B190" s="135"/>
      <c r="C190" s="135"/>
      <c r="D190" s="14"/>
      <c r="E190" s="14"/>
      <c r="F190" s="14"/>
      <c r="G190" s="14"/>
      <c r="H190" s="14"/>
      <c r="I190" s="491"/>
    </row>
    <row r="191" spans="1:9" s="416" customFormat="1" hidden="1" x14ac:dyDescent="0.15">
      <c r="B191" s="453" t="s">
        <v>880</v>
      </c>
      <c r="C191" s="454" t="s">
        <v>1164</v>
      </c>
      <c r="D191" s="308">
        <v>0</v>
      </c>
      <c r="E191" s="308">
        <v>0</v>
      </c>
      <c r="F191" s="308">
        <v>0</v>
      </c>
      <c r="G191" s="458"/>
      <c r="H191" s="457">
        <v>0</v>
      </c>
      <c r="I191" s="494">
        <f>SUM(G191+H191)</f>
        <v>0</v>
      </c>
    </row>
    <row r="192" spans="1:9" s="416" customFormat="1" x14ac:dyDescent="0.15">
      <c r="B192" s="453" t="s">
        <v>880</v>
      </c>
      <c r="C192" s="454" t="s">
        <v>337</v>
      </c>
      <c r="D192" s="308">
        <v>0</v>
      </c>
      <c r="E192" s="308">
        <v>0</v>
      </c>
      <c r="F192" s="308">
        <v>0</v>
      </c>
      <c r="G192" s="308">
        <v>0</v>
      </c>
      <c r="H192" s="457">
        <v>0</v>
      </c>
      <c r="I192" s="494">
        <f>SUM(G192+H192)</f>
        <v>0</v>
      </c>
    </row>
    <row r="193" spans="1:10" s="416" customFormat="1" hidden="1" x14ac:dyDescent="0.15">
      <c r="A193" s="454"/>
      <c r="B193" s="453" t="s">
        <v>881</v>
      </c>
      <c r="C193" s="454" t="s">
        <v>382</v>
      </c>
      <c r="D193" s="308">
        <v>0</v>
      </c>
      <c r="E193" s="308">
        <v>0</v>
      </c>
      <c r="F193" s="308">
        <v>0</v>
      </c>
      <c r="G193" s="459"/>
      <c r="H193" s="457">
        <v>0</v>
      </c>
      <c r="I193" s="494">
        <f>SUM(G193+H193)</f>
        <v>0</v>
      </c>
    </row>
    <row r="194" spans="1:10" x14ac:dyDescent="0.15">
      <c r="A194" s="135"/>
      <c r="B194" s="451" t="s">
        <v>881</v>
      </c>
      <c r="C194" s="135" t="s">
        <v>338</v>
      </c>
      <c r="D194" s="144">
        <v>0</v>
      </c>
      <c r="E194" s="144">
        <v>0</v>
      </c>
      <c r="F194" s="144">
        <v>0</v>
      </c>
      <c r="G194" s="144">
        <v>0</v>
      </c>
      <c r="H194" s="147">
        <v>0</v>
      </c>
      <c r="I194" s="495">
        <f>SUM(G194+H194)</f>
        <v>0</v>
      </c>
      <c r="J194" s="416"/>
    </row>
    <row r="195" spans="1:10" x14ac:dyDescent="0.15">
      <c r="A195" s="135"/>
      <c r="B195" s="451" t="s">
        <v>882</v>
      </c>
      <c r="C195" s="135" t="s">
        <v>1058</v>
      </c>
      <c r="D195" s="141">
        <v>0</v>
      </c>
      <c r="E195" s="141">
        <v>0</v>
      </c>
      <c r="F195" s="141">
        <v>0</v>
      </c>
      <c r="G195" s="285">
        <v>0</v>
      </c>
      <c r="H195" s="147">
        <v>0</v>
      </c>
      <c r="I195" s="495">
        <f t="shared" ref="I195:I222" si="10">SUM(G195+H195)</f>
        <v>0</v>
      </c>
    </row>
    <row r="196" spans="1:10" x14ac:dyDescent="0.15">
      <c r="A196" s="135"/>
      <c r="B196" s="451" t="s">
        <v>883</v>
      </c>
      <c r="C196" s="135" t="s">
        <v>1059</v>
      </c>
      <c r="D196" s="141">
        <v>0</v>
      </c>
      <c r="E196" s="141">
        <v>0</v>
      </c>
      <c r="F196" s="141">
        <v>0</v>
      </c>
      <c r="G196" s="285">
        <v>0</v>
      </c>
      <c r="H196" s="147">
        <v>0</v>
      </c>
      <c r="I196" s="495">
        <f t="shared" si="10"/>
        <v>0</v>
      </c>
    </row>
    <row r="197" spans="1:10" x14ac:dyDescent="0.15">
      <c r="A197" s="135"/>
      <c r="B197" s="451" t="s">
        <v>1060</v>
      </c>
      <c r="C197" s="135" t="s">
        <v>1061</v>
      </c>
      <c r="D197" s="141">
        <v>0</v>
      </c>
      <c r="E197" s="141">
        <v>0</v>
      </c>
      <c r="F197" s="141">
        <v>0</v>
      </c>
      <c r="G197" s="285">
        <v>0</v>
      </c>
      <c r="H197" s="147">
        <v>0</v>
      </c>
      <c r="I197" s="495">
        <f t="shared" si="10"/>
        <v>0</v>
      </c>
    </row>
    <row r="198" spans="1:10" x14ac:dyDescent="0.15">
      <c r="A198" s="135"/>
      <c r="B198" s="451" t="s">
        <v>1062</v>
      </c>
      <c r="C198" s="135" t="s">
        <v>1063</v>
      </c>
      <c r="D198" s="141">
        <v>0</v>
      </c>
      <c r="E198" s="141">
        <v>0</v>
      </c>
      <c r="F198" s="141">
        <v>0</v>
      </c>
      <c r="G198" s="285">
        <v>0</v>
      </c>
      <c r="H198" s="147">
        <v>0</v>
      </c>
      <c r="I198" s="495">
        <f t="shared" si="10"/>
        <v>0</v>
      </c>
    </row>
    <row r="199" spans="1:10" x14ac:dyDescent="0.15">
      <c r="A199" s="135"/>
      <c r="B199" s="451" t="s">
        <v>884</v>
      </c>
      <c r="C199" s="135" t="s">
        <v>1064</v>
      </c>
      <c r="D199" s="141">
        <v>0</v>
      </c>
      <c r="E199" s="141">
        <v>0</v>
      </c>
      <c r="F199" s="141">
        <v>0</v>
      </c>
      <c r="G199" s="285">
        <v>0</v>
      </c>
      <c r="H199" s="147">
        <v>0</v>
      </c>
      <c r="I199" s="495">
        <f t="shared" si="10"/>
        <v>0</v>
      </c>
    </row>
    <row r="200" spans="1:10" x14ac:dyDescent="0.15">
      <c r="A200" s="135"/>
      <c r="B200" s="451" t="s">
        <v>1067</v>
      </c>
      <c r="C200" s="135" t="s">
        <v>1074</v>
      </c>
      <c r="D200" s="141">
        <v>0</v>
      </c>
      <c r="E200" s="141">
        <v>0</v>
      </c>
      <c r="F200" s="141">
        <v>0</v>
      </c>
      <c r="G200" s="285">
        <v>0</v>
      </c>
      <c r="H200" s="147">
        <v>0</v>
      </c>
      <c r="I200" s="495">
        <f t="shared" si="10"/>
        <v>0</v>
      </c>
    </row>
    <row r="201" spans="1:10" x14ac:dyDescent="0.15">
      <c r="A201" s="135"/>
      <c r="B201" s="451" t="s">
        <v>1072</v>
      </c>
      <c r="C201" s="135" t="s">
        <v>920</v>
      </c>
      <c r="D201" s="141">
        <v>0</v>
      </c>
      <c r="E201" s="141">
        <v>0</v>
      </c>
      <c r="F201" s="141">
        <v>0</v>
      </c>
      <c r="G201" s="285">
        <v>0</v>
      </c>
      <c r="H201" s="147">
        <v>0</v>
      </c>
      <c r="I201" s="495">
        <f t="shared" si="10"/>
        <v>0</v>
      </c>
    </row>
    <row r="202" spans="1:10" x14ac:dyDescent="0.15">
      <c r="A202" s="135"/>
      <c r="B202" s="716" t="s">
        <v>155</v>
      </c>
      <c r="C202" s="703" t="s">
        <v>178</v>
      </c>
      <c r="D202" s="141">
        <v>0</v>
      </c>
      <c r="E202" s="141">
        <v>0</v>
      </c>
      <c r="F202" s="141">
        <v>0</v>
      </c>
      <c r="G202" s="285">
        <v>0</v>
      </c>
      <c r="H202" s="147">
        <v>0</v>
      </c>
      <c r="I202" s="495">
        <f t="shared" ref="I202" si="11">SUM(G202+H202)</f>
        <v>0</v>
      </c>
    </row>
    <row r="203" spans="1:10" x14ac:dyDescent="0.15">
      <c r="A203" s="135"/>
      <c r="B203" s="451" t="s">
        <v>921</v>
      </c>
      <c r="C203" s="135" t="s">
        <v>955</v>
      </c>
      <c r="D203" s="141">
        <v>0</v>
      </c>
      <c r="E203" s="141">
        <v>0</v>
      </c>
      <c r="F203" s="141">
        <v>0</v>
      </c>
      <c r="G203" s="285">
        <v>0</v>
      </c>
      <c r="H203" s="147">
        <v>0</v>
      </c>
      <c r="I203" s="495">
        <f t="shared" si="10"/>
        <v>0</v>
      </c>
    </row>
    <row r="204" spans="1:10" x14ac:dyDescent="0.15">
      <c r="A204" s="135"/>
      <c r="B204" s="451" t="s">
        <v>922</v>
      </c>
      <c r="C204" s="135" t="s">
        <v>1123</v>
      </c>
      <c r="D204" s="141">
        <v>0</v>
      </c>
      <c r="E204" s="141">
        <v>0</v>
      </c>
      <c r="F204" s="141">
        <v>0</v>
      </c>
      <c r="G204" s="285">
        <v>0</v>
      </c>
      <c r="H204" s="147">
        <v>0</v>
      </c>
      <c r="I204" s="495">
        <f t="shared" si="10"/>
        <v>0</v>
      </c>
    </row>
    <row r="205" spans="1:10" x14ac:dyDescent="0.15">
      <c r="A205" s="135"/>
      <c r="B205" s="451" t="s">
        <v>923</v>
      </c>
      <c r="C205" s="135" t="s">
        <v>957</v>
      </c>
      <c r="D205" s="141">
        <v>0</v>
      </c>
      <c r="E205" s="141">
        <v>0</v>
      </c>
      <c r="F205" s="141">
        <v>0</v>
      </c>
      <c r="G205" s="285">
        <v>0</v>
      </c>
      <c r="H205" s="147">
        <v>0</v>
      </c>
      <c r="I205" s="495">
        <f t="shared" si="10"/>
        <v>0</v>
      </c>
    </row>
    <row r="206" spans="1:10" x14ac:dyDescent="0.15">
      <c r="A206" s="135"/>
      <c r="B206" s="451" t="s">
        <v>924</v>
      </c>
      <c r="C206" s="135" t="s">
        <v>958</v>
      </c>
      <c r="D206" s="141">
        <v>0</v>
      </c>
      <c r="E206" s="141">
        <v>0</v>
      </c>
      <c r="F206" s="141">
        <v>0</v>
      </c>
      <c r="G206" s="285">
        <v>0</v>
      </c>
      <c r="H206" s="147">
        <v>0</v>
      </c>
      <c r="I206" s="495">
        <f t="shared" si="10"/>
        <v>0</v>
      </c>
    </row>
    <row r="207" spans="1:10" x14ac:dyDescent="0.15">
      <c r="A207" s="135"/>
      <c r="B207" s="451" t="s">
        <v>925</v>
      </c>
      <c r="C207" s="135" t="s">
        <v>1128</v>
      </c>
      <c r="D207" s="141">
        <v>0</v>
      </c>
      <c r="E207" s="141">
        <v>0</v>
      </c>
      <c r="F207" s="141">
        <v>0</v>
      </c>
      <c r="G207" s="285">
        <v>0</v>
      </c>
      <c r="H207" s="147">
        <v>0</v>
      </c>
      <c r="I207" s="495">
        <f t="shared" si="10"/>
        <v>0</v>
      </c>
    </row>
    <row r="208" spans="1:10" x14ac:dyDescent="0.15">
      <c r="A208" s="135"/>
      <c r="B208" s="451" t="s">
        <v>927</v>
      </c>
      <c r="C208" s="135" t="s">
        <v>959</v>
      </c>
      <c r="D208" s="141">
        <v>0</v>
      </c>
      <c r="E208" s="141">
        <v>0</v>
      </c>
      <c r="F208" s="141">
        <v>0</v>
      </c>
      <c r="G208" s="285">
        <v>0</v>
      </c>
      <c r="H208" s="147">
        <v>0</v>
      </c>
      <c r="I208" s="495">
        <f t="shared" si="10"/>
        <v>0</v>
      </c>
    </row>
    <row r="209" spans="1:9" x14ac:dyDescent="0.15">
      <c r="A209" s="135"/>
      <c r="B209" s="451" t="s">
        <v>928</v>
      </c>
      <c r="C209" s="135" t="s">
        <v>961</v>
      </c>
      <c r="D209" s="141">
        <v>0</v>
      </c>
      <c r="E209" s="141">
        <v>0</v>
      </c>
      <c r="F209" s="141">
        <v>0</v>
      </c>
      <c r="G209" s="285">
        <v>0</v>
      </c>
      <c r="H209" s="147">
        <v>0</v>
      </c>
      <c r="I209" s="495">
        <f t="shared" si="10"/>
        <v>0</v>
      </c>
    </row>
    <row r="210" spans="1:9" x14ac:dyDescent="0.15">
      <c r="A210" s="135"/>
      <c r="B210" s="451" t="s">
        <v>962</v>
      </c>
      <c r="C210" s="135" t="s">
        <v>967</v>
      </c>
      <c r="D210" s="141">
        <v>0</v>
      </c>
      <c r="E210" s="141">
        <v>0</v>
      </c>
      <c r="F210" s="141">
        <v>0</v>
      </c>
      <c r="G210" s="285">
        <v>0</v>
      </c>
      <c r="H210" s="147">
        <v>0</v>
      </c>
      <c r="I210" s="495">
        <f t="shared" si="10"/>
        <v>0</v>
      </c>
    </row>
    <row r="211" spans="1:9" x14ac:dyDescent="0.15">
      <c r="A211" s="135"/>
      <c r="B211" s="451" t="s">
        <v>963</v>
      </c>
      <c r="C211" s="135" t="s">
        <v>1124</v>
      </c>
      <c r="D211" s="141">
        <v>0</v>
      </c>
      <c r="E211" s="141">
        <v>0</v>
      </c>
      <c r="F211" s="141">
        <v>0</v>
      </c>
      <c r="G211" s="285">
        <v>0</v>
      </c>
      <c r="H211" s="147">
        <v>0</v>
      </c>
      <c r="I211" s="495">
        <f t="shared" si="10"/>
        <v>0</v>
      </c>
    </row>
    <row r="212" spans="1:9" x14ac:dyDescent="0.15">
      <c r="A212" s="135"/>
      <c r="B212" s="451" t="s">
        <v>964</v>
      </c>
      <c r="C212" s="135" t="s">
        <v>1094</v>
      </c>
      <c r="D212" s="141">
        <v>0</v>
      </c>
      <c r="E212" s="141">
        <v>0</v>
      </c>
      <c r="F212" s="141">
        <v>0</v>
      </c>
      <c r="G212" s="285">
        <v>0</v>
      </c>
      <c r="H212" s="147">
        <v>0</v>
      </c>
      <c r="I212" s="495">
        <f t="shared" si="10"/>
        <v>0</v>
      </c>
    </row>
    <row r="213" spans="1:9" x14ac:dyDescent="0.15">
      <c r="A213" s="135"/>
      <c r="B213" s="451" t="s">
        <v>965</v>
      </c>
      <c r="C213" s="135" t="s">
        <v>1095</v>
      </c>
      <c r="D213" s="141">
        <v>0</v>
      </c>
      <c r="E213" s="141">
        <v>0</v>
      </c>
      <c r="F213" s="141">
        <v>0</v>
      </c>
      <c r="G213" s="285">
        <v>0</v>
      </c>
      <c r="H213" s="147">
        <v>0</v>
      </c>
      <c r="I213" s="495">
        <f t="shared" si="10"/>
        <v>0</v>
      </c>
    </row>
    <row r="214" spans="1:9" x14ac:dyDescent="0.15">
      <c r="A214" s="135"/>
      <c r="B214" s="451" t="s">
        <v>885</v>
      </c>
      <c r="C214" s="135" t="s">
        <v>1096</v>
      </c>
      <c r="D214" s="141">
        <v>0</v>
      </c>
      <c r="E214" s="141">
        <v>0</v>
      </c>
      <c r="F214" s="141">
        <v>0</v>
      </c>
      <c r="G214" s="285">
        <v>0</v>
      </c>
      <c r="H214" s="147">
        <v>0</v>
      </c>
      <c r="I214" s="495">
        <f t="shared" si="10"/>
        <v>0</v>
      </c>
    </row>
    <row r="215" spans="1:9" x14ac:dyDescent="0.15">
      <c r="A215" s="135"/>
      <c r="B215" s="451" t="s">
        <v>966</v>
      </c>
      <c r="C215" s="135" t="s">
        <v>1097</v>
      </c>
      <c r="D215" s="141">
        <v>0</v>
      </c>
      <c r="E215" s="141">
        <v>0</v>
      </c>
      <c r="F215" s="141">
        <v>0</v>
      </c>
      <c r="G215" s="285">
        <v>0</v>
      </c>
      <c r="H215" s="147">
        <v>0</v>
      </c>
      <c r="I215" s="495">
        <f t="shared" si="10"/>
        <v>0</v>
      </c>
    </row>
    <row r="216" spans="1:9" x14ac:dyDescent="0.15">
      <c r="A216" s="135"/>
      <c r="B216" s="451" t="s">
        <v>886</v>
      </c>
      <c r="C216" s="135" t="s">
        <v>1100</v>
      </c>
      <c r="D216" s="141">
        <v>0</v>
      </c>
      <c r="E216" s="141">
        <v>0</v>
      </c>
      <c r="F216" s="141">
        <v>0</v>
      </c>
      <c r="G216" s="285">
        <v>0</v>
      </c>
      <c r="H216" s="147">
        <v>0</v>
      </c>
      <c r="I216" s="495">
        <f t="shared" si="10"/>
        <v>0</v>
      </c>
    </row>
    <row r="217" spans="1:9" x14ac:dyDescent="0.15">
      <c r="A217" s="135"/>
      <c r="B217" s="451" t="s">
        <v>116</v>
      </c>
      <c r="C217" s="135" t="s">
        <v>1105</v>
      </c>
      <c r="D217" s="141">
        <v>0</v>
      </c>
      <c r="E217" s="141">
        <v>0</v>
      </c>
      <c r="F217" s="141">
        <v>0</v>
      </c>
      <c r="G217" s="285">
        <v>0</v>
      </c>
      <c r="H217" s="147">
        <v>0</v>
      </c>
      <c r="I217" s="495">
        <f t="shared" si="10"/>
        <v>0</v>
      </c>
    </row>
    <row r="218" spans="1:9" x14ac:dyDescent="0.15">
      <c r="A218" s="135"/>
      <c r="B218" s="451" t="s">
        <v>112</v>
      </c>
      <c r="C218" s="135" t="s">
        <v>1110</v>
      </c>
      <c r="D218" s="141">
        <v>0</v>
      </c>
      <c r="E218" s="141">
        <v>0</v>
      </c>
      <c r="F218" s="141">
        <v>0</v>
      </c>
      <c r="G218" s="285">
        <v>0</v>
      </c>
      <c r="H218" s="147">
        <v>0</v>
      </c>
      <c r="I218" s="495">
        <f t="shared" si="10"/>
        <v>0</v>
      </c>
    </row>
    <row r="219" spans="1:9" x14ac:dyDescent="0.15">
      <c r="A219" s="135"/>
      <c r="B219" s="451" t="s">
        <v>887</v>
      </c>
      <c r="C219" s="135" t="s">
        <v>1116</v>
      </c>
      <c r="D219" s="141">
        <v>0</v>
      </c>
      <c r="E219" s="141">
        <v>0</v>
      </c>
      <c r="F219" s="141">
        <v>0</v>
      </c>
      <c r="G219" s="285">
        <v>0</v>
      </c>
      <c r="H219" s="147">
        <v>0</v>
      </c>
      <c r="I219" s="495">
        <f t="shared" si="10"/>
        <v>0</v>
      </c>
    </row>
    <row r="220" spans="1:9" x14ac:dyDescent="0.15">
      <c r="A220" s="135"/>
      <c r="B220" s="451" t="s">
        <v>1112</v>
      </c>
      <c r="C220" s="135" t="s">
        <v>1117</v>
      </c>
      <c r="D220" s="141">
        <v>0</v>
      </c>
      <c r="E220" s="141">
        <v>0</v>
      </c>
      <c r="F220" s="141">
        <v>0</v>
      </c>
      <c r="G220" s="285">
        <v>0</v>
      </c>
      <c r="H220" s="147">
        <v>0</v>
      </c>
      <c r="I220" s="495">
        <f t="shared" si="10"/>
        <v>0</v>
      </c>
    </row>
    <row r="221" spans="1:9" x14ac:dyDescent="0.15">
      <c r="A221" s="135"/>
      <c r="B221" s="451" t="s">
        <v>1113</v>
      </c>
      <c r="C221" s="135" t="s">
        <v>1118</v>
      </c>
      <c r="D221" s="141">
        <v>0</v>
      </c>
      <c r="E221" s="141">
        <v>0</v>
      </c>
      <c r="F221" s="141">
        <v>0</v>
      </c>
      <c r="G221" s="285">
        <v>0</v>
      </c>
      <c r="H221" s="147">
        <v>0</v>
      </c>
      <c r="I221" s="495">
        <f t="shared" si="10"/>
        <v>0</v>
      </c>
    </row>
    <row r="222" spans="1:9" ht="11.25" thickBot="1" x14ac:dyDescent="0.2">
      <c r="A222" s="135"/>
      <c r="B222" s="451" t="s">
        <v>1114</v>
      </c>
      <c r="C222" s="135" t="s">
        <v>1119</v>
      </c>
      <c r="D222" s="141">
        <v>0</v>
      </c>
      <c r="E222" s="141">
        <v>0</v>
      </c>
      <c r="F222" s="141">
        <v>0</v>
      </c>
      <c r="G222" s="285">
        <v>0</v>
      </c>
      <c r="H222" s="147">
        <v>0</v>
      </c>
      <c r="I222" s="495">
        <f t="shared" si="10"/>
        <v>0</v>
      </c>
    </row>
    <row r="223" spans="1:9" ht="12" thickTop="1" thickBot="1" x14ac:dyDescent="0.2">
      <c r="A223" s="135"/>
      <c r="B223" s="451"/>
      <c r="C223" s="135" t="s">
        <v>1196</v>
      </c>
      <c r="D223" s="166">
        <f>SUM(D191:D222)</f>
        <v>0</v>
      </c>
      <c r="E223" s="166">
        <f>SUM(E191:E222)</f>
        <v>0</v>
      </c>
      <c r="F223" s="166">
        <f>SUM(F191:F222)</f>
        <v>0</v>
      </c>
      <c r="G223" s="166">
        <f>SUM(G191:G222)</f>
        <v>0</v>
      </c>
      <c r="H223" s="166">
        <f>SUM(H191:H222)</f>
        <v>0</v>
      </c>
      <c r="I223" s="166">
        <f>SUM(G224+H223)</f>
        <v>0</v>
      </c>
    </row>
    <row r="224" spans="1:9" ht="11.25" thickTop="1" x14ac:dyDescent="0.15">
      <c r="A224" s="442"/>
      <c r="B224" s="135"/>
      <c r="C224" s="135"/>
      <c r="D224" s="14"/>
      <c r="E224" s="14"/>
      <c r="F224" s="14"/>
      <c r="G224" s="14"/>
      <c r="H224" s="167"/>
      <c r="I224" s="167"/>
    </row>
    <row r="225" spans="1:10" x14ac:dyDescent="0.15">
      <c r="A225" s="442" t="s">
        <v>1159</v>
      </c>
      <c r="B225" s="442"/>
      <c r="C225" s="442"/>
      <c r="D225" s="14"/>
      <c r="E225" s="14"/>
      <c r="F225" s="14"/>
      <c r="G225" s="14"/>
      <c r="H225" s="14"/>
      <c r="I225" s="491"/>
    </row>
    <row r="226" spans="1:10" s="416" customFormat="1" hidden="1" x14ac:dyDescent="0.15">
      <c r="B226" s="453" t="s">
        <v>880</v>
      </c>
      <c r="C226" s="454" t="s">
        <v>1164</v>
      </c>
      <c r="D226" s="308">
        <v>0</v>
      </c>
      <c r="E226" s="308">
        <v>0</v>
      </c>
      <c r="F226" s="308">
        <v>0</v>
      </c>
      <c r="G226" s="458"/>
      <c r="H226" s="457">
        <v>0</v>
      </c>
      <c r="I226" s="494">
        <f t="shared" ref="I226:I259" si="12">SUM(G226+H226)</f>
        <v>0</v>
      </c>
    </row>
    <row r="227" spans="1:10" s="416" customFormat="1" x14ac:dyDescent="0.15">
      <c r="B227" s="453" t="s">
        <v>880</v>
      </c>
      <c r="C227" s="454" t="s">
        <v>337</v>
      </c>
      <c r="D227" s="308">
        <v>0</v>
      </c>
      <c r="E227" s="308">
        <v>0</v>
      </c>
      <c r="F227" s="308">
        <v>0</v>
      </c>
      <c r="G227" s="308">
        <v>0</v>
      </c>
      <c r="H227" s="457">
        <v>0</v>
      </c>
      <c r="I227" s="494">
        <f t="shared" si="12"/>
        <v>0</v>
      </c>
    </row>
    <row r="228" spans="1:10" s="416" customFormat="1" hidden="1" x14ac:dyDescent="0.15">
      <c r="A228" s="454"/>
      <c r="B228" s="453" t="s">
        <v>881</v>
      </c>
      <c r="C228" s="454" t="s">
        <v>382</v>
      </c>
      <c r="D228" s="308">
        <v>0</v>
      </c>
      <c r="E228" s="308">
        <v>0</v>
      </c>
      <c r="F228" s="308">
        <v>0</v>
      </c>
      <c r="G228" s="459"/>
      <c r="H228" s="457">
        <v>0</v>
      </c>
      <c r="I228" s="494">
        <f t="shared" si="12"/>
        <v>0</v>
      </c>
    </row>
    <row r="229" spans="1:10" x14ac:dyDescent="0.15">
      <c r="A229" s="135"/>
      <c r="B229" s="451" t="s">
        <v>881</v>
      </c>
      <c r="C229" s="135" t="s">
        <v>338</v>
      </c>
      <c r="D229" s="144">
        <v>0</v>
      </c>
      <c r="E229" s="144">
        <v>0</v>
      </c>
      <c r="F229" s="144">
        <v>0</v>
      </c>
      <c r="G229" s="144">
        <v>0</v>
      </c>
      <c r="H229" s="147">
        <v>0</v>
      </c>
      <c r="I229" s="495">
        <f t="shared" si="12"/>
        <v>0</v>
      </c>
      <c r="J229" s="416"/>
    </row>
    <row r="230" spans="1:10" x14ac:dyDescent="0.15">
      <c r="A230" s="135"/>
      <c r="B230" s="451" t="s">
        <v>882</v>
      </c>
      <c r="C230" s="135" t="s">
        <v>1058</v>
      </c>
      <c r="D230" s="141">
        <v>0</v>
      </c>
      <c r="E230" s="141">
        <v>0</v>
      </c>
      <c r="F230" s="141">
        <v>0</v>
      </c>
      <c r="G230" s="285">
        <v>0</v>
      </c>
      <c r="H230" s="147">
        <v>0</v>
      </c>
      <c r="I230" s="495">
        <f t="shared" si="12"/>
        <v>0</v>
      </c>
    </row>
    <row r="231" spans="1:10" x14ac:dyDescent="0.15">
      <c r="A231" s="135"/>
      <c r="B231" s="451" t="s">
        <v>883</v>
      </c>
      <c r="C231" s="135" t="s">
        <v>1059</v>
      </c>
      <c r="D231" s="141">
        <v>0</v>
      </c>
      <c r="E231" s="141">
        <v>0</v>
      </c>
      <c r="F231" s="141">
        <v>0</v>
      </c>
      <c r="G231" s="285">
        <v>0</v>
      </c>
      <c r="H231" s="147">
        <v>0</v>
      </c>
      <c r="I231" s="495">
        <f t="shared" si="12"/>
        <v>0</v>
      </c>
    </row>
    <row r="232" spans="1:10" x14ac:dyDescent="0.15">
      <c r="A232" s="135"/>
      <c r="B232" s="451" t="s">
        <v>1060</v>
      </c>
      <c r="C232" s="135" t="s">
        <v>1061</v>
      </c>
      <c r="D232" s="141">
        <v>0</v>
      </c>
      <c r="E232" s="141">
        <v>0</v>
      </c>
      <c r="F232" s="141">
        <v>0</v>
      </c>
      <c r="G232" s="285">
        <v>0</v>
      </c>
      <c r="H232" s="147">
        <v>0</v>
      </c>
      <c r="I232" s="495">
        <f t="shared" si="12"/>
        <v>0</v>
      </c>
    </row>
    <row r="233" spans="1:10" x14ac:dyDescent="0.15">
      <c r="A233" s="135"/>
      <c r="B233" s="451" t="s">
        <v>1062</v>
      </c>
      <c r="C233" s="135" t="s">
        <v>1063</v>
      </c>
      <c r="D233" s="141">
        <v>0</v>
      </c>
      <c r="E233" s="141">
        <v>0</v>
      </c>
      <c r="F233" s="141">
        <v>0</v>
      </c>
      <c r="G233" s="285">
        <v>0</v>
      </c>
      <c r="H233" s="147">
        <v>0</v>
      </c>
      <c r="I233" s="495">
        <f t="shared" si="12"/>
        <v>0</v>
      </c>
    </row>
    <row r="234" spans="1:10" x14ac:dyDescent="0.15">
      <c r="A234" s="135"/>
      <c r="B234" s="451" t="s">
        <v>884</v>
      </c>
      <c r="C234" s="135" t="s">
        <v>1064</v>
      </c>
      <c r="D234" s="141">
        <v>0</v>
      </c>
      <c r="E234" s="141">
        <v>0</v>
      </c>
      <c r="F234" s="141">
        <v>0</v>
      </c>
      <c r="G234" s="285">
        <v>0</v>
      </c>
      <c r="H234" s="147">
        <v>0</v>
      </c>
      <c r="I234" s="495">
        <f t="shared" si="12"/>
        <v>0</v>
      </c>
    </row>
    <row r="235" spans="1:10" x14ac:dyDescent="0.15">
      <c r="A235" s="135"/>
      <c r="B235" s="451" t="s">
        <v>1067</v>
      </c>
      <c r="C235" s="135" t="s">
        <v>1074</v>
      </c>
      <c r="D235" s="141">
        <v>0</v>
      </c>
      <c r="E235" s="141">
        <v>0</v>
      </c>
      <c r="F235" s="141">
        <v>0</v>
      </c>
      <c r="G235" s="285">
        <v>0</v>
      </c>
      <c r="H235" s="147">
        <v>0</v>
      </c>
      <c r="I235" s="495">
        <f t="shared" si="12"/>
        <v>0</v>
      </c>
    </row>
    <row r="236" spans="1:10" x14ac:dyDescent="0.15">
      <c r="A236" s="135"/>
      <c r="B236" s="451" t="s">
        <v>1072</v>
      </c>
      <c r="C236" s="135" t="s">
        <v>920</v>
      </c>
      <c r="D236" s="141">
        <v>0</v>
      </c>
      <c r="E236" s="141">
        <v>0</v>
      </c>
      <c r="F236" s="141">
        <v>0</v>
      </c>
      <c r="G236" s="285">
        <v>0</v>
      </c>
      <c r="H236" s="147">
        <v>0</v>
      </c>
      <c r="I236" s="495">
        <f t="shared" si="12"/>
        <v>0</v>
      </c>
    </row>
    <row r="237" spans="1:10" x14ac:dyDescent="0.15">
      <c r="A237" s="135"/>
      <c r="B237" s="716" t="s">
        <v>155</v>
      </c>
      <c r="C237" s="703" t="s">
        <v>178</v>
      </c>
      <c r="D237" s="141">
        <v>0</v>
      </c>
      <c r="E237" s="141">
        <v>0</v>
      </c>
      <c r="F237" s="141">
        <v>0</v>
      </c>
      <c r="G237" s="285">
        <v>0</v>
      </c>
      <c r="H237" s="147">
        <v>0</v>
      </c>
      <c r="I237" s="495">
        <f t="shared" ref="I237" si="13">SUM(G237+H237)</f>
        <v>0</v>
      </c>
    </row>
    <row r="238" spans="1:10" x14ac:dyDescent="0.15">
      <c r="A238" s="135"/>
      <c r="B238" s="451" t="s">
        <v>921</v>
      </c>
      <c r="C238" s="135" t="s">
        <v>955</v>
      </c>
      <c r="D238" s="141">
        <v>0</v>
      </c>
      <c r="E238" s="141">
        <v>0</v>
      </c>
      <c r="F238" s="141">
        <v>0</v>
      </c>
      <c r="G238" s="285">
        <v>0</v>
      </c>
      <c r="H238" s="147">
        <v>0</v>
      </c>
      <c r="I238" s="495">
        <f t="shared" si="12"/>
        <v>0</v>
      </c>
    </row>
    <row r="239" spans="1:10" x14ac:dyDescent="0.15">
      <c r="A239" s="135"/>
      <c r="B239" s="451" t="s">
        <v>922</v>
      </c>
      <c r="C239" s="135" t="s">
        <v>1123</v>
      </c>
      <c r="D239" s="141">
        <v>0</v>
      </c>
      <c r="E239" s="141">
        <v>0</v>
      </c>
      <c r="F239" s="141">
        <v>0</v>
      </c>
      <c r="G239" s="285">
        <v>0</v>
      </c>
      <c r="H239" s="147">
        <v>0</v>
      </c>
      <c r="I239" s="495">
        <f t="shared" si="12"/>
        <v>0</v>
      </c>
    </row>
    <row r="240" spans="1:10" x14ac:dyDescent="0.15">
      <c r="A240" s="135"/>
      <c r="B240" s="451" t="s">
        <v>923</v>
      </c>
      <c r="C240" s="135" t="s">
        <v>957</v>
      </c>
      <c r="D240" s="141">
        <v>0</v>
      </c>
      <c r="E240" s="141">
        <v>0</v>
      </c>
      <c r="F240" s="141">
        <v>0</v>
      </c>
      <c r="G240" s="285">
        <v>0</v>
      </c>
      <c r="H240" s="147">
        <v>0</v>
      </c>
      <c r="I240" s="495">
        <f t="shared" si="12"/>
        <v>0</v>
      </c>
    </row>
    <row r="241" spans="1:9" x14ac:dyDescent="0.15">
      <c r="A241" s="135"/>
      <c r="B241" s="451" t="s">
        <v>924</v>
      </c>
      <c r="C241" s="135" t="s">
        <v>958</v>
      </c>
      <c r="D241" s="141">
        <v>0</v>
      </c>
      <c r="E241" s="141">
        <v>0</v>
      </c>
      <c r="F241" s="141">
        <v>0</v>
      </c>
      <c r="G241" s="285">
        <v>0</v>
      </c>
      <c r="H241" s="147">
        <v>0</v>
      </c>
      <c r="I241" s="495">
        <f t="shared" si="12"/>
        <v>0</v>
      </c>
    </row>
    <row r="242" spans="1:9" x14ac:dyDescent="0.15">
      <c r="A242" s="135"/>
      <c r="B242" s="451" t="s">
        <v>925</v>
      </c>
      <c r="C242" s="135" t="s">
        <v>1128</v>
      </c>
      <c r="D242" s="141">
        <v>0</v>
      </c>
      <c r="E242" s="141">
        <v>0</v>
      </c>
      <c r="F242" s="141">
        <v>0</v>
      </c>
      <c r="G242" s="285">
        <v>0</v>
      </c>
      <c r="H242" s="147">
        <v>0</v>
      </c>
      <c r="I242" s="495">
        <f t="shared" si="12"/>
        <v>0</v>
      </c>
    </row>
    <row r="243" spans="1:9" x14ac:dyDescent="0.15">
      <c r="A243" s="135"/>
      <c r="B243" s="451" t="s">
        <v>926</v>
      </c>
      <c r="C243" s="135" t="s">
        <v>1129</v>
      </c>
      <c r="D243" s="141">
        <v>0</v>
      </c>
      <c r="E243" s="141">
        <v>0</v>
      </c>
      <c r="F243" s="141">
        <v>0</v>
      </c>
      <c r="G243" s="285">
        <v>0</v>
      </c>
      <c r="H243" s="147">
        <v>0</v>
      </c>
      <c r="I243" s="495">
        <f t="shared" si="12"/>
        <v>0</v>
      </c>
    </row>
    <row r="244" spans="1:9" x14ac:dyDescent="0.15">
      <c r="A244" s="135"/>
      <c r="B244" s="451" t="s">
        <v>927</v>
      </c>
      <c r="C244" s="135" t="s">
        <v>959</v>
      </c>
      <c r="D244" s="141">
        <v>0</v>
      </c>
      <c r="E244" s="141">
        <v>0</v>
      </c>
      <c r="F244" s="141">
        <v>0</v>
      </c>
      <c r="G244" s="285">
        <v>0</v>
      </c>
      <c r="H244" s="147">
        <v>0</v>
      </c>
      <c r="I244" s="495">
        <f t="shared" si="12"/>
        <v>0</v>
      </c>
    </row>
    <row r="245" spans="1:9" x14ac:dyDescent="0.15">
      <c r="A245" s="135"/>
      <c r="B245" s="451" t="s">
        <v>928</v>
      </c>
      <c r="C245" s="135" t="s">
        <v>961</v>
      </c>
      <c r="D245" s="141">
        <v>0</v>
      </c>
      <c r="E245" s="141">
        <v>0</v>
      </c>
      <c r="F245" s="141">
        <v>0</v>
      </c>
      <c r="G245" s="285">
        <v>0</v>
      </c>
      <c r="H245" s="147">
        <v>0</v>
      </c>
      <c r="I245" s="495">
        <f t="shared" si="12"/>
        <v>0</v>
      </c>
    </row>
    <row r="246" spans="1:9" x14ac:dyDescent="0.15">
      <c r="A246" s="135"/>
      <c r="B246" s="451" t="s">
        <v>962</v>
      </c>
      <c r="C246" s="135" t="s">
        <v>967</v>
      </c>
      <c r="D246" s="141">
        <v>0</v>
      </c>
      <c r="E246" s="141">
        <v>0</v>
      </c>
      <c r="F246" s="141">
        <v>0</v>
      </c>
      <c r="G246" s="285">
        <v>0</v>
      </c>
      <c r="H246" s="147">
        <v>0</v>
      </c>
      <c r="I246" s="495">
        <f t="shared" si="12"/>
        <v>0</v>
      </c>
    </row>
    <row r="247" spans="1:9" x14ac:dyDescent="0.15">
      <c r="A247" s="135"/>
      <c r="B247" s="451" t="s">
        <v>963</v>
      </c>
      <c r="C247" s="135" t="s">
        <v>1124</v>
      </c>
      <c r="D247" s="141">
        <v>0</v>
      </c>
      <c r="E247" s="141">
        <v>0</v>
      </c>
      <c r="F247" s="141">
        <v>0</v>
      </c>
      <c r="G247" s="285">
        <v>0</v>
      </c>
      <c r="H247" s="147">
        <v>0</v>
      </c>
      <c r="I247" s="495">
        <f t="shared" si="12"/>
        <v>0</v>
      </c>
    </row>
    <row r="248" spans="1:9" x14ac:dyDescent="0.15">
      <c r="A248" s="135"/>
      <c r="B248" s="451" t="s">
        <v>964</v>
      </c>
      <c r="C248" s="135" t="s">
        <v>1094</v>
      </c>
      <c r="D248" s="141">
        <v>0</v>
      </c>
      <c r="E248" s="141">
        <v>0</v>
      </c>
      <c r="F248" s="141">
        <v>0</v>
      </c>
      <c r="G248" s="285">
        <v>0</v>
      </c>
      <c r="H248" s="147">
        <v>0</v>
      </c>
      <c r="I248" s="495">
        <f t="shared" si="12"/>
        <v>0</v>
      </c>
    </row>
    <row r="249" spans="1:9" x14ac:dyDescent="0.15">
      <c r="A249" s="135"/>
      <c r="B249" s="451" t="s">
        <v>965</v>
      </c>
      <c r="C249" s="135" t="s">
        <v>1095</v>
      </c>
      <c r="D249" s="141">
        <v>0</v>
      </c>
      <c r="E249" s="141">
        <v>0</v>
      </c>
      <c r="F249" s="141">
        <v>0</v>
      </c>
      <c r="G249" s="285">
        <v>0</v>
      </c>
      <c r="H249" s="147">
        <v>0</v>
      </c>
      <c r="I249" s="495">
        <f t="shared" si="12"/>
        <v>0</v>
      </c>
    </row>
    <row r="250" spans="1:9" x14ac:dyDescent="0.15">
      <c r="A250" s="135"/>
      <c r="B250" s="451" t="s">
        <v>885</v>
      </c>
      <c r="C250" s="135" t="s">
        <v>1096</v>
      </c>
      <c r="D250" s="141">
        <v>0</v>
      </c>
      <c r="E250" s="141">
        <v>0</v>
      </c>
      <c r="F250" s="141">
        <v>0</v>
      </c>
      <c r="G250" s="285">
        <v>0</v>
      </c>
      <c r="H250" s="147">
        <v>0</v>
      </c>
      <c r="I250" s="495">
        <f t="shared" si="12"/>
        <v>0</v>
      </c>
    </row>
    <row r="251" spans="1:9" x14ac:dyDescent="0.15">
      <c r="A251" s="135"/>
      <c r="B251" s="451" t="s">
        <v>966</v>
      </c>
      <c r="C251" s="135" t="s">
        <v>1097</v>
      </c>
      <c r="D251" s="141">
        <v>0</v>
      </c>
      <c r="E251" s="141">
        <v>0</v>
      </c>
      <c r="F251" s="141">
        <v>0</v>
      </c>
      <c r="G251" s="285">
        <v>0</v>
      </c>
      <c r="H251" s="147">
        <v>0</v>
      </c>
      <c r="I251" s="495">
        <f t="shared" si="12"/>
        <v>0</v>
      </c>
    </row>
    <row r="252" spans="1:9" x14ac:dyDescent="0.15">
      <c r="A252" s="135"/>
      <c r="B252" s="451" t="s">
        <v>886</v>
      </c>
      <c r="C252" s="135" t="s">
        <v>1100</v>
      </c>
      <c r="D252" s="141">
        <v>0</v>
      </c>
      <c r="E252" s="141">
        <v>0</v>
      </c>
      <c r="F252" s="141">
        <v>0</v>
      </c>
      <c r="G252" s="285">
        <v>0</v>
      </c>
      <c r="H252" s="147">
        <v>0</v>
      </c>
      <c r="I252" s="495">
        <f t="shared" si="12"/>
        <v>0</v>
      </c>
    </row>
    <row r="253" spans="1:9" x14ac:dyDescent="0.15">
      <c r="A253" s="135"/>
      <c r="B253" s="451" t="s">
        <v>116</v>
      </c>
      <c r="C253" s="135" t="s">
        <v>1105</v>
      </c>
      <c r="D253" s="141">
        <v>0</v>
      </c>
      <c r="E253" s="141">
        <v>0</v>
      </c>
      <c r="F253" s="141">
        <v>0</v>
      </c>
      <c r="G253" s="285">
        <v>0</v>
      </c>
      <c r="H253" s="147">
        <v>0</v>
      </c>
      <c r="I253" s="495">
        <f t="shared" si="12"/>
        <v>0</v>
      </c>
    </row>
    <row r="254" spans="1:9" x14ac:dyDescent="0.15">
      <c r="A254" s="135"/>
      <c r="B254" s="451" t="s">
        <v>112</v>
      </c>
      <c r="C254" s="135" t="s">
        <v>1110</v>
      </c>
      <c r="D254" s="141">
        <v>0</v>
      </c>
      <c r="E254" s="141">
        <v>0</v>
      </c>
      <c r="F254" s="141">
        <v>0</v>
      </c>
      <c r="G254" s="285">
        <v>0</v>
      </c>
      <c r="H254" s="147">
        <v>0</v>
      </c>
      <c r="I254" s="495">
        <f t="shared" si="12"/>
        <v>0</v>
      </c>
    </row>
    <row r="255" spans="1:9" x14ac:dyDescent="0.15">
      <c r="A255" s="135"/>
      <c r="B255" s="451" t="s">
        <v>887</v>
      </c>
      <c r="C255" s="135" t="s">
        <v>1116</v>
      </c>
      <c r="D255" s="141">
        <v>0</v>
      </c>
      <c r="E255" s="141">
        <v>0</v>
      </c>
      <c r="F255" s="141">
        <v>0</v>
      </c>
      <c r="G255" s="285">
        <v>0</v>
      </c>
      <c r="H255" s="147">
        <v>0</v>
      </c>
      <c r="I255" s="495">
        <f t="shared" si="12"/>
        <v>0</v>
      </c>
    </row>
    <row r="256" spans="1:9" x14ac:dyDescent="0.15">
      <c r="A256" s="135"/>
      <c r="B256" s="451" t="s">
        <v>1112</v>
      </c>
      <c r="C256" s="135" t="s">
        <v>1117</v>
      </c>
      <c r="D256" s="141">
        <v>0</v>
      </c>
      <c r="E256" s="141">
        <v>0</v>
      </c>
      <c r="F256" s="141">
        <v>0</v>
      </c>
      <c r="G256" s="285">
        <v>0</v>
      </c>
      <c r="H256" s="147">
        <v>0</v>
      </c>
      <c r="I256" s="495">
        <f t="shared" si="12"/>
        <v>0</v>
      </c>
    </row>
    <row r="257" spans="1:10" x14ac:dyDescent="0.15">
      <c r="A257" s="135"/>
      <c r="B257" s="451" t="s">
        <v>1113</v>
      </c>
      <c r="C257" s="135" t="s">
        <v>1118</v>
      </c>
      <c r="D257" s="141">
        <v>0</v>
      </c>
      <c r="E257" s="141">
        <v>0</v>
      </c>
      <c r="F257" s="141">
        <v>0</v>
      </c>
      <c r="G257" s="285">
        <v>0</v>
      </c>
      <c r="H257" s="147">
        <v>0</v>
      </c>
      <c r="I257" s="495">
        <f t="shared" si="12"/>
        <v>0</v>
      </c>
    </row>
    <row r="258" spans="1:10" ht="11.25" thickBot="1" x14ac:dyDescent="0.2">
      <c r="A258" s="135"/>
      <c r="B258" s="451" t="s">
        <v>1114</v>
      </c>
      <c r="C258" s="135" t="s">
        <v>1119</v>
      </c>
      <c r="D258" s="141">
        <v>0</v>
      </c>
      <c r="E258" s="141">
        <v>0</v>
      </c>
      <c r="F258" s="141">
        <v>0</v>
      </c>
      <c r="G258" s="285">
        <v>0</v>
      </c>
      <c r="H258" s="147">
        <v>0</v>
      </c>
      <c r="I258" s="495">
        <f t="shared" si="12"/>
        <v>0</v>
      </c>
    </row>
    <row r="259" spans="1:10" ht="12" thickTop="1" thickBot="1" x14ac:dyDescent="0.2">
      <c r="A259" s="135"/>
      <c r="B259" s="451"/>
      <c r="C259" s="135" t="s">
        <v>1160</v>
      </c>
      <c r="D259" s="166">
        <f>SUM(D226:D258)</f>
        <v>0</v>
      </c>
      <c r="E259" s="166">
        <f>SUM(E226:E258)</f>
        <v>0</v>
      </c>
      <c r="F259" s="166">
        <f>SUM(F226:F258)</f>
        <v>0</v>
      </c>
      <c r="G259" s="166">
        <f>SUM(G226:G258)</f>
        <v>0</v>
      </c>
      <c r="H259" s="166">
        <f>SUM(H226:H258)</f>
        <v>0</v>
      </c>
      <c r="I259" s="166">
        <f t="shared" si="12"/>
        <v>0</v>
      </c>
    </row>
    <row r="260" spans="1:10" ht="11.25" thickTop="1" x14ac:dyDescent="0.15">
      <c r="A260" s="442"/>
      <c r="B260" s="442"/>
      <c r="C260" s="442"/>
      <c r="D260" s="14"/>
      <c r="E260" s="14"/>
      <c r="F260" s="14"/>
      <c r="G260" s="14"/>
      <c r="H260" s="14"/>
      <c r="I260" s="491"/>
    </row>
    <row r="261" spans="1:10" x14ac:dyDescent="0.15">
      <c r="A261" s="442" t="s">
        <v>129</v>
      </c>
      <c r="B261" s="135"/>
      <c r="C261" s="135"/>
      <c r="D261" s="14"/>
      <c r="E261" s="14"/>
      <c r="F261" s="14"/>
      <c r="G261" s="14"/>
      <c r="H261" s="14"/>
      <c r="I261" s="491"/>
    </row>
    <row r="262" spans="1:10" s="416" customFormat="1" hidden="1" x14ac:dyDescent="0.15">
      <c r="B262" s="453" t="s">
        <v>880</v>
      </c>
      <c r="C262" s="454" t="s">
        <v>1164</v>
      </c>
      <c r="D262" s="308">
        <v>0</v>
      </c>
      <c r="E262" s="308">
        <v>0</v>
      </c>
      <c r="F262" s="308">
        <v>0</v>
      </c>
      <c r="G262" s="458"/>
      <c r="H262" s="457">
        <v>0</v>
      </c>
      <c r="I262" s="494">
        <f t="shared" ref="I262:I295" si="14">SUM(G262+H262)</f>
        <v>0</v>
      </c>
    </row>
    <row r="263" spans="1:10" s="416" customFormat="1" x14ac:dyDescent="0.15">
      <c r="B263" s="453" t="s">
        <v>880</v>
      </c>
      <c r="C263" s="454" t="s">
        <v>337</v>
      </c>
      <c r="D263" s="308">
        <v>0</v>
      </c>
      <c r="E263" s="308">
        <v>0</v>
      </c>
      <c r="F263" s="308">
        <v>0</v>
      </c>
      <c r="G263" s="308">
        <v>0</v>
      </c>
      <c r="H263" s="457">
        <v>0</v>
      </c>
      <c r="I263" s="494">
        <f t="shared" si="14"/>
        <v>0</v>
      </c>
    </row>
    <row r="264" spans="1:10" s="416" customFormat="1" hidden="1" x14ac:dyDescent="0.15">
      <c r="A264" s="454"/>
      <c r="B264" s="453" t="s">
        <v>881</v>
      </c>
      <c r="C264" s="454" t="s">
        <v>382</v>
      </c>
      <c r="D264" s="308">
        <v>0</v>
      </c>
      <c r="E264" s="308">
        <v>0</v>
      </c>
      <c r="F264" s="308">
        <v>0</v>
      </c>
      <c r="G264" s="459"/>
      <c r="H264" s="457">
        <v>0</v>
      </c>
      <c r="I264" s="494">
        <f t="shared" si="14"/>
        <v>0</v>
      </c>
    </row>
    <row r="265" spans="1:10" x14ac:dyDescent="0.15">
      <c r="A265" s="135"/>
      <c r="B265" s="451" t="s">
        <v>881</v>
      </c>
      <c r="C265" s="135" t="s">
        <v>338</v>
      </c>
      <c r="D265" s="144">
        <v>0</v>
      </c>
      <c r="E265" s="144">
        <v>0</v>
      </c>
      <c r="F265" s="144">
        <v>0</v>
      </c>
      <c r="G265" s="144">
        <v>0</v>
      </c>
      <c r="H265" s="147">
        <v>0</v>
      </c>
      <c r="I265" s="495">
        <f t="shared" si="14"/>
        <v>0</v>
      </c>
      <c r="J265" s="416"/>
    </row>
    <row r="266" spans="1:10" x14ac:dyDescent="0.15">
      <c r="A266" s="135"/>
      <c r="B266" s="451" t="s">
        <v>882</v>
      </c>
      <c r="C266" s="135" t="s">
        <v>1058</v>
      </c>
      <c r="D266" s="141">
        <v>0</v>
      </c>
      <c r="E266" s="141">
        <v>0</v>
      </c>
      <c r="F266" s="141">
        <v>0</v>
      </c>
      <c r="G266" s="285">
        <v>0</v>
      </c>
      <c r="H266" s="147">
        <v>0</v>
      </c>
      <c r="I266" s="495">
        <f t="shared" si="14"/>
        <v>0</v>
      </c>
    </row>
    <row r="267" spans="1:10" x14ac:dyDescent="0.15">
      <c r="A267" s="135"/>
      <c r="B267" s="451" t="s">
        <v>883</v>
      </c>
      <c r="C267" s="135" t="s">
        <v>1059</v>
      </c>
      <c r="D267" s="141">
        <v>0</v>
      </c>
      <c r="E267" s="141">
        <v>0</v>
      </c>
      <c r="F267" s="141">
        <v>0</v>
      </c>
      <c r="G267" s="285">
        <v>0</v>
      </c>
      <c r="H267" s="147">
        <v>0</v>
      </c>
      <c r="I267" s="495">
        <f t="shared" si="14"/>
        <v>0</v>
      </c>
    </row>
    <row r="268" spans="1:10" x14ac:dyDescent="0.15">
      <c r="A268" s="135"/>
      <c r="B268" s="451" t="s">
        <v>1060</v>
      </c>
      <c r="C268" s="135" t="s">
        <v>1061</v>
      </c>
      <c r="D268" s="141">
        <v>0</v>
      </c>
      <c r="E268" s="141">
        <v>0</v>
      </c>
      <c r="F268" s="141">
        <v>0</v>
      </c>
      <c r="G268" s="285">
        <v>0</v>
      </c>
      <c r="H268" s="147">
        <v>0</v>
      </c>
      <c r="I268" s="495">
        <f t="shared" si="14"/>
        <v>0</v>
      </c>
    </row>
    <row r="269" spans="1:10" x14ac:dyDescent="0.15">
      <c r="A269" s="135"/>
      <c r="B269" s="451" t="s">
        <v>1062</v>
      </c>
      <c r="C269" s="135" t="s">
        <v>1063</v>
      </c>
      <c r="D269" s="141">
        <v>0</v>
      </c>
      <c r="E269" s="141">
        <v>0</v>
      </c>
      <c r="F269" s="141">
        <v>0</v>
      </c>
      <c r="G269" s="285">
        <v>0</v>
      </c>
      <c r="H269" s="147">
        <v>0</v>
      </c>
      <c r="I269" s="495">
        <f t="shared" si="14"/>
        <v>0</v>
      </c>
    </row>
    <row r="270" spans="1:10" x14ac:dyDescent="0.15">
      <c r="A270" s="135"/>
      <c r="B270" s="451" t="s">
        <v>884</v>
      </c>
      <c r="C270" s="135" t="s">
        <v>1064</v>
      </c>
      <c r="D270" s="141">
        <v>0</v>
      </c>
      <c r="E270" s="141">
        <v>0</v>
      </c>
      <c r="F270" s="141">
        <v>0</v>
      </c>
      <c r="G270" s="285">
        <v>0</v>
      </c>
      <c r="H270" s="147">
        <v>0</v>
      </c>
      <c r="I270" s="495">
        <f t="shared" si="14"/>
        <v>0</v>
      </c>
    </row>
    <row r="271" spans="1:10" x14ac:dyDescent="0.15">
      <c r="A271" s="135"/>
      <c r="B271" s="451" t="s">
        <v>1067</v>
      </c>
      <c r="C271" s="135" t="s">
        <v>1074</v>
      </c>
      <c r="D271" s="141">
        <v>0</v>
      </c>
      <c r="E271" s="141">
        <v>0</v>
      </c>
      <c r="F271" s="141">
        <v>0</v>
      </c>
      <c r="G271" s="285">
        <v>0</v>
      </c>
      <c r="H271" s="147">
        <v>0</v>
      </c>
      <c r="I271" s="495">
        <f t="shared" si="14"/>
        <v>0</v>
      </c>
    </row>
    <row r="272" spans="1:10" x14ac:dyDescent="0.15">
      <c r="A272" s="135"/>
      <c r="B272" s="451" t="s">
        <v>1072</v>
      </c>
      <c r="C272" s="135" t="s">
        <v>920</v>
      </c>
      <c r="D272" s="141">
        <v>0</v>
      </c>
      <c r="E272" s="141">
        <v>0</v>
      </c>
      <c r="F272" s="141">
        <v>0</v>
      </c>
      <c r="G272" s="285">
        <v>0</v>
      </c>
      <c r="H272" s="147">
        <v>0</v>
      </c>
      <c r="I272" s="495">
        <f t="shared" si="14"/>
        <v>0</v>
      </c>
    </row>
    <row r="273" spans="1:9" x14ac:dyDescent="0.15">
      <c r="A273" s="135"/>
      <c r="B273" s="716" t="s">
        <v>155</v>
      </c>
      <c r="C273" s="703" t="s">
        <v>178</v>
      </c>
      <c r="D273" s="141">
        <v>0</v>
      </c>
      <c r="E273" s="141">
        <v>0</v>
      </c>
      <c r="F273" s="141">
        <v>0</v>
      </c>
      <c r="G273" s="285">
        <v>0</v>
      </c>
      <c r="H273" s="147">
        <v>0</v>
      </c>
      <c r="I273" s="495">
        <f t="shared" ref="I273" si="15">SUM(G273+H273)</f>
        <v>0</v>
      </c>
    </row>
    <row r="274" spans="1:9" x14ac:dyDescent="0.15">
      <c r="A274" s="135"/>
      <c r="B274" s="451" t="s">
        <v>921</v>
      </c>
      <c r="C274" s="135" t="s">
        <v>955</v>
      </c>
      <c r="D274" s="141">
        <v>0</v>
      </c>
      <c r="E274" s="141">
        <v>0</v>
      </c>
      <c r="F274" s="141">
        <v>0</v>
      </c>
      <c r="G274" s="285">
        <v>0</v>
      </c>
      <c r="H274" s="147">
        <v>0</v>
      </c>
      <c r="I274" s="495">
        <f t="shared" si="14"/>
        <v>0</v>
      </c>
    </row>
    <row r="275" spans="1:9" x14ac:dyDescent="0.15">
      <c r="A275" s="135"/>
      <c r="B275" s="451" t="s">
        <v>922</v>
      </c>
      <c r="C275" s="135" t="s">
        <v>1123</v>
      </c>
      <c r="D275" s="141">
        <v>0</v>
      </c>
      <c r="E275" s="141">
        <v>0</v>
      </c>
      <c r="F275" s="141">
        <v>0</v>
      </c>
      <c r="G275" s="285">
        <v>0</v>
      </c>
      <c r="H275" s="147">
        <v>0</v>
      </c>
      <c r="I275" s="495">
        <f t="shared" si="14"/>
        <v>0</v>
      </c>
    </row>
    <row r="276" spans="1:9" x14ac:dyDescent="0.15">
      <c r="A276" s="135"/>
      <c r="B276" s="451" t="s">
        <v>923</v>
      </c>
      <c r="C276" s="135" t="s">
        <v>957</v>
      </c>
      <c r="D276" s="141">
        <v>0</v>
      </c>
      <c r="E276" s="141">
        <v>0</v>
      </c>
      <c r="F276" s="141">
        <v>0</v>
      </c>
      <c r="G276" s="285">
        <v>0</v>
      </c>
      <c r="H276" s="147">
        <v>0</v>
      </c>
      <c r="I276" s="495">
        <f t="shared" si="14"/>
        <v>0</v>
      </c>
    </row>
    <row r="277" spans="1:9" x14ac:dyDescent="0.15">
      <c r="A277" s="135"/>
      <c r="B277" s="451" t="s">
        <v>924</v>
      </c>
      <c r="C277" s="135" t="s">
        <v>958</v>
      </c>
      <c r="D277" s="141">
        <v>0</v>
      </c>
      <c r="E277" s="141">
        <v>0</v>
      </c>
      <c r="F277" s="141">
        <v>0</v>
      </c>
      <c r="G277" s="285">
        <v>0</v>
      </c>
      <c r="H277" s="147">
        <v>0</v>
      </c>
      <c r="I277" s="495">
        <f t="shared" si="14"/>
        <v>0</v>
      </c>
    </row>
    <row r="278" spans="1:9" x14ac:dyDescent="0.15">
      <c r="A278" s="135"/>
      <c r="B278" s="451" t="s">
        <v>925</v>
      </c>
      <c r="C278" s="135" t="s">
        <v>1128</v>
      </c>
      <c r="D278" s="141">
        <v>0</v>
      </c>
      <c r="E278" s="141">
        <v>0</v>
      </c>
      <c r="F278" s="141">
        <v>0</v>
      </c>
      <c r="G278" s="285">
        <v>0</v>
      </c>
      <c r="H278" s="147">
        <v>0</v>
      </c>
      <c r="I278" s="495">
        <f t="shared" si="14"/>
        <v>0</v>
      </c>
    </row>
    <row r="279" spans="1:9" x14ac:dyDescent="0.15">
      <c r="A279" s="135"/>
      <c r="B279" s="451" t="s">
        <v>926</v>
      </c>
      <c r="C279" s="135" t="s">
        <v>1129</v>
      </c>
      <c r="D279" s="141">
        <v>0</v>
      </c>
      <c r="E279" s="141">
        <v>0</v>
      </c>
      <c r="F279" s="141">
        <v>0</v>
      </c>
      <c r="G279" s="285">
        <v>0</v>
      </c>
      <c r="H279" s="147">
        <v>0</v>
      </c>
      <c r="I279" s="495">
        <f t="shared" si="14"/>
        <v>0</v>
      </c>
    </row>
    <row r="280" spans="1:9" x14ac:dyDescent="0.15">
      <c r="A280" s="135"/>
      <c r="B280" s="451" t="s">
        <v>927</v>
      </c>
      <c r="C280" s="135" t="s">
        <v>959</v>
      </c>
      <c r="D280" s="141">
        <v>0</v>
      </c>
      <c r="E280" s="141">
        <v>0</v>
      </c>
      <c r="F280" s="141">
        <v>0</v>
      </c>
      <c r="G280" s="285">
        <v>0</v>
      </c>
      <c r="H280" s="147">
        <v>0</v>
      </c>
      <c r="I280" s="495">
        <f t="shared" si="14"/>
        <v>0</v>
      </c>
    </row>
    <row r="281" spans="1:9" x14ac:dyDescent="0.15">
      <c r="A281" s="135"/>
      <c r="B281" s="451" t="s">
        <v>928</v>
      </c>
      <c r="C281" s="135" t="s">
        <v>961</v>
      </c>
      <c r="D281" s="141">
        <v>0</v>
      </c>
      <c r="E281" s="141">
        <v>0</v>
      </c>
      <c r="F281" s="141">
        <v>0</v>
      </c>
      <c r="G281" s="285">
        <v>0</v>
      </c>
      <c r="H281" s="147">
        <v>0</v>
      </c>
      <c r="I281" s="495">
        <f t="shared" si="14"/>
        <v>0</v>
      </c>
    </row>
    <row r="282" spans="1:9" x14ac:dyDescent="0.15">
      <c r="A282" s="135"/>
      <c r="B282" s="451" t="s">
        <v>962</v>
      </c>
      <c r="C282" s="135" t="s">
        <v>967</v>
      </c>
      <c r="D282" s="141">
        <v>0</v>
      </c>
      <c r="E282" s="141">
        <v>0</v>
      </c>
      <c r="F282" s="141">
        <v>0</v>
      </c>
      <c r="G282" s="285">
        <v>0</v>
      </c>
      <c r="H282" s="147">
        <v>0</v>
      </c>
      <c r="I282" s="495">
        <f t="shared" si="14"/>
        <v>0</v>
      </c>
    </row>
    <row r="283" spans="1:9" x14ac:dyDescent="0.15">
      <c r="A283" s="135"/>
      <c r="B283" s="451" t="s">
        <v>963</v>
      </c>
      <c r="C283" s="135" t="s">
        <v>1124</v>
      </c>
      <c r="D283" s="141">
        <v>0</v>
      </c>
      <c r="E283" s="141">
        <v>0</v>
      </c>
      <c r="F283" s="141">
        <v>0</v>
      </c>
      <c r="G283" s="285">
        <v>0</v>
      </c>
      <c r="H283" s="147">
        <v>0</v>
      </c>
      <c r="I283" s="495">
        <f t="shared" si="14"/>
        <v>0</v>
      </c>
    </row>
    <row r="284" spans="1:9" x14ac:dyDescent="0.15">
      <c r="A284" s="135"/>
      <c r="B284" s="451" t="s">
        <v>964</v>
      </c>
      <c r="C284" s="135" t="s">
        <v>1094</v>
      </c>
      <c r="D284" s="141">
        <v>0</v>
      </c>
      <c r="E284" s="141">
        <v>0</v>
      </c>
      <c r="F284" s="141">
        <v>0</v>
      </c>
      <c r="G284" s="285">
        <v>0</v>
      </c>
      <c r="H284" s="147">
        <v>0</v>
      </c>
      <c r="I284" s="495">
        <f t="shared" si="14"/>
        <v>0</v>
      </c>
    </row>
    <row r="285" spans="1:9" x14ac:dyDescent="0.15">
      <c r="A285" s="135"/>
      <c r="B285" s="451" t="s">
        <v>965</v>
      </c>
      <c r="C285" s="135" t="s">
        <v>1095</v>
      </c>
      <c r="D285" s="141">
        <v>0</v>
      </c>
      <c r="E285" s="141">
        <v>0</v>
      </c>
      <c r="F285" s="141">
        <v>0</v>
      </c>
      <c r="G285" s="285">
        <v>0</v>
      </c>
      <c r="H285" s="147">
        <v>0</v>
      </c>
      <c r="I285" s="495">
        <f t="shared" si="14"/>
        <v>0</v>
      </c>
    </row>
    <row r="286" spans="1:9" x14ac:dyDescent="0.15">
      <c r="A286" s="135"/>
      <c r="B286" s="451" t="s">
        <v>885</v>
      </c>
      <c r="C286" s="135" t="s">
        <v>1096</v>
      </c>
      <c r="D286" s="141">
        <v>0</v>
      </c>
      <c r="E286" s="141">
        <v>0</v>
      </c>
      <c r="F286" s="141">
        <v>0</v>
      </c>
      <c r="G286" s="285">
        <v>0</v>
      </c>
      <c r="H286" s="147">
        <v>0</v>
      </c>
      <c r="I286" s="495">
        <f t="shared" si="14"/>
        <v>0</v>
      </c>
    </row>
    <row r="287" spans="1:9" x14ac:dyDescent="0.15">
      <c r="A287" s="135"/>
      <c r="B287" s="451" t="s">
        <v>966</v>
      </c>
      <c r="C287" s="135" t="s">
        <v>1097</v>
      </c>
      <c r="D287" s="141">
        <v>0</v>
      </c>
      <c r="E287" s="141">
        <v>0</v>
      </c>
      <c r="F287" s="141">
        <v>0</v>
      </c>
      <c r="G287" s="285">
        <v>0</v>
      </c>
      <c r="H287" s="147">
        <v>0</v>
      </c>
      <c r="I287" s="495">
        <f t="shared" si="14"/>
        <v>0</v>
      </c>
    </row>
    <row r="288" spans="1:9" x14ac:dyDescent="0.15">
      <c r="A288" s="135"/>
      <c r="B288" s="451" t="s">
        <v>886</v>
      </c>
      <c r="C288" s="135" t="s">
        <v>1100</v>
      </c>
      <c r="D288" s="141">
        <v>0</v>
      </c>
      <c r="E288" s="141">
        <v>0</v>
      </c>
      <c r="F288" s="141">
        <v>0</v>
      </c>
      <c r="G288" s="285">
        <v>0</v>
      </c>
      <c r="H288" s="147">
        <v>0</v>
      </c>
      <c r="I288" s="495">
        <f t="shared" si="14"/>
        <v>0</v>
      </c>
    </row>
    <row r="289" spans="1:10" x14ac:dyDescent="0.15">
      <c r="A289" s="135"/>
      <c r="B289" s="451" t="s">
        <v>116</v>
      </c>
      <c r="C289" s="135" t="s">
        <v>1105</v>
      </c>
      <c r="D289" s="141">
        <v>0</v>
      </c>
      <c r="E289" s="141">
        <v>0</v>
      </c>
      <c r="F289" s="141">
        <v>0</v>
      </c>
      <c r="G289" s="285">
        <v>0</v>
      </c>
      <c r="H289" s="147">
        <v>0</v>
      </c>
      <c r="I289" s="495">
        <f t="shared" si="14"/>
        <v>0</v>
      </c>
    </row>
    <row r="290" spans="1:10" x14ac:dyDescent="0.15">
      <c r="A290" s="135"/>
      <c r="B290" s="451" t="s">
        <v>112</v>
      </c>
      <c r="C290" s="135" t="s">
        <v>1110</v>
      </c>
      <c r="D290" s="141">
        <v>0</v>
      </c>
      <c r="E290" s="141">
        <v>0</v>
      </c>
      <c r="F290" s="141">
        <v>0</v>
      </c>
      <c r="G290" s="285">
        <v>0</v>
      </c>
      <c r="H290" s="147">
        <v>0</v>
      </c>
      <c r="I290" s="495">
        <f t="shared" si="14"/>
        <v>0</v>
      </c>
    </row>
    <row r="291" spans="1:10" x14ac:dyDescent="0.15">
      <c r="A291" s="135"/>
      <c r="B291" s="451" t="s">
        <v>887</v>
      </c>
      <c r="C291" s="135" t="s">
        <v>1116</v>
      </c>
      <c r="D291" s="141">
        <v>0</v>
      </c>
      <c r="E291" s="141">
        <v>0</v>
      </c>
      <c r="F291" s="141">
        <v>0</v>
      </c>
      <c r="G291" s="285">
        <v>0</v>
      </c>
      <c r="H291" s="147">
        <v>0</v>
      </c>
      <c r="I291" s="495">
        <f t="shared" si="14"/>
        <v>0</v>
      </c>
    </row>
    <row r="292" spans="1:10" x14ac:dyDescent="0.15">
      <c r="A292" s="135"/>
      <c r="B292" s="451" t="s">
        <v>1112</v>
      </c>
      <c r="C292" s="135" t="s">
        <v>1117</v>
      </c>
      <c r="D292" s="141">
        <v>0</v>
      </c>
      <c r="E292" s="141">
        <v>0</v>
      </c>
      <c r="F292" s="141">
        <v>0</v>
      </c>
      <c r="G292" s="285">
        <v>0</v>
      </c>
      <c r="H292" s="147">
        <v>0</v>
      </c>
      <c r="I292" s="495">
        <f t="shared" si="14"/>
        <v>0</v>
      </c>
    </row>
    <row r="293" spans="1:10" x14ac:dyDescent="0.15">
      <c r="A293" s="135"/>
      <c r="B293" s="451" t="s">
        <v>1113</v>
      </c>
      <c r="C293" s="135" t="s">
        <v>1118</v>
      </c>
      <c r="D293" s="141">
        <v>0</v>
      </c>
      <c r="E293" s="141">
        <v>0</v>
      </c>
      <c r="F293" s="141">
        <v>0</v>
      </c>
      <c r="G293" s="285">
        <v>0</v>
      </c>
      <c r="H293" s="147">
        <v>0</v>
      </c>
      <c r="I293" s="495">
        <f t="shared" si="14"/>
        <v>0</v>
      </c>
    </row>
    <row r="294" spans="1:10" ht="11.25" thickBot="1" x14ac:dyDescent="0.2">
      <c r="A294" s="135"/>
      <c r="B294" s="451" t="s">
        <v>1114</v>
      </c>
      <c r="C294" s="135" t="s">
        <v>1119</v>
      </c>
      <c r="D294" s="141">
        <v>0</v>
      </c>
      <c r="E294" s="141">
        <v>0</v>
      </c>
      <c r="F294" s="141">
        <v>0</v>
      </c>
      <c r="G294" s="285">
        <v>0</v>
      </c>
      <c r="H294" s="147">
        <v>0</v>
      </c>
      <c r="I294" s="495">
        <f t="shared" si="14"/>
        <v>0</v>
      </c>
    </row>
    <row r="295" spans="1:10" ht="12" thickTop="1" thickBot="1" x14ac:dyDescent="0.2">
      <c r="A295" s="135"/>
      <c r="B295" s="451"/>
      <c r="C295" s="135" t="s">
        <v>1162</v>
      </c>
      <c r="D295" s="166">
        <f>SUM(D262:D294)</f>
        <v>0</v>
      </c>
      <c r="E295" s="166">
        <f>SUM(E262:E294)</f>
        <v>0</v>
      </c>
      <c r="F295" s="166">
        <f>SUM(F262:F294)</f>
        <v>0</v>
      </c>
      <c r="G295" s="166">
        <f>SUM(G262:G294)</f>
        <v>0</v>
      </c>
      <c r="H295" s="166">
        <f>SUM(H262:H294)</f>
        <v>0</v>
      </c>
      <c r="I295" s="166">
        <f t="shared" si="14"/>
        <v>0</v>
      </c>
    </row>
    <row r="296" spans="1:10" ht="11.25" thickTop="1" x14ac:dyDescent="0.15">
      <c r="A296" s="135"/>
      <c r="B296" s="135"/>
      <c r="C296" s="135"/>
      <c r="D296" s="14"/>
      <c r="E296" s="14"/>
      <c r="F296" s="14"/>
      <c r="G296" s="14"/>
      <c r="H296" s="14"/>
      <c r="I296" s="491"/>
    </row>
    <row r="297" spans="1:10" x14ac:dyDescent="0.15">
      <c r="A297" s="442" t="s">
        <v>1161</v>
      </c>
      <c r="B297" s="135"/>
      <c r="C297" s="135"/>
      <c r="D297" s="14"/>
      <c r="E297" s="14"/>
      <c r="F297" s="14"/>
      <c r="G297" s="14"/>
      <c r="H297" s="14"/>
      <c r="I297" s="491"/>
    </row>
    <row r="298" spans="1:10" s="416" customFormat="1" hidden="1" x14ac:dyDescent="0.15">
      <c r="B298" s="453" t="s">
        <v>880</v>
      </c>
      <c r="C298" s="454" t="s">
        <v>1164</v>
      </c>
      <c r="D298" s="308">
        <v>0</v>
      </c>
      <c r="E298" s="308">
        <v>0</v>
      </c>
      <c r="F298" s="308">
        <v>0</v>
      </c>
      <c r="G298" s="458"/>
      <c r="H298" s="457">
        <v>0</v>
      </c>
      <c r="I298" s="494">
        <f t="shared" ref="I298:I331" si="16">SUM(G298+H298)</f>
        <v>0</v>
      </c>
    </row>
    <row r="299" spans="1:10" s="416" customFormat="1" x14ac:dyDescent="0.15">
      <c r="B299" s="453" t="s">
        <v>880</v>
      </c>
      <c r="C299" s="454" t="s">
        <v>337</v>
      </c>
      <c r="D299" s="308">
        <v>0</v>
      </c>
      <c r="E299" s="308">
        <v>0</v>
      </c>
      <c r="F299" s="308">
        <v>0</v>
      </c>
      <c r="G299" s="308">
        <v>0</v>
      </c>
      <c r="H299" s="457">
        <v>0</v>
      </c>
      <c r="I299" s="494">
        <f t="shared" si="16"/>
        <v>0</v>
      </c>
    </row>
    <row r="300" spans="1:10" s="416" customFormat="1" hidden="1" x14ac:dyDescent="0.15">
      <c r="A300" s="454"/>
      <c r="B300" s="453" t="s">
        <v>881</v>
      </c>
      <c r="C300" s="454" t="s">
        <v>382</v>
      </c>
      <c r="D300" s="308">
        <v>0</v>
      </c>
      <c r="E300" s="308">
        <v>0</v>
      </c>
      <c r="F300" s="308">
        <v>0</v>
      </c>
      <c r="G300" s="459"/>
      <c r="H300" s="457">
        <v>0</v>
      </c>
      <c r="I300" s="494">
        <f t="shared" si="16"/>
        <v>0</v>
      </c>
    </row>
    <row r="301" spans="1:10" x14ac:dyDescent="0.15">
      <c r="A301" s="135"/>
      <c r="B301" s="451" t="s">
        <v>881</v>
      </c>
      <c r="C301" s="135" t="s">
        <v>338</v>
      </c>
      <c r="D301" s="144">
        <v>0</v>
      </c>
      <c r="E301" s="144">
        <v>0</v>
      </c>
      <c r="F301" s="144">
        <v>0</v>
      </c>
      <c r="G301" s="144">
        <v>0</v>
      </c>
      <c r="H301" s="147">
        <v>0</v>
      </c>
      <c r="I301" s="495">
        <f t="shared" si="16"/>
        <v>0</v>
      </c>
      <c r="J301" s="416"/>
    </row>
    <row r="302" spans="1:10" x14ac:dyDescent="0.15">
      <c r="A302" s="135"/>
      <c r="B302" s="451" t="s">
        <v>882</v>
      </c>
      <c r="C302" s="135" t="s">
        <v>1058</v>
      </c>
      <c r="D302" s="141">
        <v>0</v>
      </c>
      <c r="E302" s="141">
        <v>0</v>
      </c>
      <c r="F302" s="141">
        <v>0</v>
      </c>
      <c r="G302" s="285">
        <v>0</v>
      </c>
      <c r="H302" s="147">
        <v>0</v>
      </c>
      <c r="I302" s="495">
        <f t="shared" si="16"/>
        <v>0</v>
      </c>
    </row>
    <row r="303" spans="1:10" x14ac:dyDescent="0.15">
      <c r="A303" s="135"/>
      <c r="B303" s="451" t="s">
        <v>883</v>
      </c>
      <c r="C303" s="135" t="s">
        <v>1059</v>
      </c>
      <c r="D303" s="141">
        <v>0</v>
      </c>
      <c r="E303" s="141">
        <v>0</v>
      </c>
      <c r="F303" s="141">
        <v>0</v>
      </c>
      <c r="G303" s="285">
        <v>0</v>
      </c>
      <c r="H303" s="147">
        <v>0</v>
      </c>
      <c r="I303" s="495">
        <f t="shared" si="16"/>
        <v>0</v>
      </c>
    </row>
    <row r="304" spans="1:10" x14ac:dyDescent="0.15">
      <c r="A304" s="135"/>
      <c r="B304" s="451" t="s">
        <v>1060</v>
      </c>
      <c r="C304" s="135" t="s">
        <v>1061</v>
      </c>
      <c r="D304" s="141">
        <v>0</v>
      </c>
      <c r="E304" s="141">
        <v>0</v>
      </c>
      <c r="F304" s="141">
        <v>0</v>
      </c>
      <c r="G304" s="285">
        <v>0</v>
      </c>
      <c r="H304" s="147">
        <v>0</v>
      </c>
      <c r="I304" s="495">
        <f t="shared" si="16"/>
        <v>0</v>
      </c>
    </row>
    <row r="305" spans="1:9" x14ac:dyDescent="0.15">
      <c r="A305" s="135"/>
      <c r="B305" s="451" t="s">
        <v>1062</v>
      </c>
      <c r="C305" s="135" t="s">
        <v>1063</v>
      </c>
      <c r="D305" s="141">
        <v>0</v>
      </c>
      <c r="E305" s="141">
        <v>0</v>
      </c>
      <c r="F305" s="141">
        <v>0</v>
      </c>
      <c r="G305" s="285">
        <v>0</v>
      </c>
      <c r="H305" s="147">
        <v>0</v>
      </c>
      <c r="I305" s="495">
        <f t="shared" si="16"/>
        <v>0</v>
      </c>
    </row>
    <row r="306" spans="1:9" x14ac:dyDescent="0.15">
      <c r="A306" s="135"/>
      <c r="B306" s="451" t="s">
        <v>884</v>
      </c>
      <c r="C306" s="135" t="s">
        <v>1064</v>
      </c>
      <c r="D306" s="141">
        <v>0</v>
      </c>
      <c r="E306" s="141">
        <v>0</v>
      </c>
      <c r="F306" s="141">
        <v>0</v>
      </c>
      <c r="G306" s="285">
        <v>0</v>
      </c>
      <c r="H306" s="147">
        <v>0</v>
      </c>
      <c r="I306" s="495">
        <f t="shared" si="16"/>
        <v>0</v>
      </c>
    </row>
    <row r="307" spans="1:9" x14ac:dyDescent="0.15">
      <c r="A307" s="135"/>
      <c r="B307" s="451" t="s">
        <v>1067</v>
      </c>
      <c r="C307" s="135" t="s">
        <v>1074</v>
      </c>
      <c r="D307" s="141">
        <v>0</v>
      </c>
      <c r="E307" s="141">
        <v>0</v>
      </c>
      <c r="F307" s="141">
        <v>0</v>
      </c>
      <c r="G307" s="285">
        <v>0</v>
      </c>
      <c r="H307" s="147">
        <v>0</v>
      </c>
      <c r="I307" s="495">
        <f t="shared" si="16"/>
        <v>0</v>
      </c>
    </row>
    <row r="308" spans="1:9" x14ac:dyDescent="0.15">
      <c r="A308" s="135"/>
      <c r="B308" s="451" t="s">
        <v>1072</v>
      </c>
      <c r="C308" s="135" t="s">
        <v>920</v>
      </c>
      <c r="D308" s="141">
        <v>0</v>
      </c>
      <c r="E308" s="141">
        <v>0</v>
      </c>
      <c r="F308" s="141">
        <v>0</v>
      </c>
      <c r="G308" s="285">
        <v>0</v>
      </c>
      <c r="H308" s="147">
        <v>0</v>
      </c>
      <c r="I308" s="495">
        <f t="shared" si="16"/>
        <v>0</v>
      </c>
    </row>
    <row r="309" spans="1:9" x14ac:dyDescent="0.15">
      <c r="A309" s="135"/>
      <c r="B309" s="716" t="s">
        <v>155</v>
      </c>
      <c r="C309" s="703" t="s">
        <v>178</v>
      </c>
      <c r="D309" s="141">
        <v>0</v>
      </c>
      <c r="E309" s="141">
        <v>0</v>
      </c>
      <c r="F309" s="141">
        <v>0</v>
      </c>
      <c r="G309" s="285">
        <v>0</v>
      </c>
      <c r="H309" s="147">
        <v>0</v>
      </c>
      <c r="I309" s="495">
        <f t="shared" ref="I309" si="17">SUM(G309+H309)</f>
        <v>0</v>
      </c>
    </row>
    <row r="310" spans="1:9" x14ac:dyDescent="0.15">
      <c r="A310" s="135"/>
      <c r="B310" s="451" t="s">
        <v>921</v>
      </c>
      <c r="C310" s="135" t="s">
        <v>955</v>
      </c>
      <c r="D310" s="141">
        <v>0</v>
      </c>
      <c r="E310" s="141">
        <v>0</v>
      </c>
      <c r="F310" s="141">
        <v>0</v>
      </c>
      <c r="G310" s="285">
        <v>0</v>
      </c>
      <c r="H310" s="147">
        <v>0</v>
      </c>
      <c r="I310" s="495">
        <f t="shared" si="16"/>
        <v>0</v>
      </c>
    </row>
    <row r="311" spans="1:9" x14ac:dyDescent="0.15">
      <c r="A311" s="135"/>
      <c r="B311" s="451" t="s">
        <v>922</v>
      </c>
      <c r="C311" s="135" t="s">
        <v>1123</v>
      </c>
      <c r="D311" s="141">
        <v>0</v>
      </c>
      <c r="E311" s="141">
        <v>0</v>
      </c>
      <c r="F311" s="141">
        <v>0</v>
      </c>
      <c r="G311" s="285">
        <v>0</v>
      </c>
      <c r="H311" s="147">
        <v>0</v>
      </c>
      <c r="I311" s="495">
        <f t="shared" si="16"/>
        <v>0</v>
      </c>
    </row>
    <row r="312" spans="1:9" x14ac:dyDescent="0.15">
      <c r="A312" s="135"/>
      <c r="B312" s="451" t="s">
        <v>923</v>
      </c>
      <c r="C312" s="135" t="s">
        <v>957</v>
      </c>
      <c r="D312" s="141">
        <v>0</v>
      </c>
      <c r="E312" s="141">
        <v>0</v>
      </c>
      <c r="F312" s="141">
        <v>0</v>
      </c>
      <c r="G312" s="285">
        <v>0</v>
      </c>
      <c r="H312" s="147">
        <v>0</v>
      </c>
      <c r="I312" s="495">
        <f t="shared" si="16"/>
        <v>0</v>
      </c>
    </row>
    <row r="313" spans="1:9" x14ac:dyDescent="0.15">
      <c r="A313" s="135"/>
      <c r="B313" s="451" t="s">
        <v>924</v>
      </c>
      <c r="C313" s="135" t="s">
        <v>958</v>
      </c>
      <c r="D313" s="141">
        <v>0</v>
      </c>
      <c r="E313" s="141">
        <v>0</v>
      </c>
      <c r="F313" s="141">
        <v>0</v>
      </c>
      <c r="G313" s="285">
        <v>0</v>
      </c>
      <c r="H313" s="147">
        <v>0</v>
      </c>
      <c r="I313" s="495">
        <f t="shared" si="16"/>
        <v>0</v>
      </c>
    </row>
    <row r="314" spans="1:9" x14ac:dyDescent="0.15">
      <c r="A314" s="135"/>
      <c r="B314" s="451" t="s">
        <v>925</v>
      </c>
      <c r="C314" s="135" t="s">
        <v>1128</v>
      </c>
      <c r="D314" s="141">
        <v>0</v>
      </c>
      <c r="E314" s="141">
        <v>0</v>
      </c>
      <c r="F314" s="141">
        <v>0</v>
      </c>
      <c r="G314" s="285">
        <v>0</v>
      </c>
      <c r="H314" s="147">
        <v>0</v>
      </c>
      <c r="I314" s="495">
        <f t="shared" si="16"/>
        <v>0</v>
      </c>
    </row>
    <row r="315" spans="1:9" x14ac:dyDescent="0.15">
      <c r="A315" s="135"/>
      <c r="B315" s="451" t="s">
        <v>926</v>
      </c>
      <c r="C315" s="135" t="s">
        <v>1129</v>
      </c>
      <c r="D315" s="141">
        <v>0</v>
      </c>
      <c r="E315" s="141">
        <v>0</v>
      </c>
      <c r="F315" s="141">
        <v>0</v>
      </c>
      <c r="G315" s="285">
        <v>0</v>
      </c>
      <c r="H315" s="147">
        <v>0</v>
      </c>
      <c r="I315" s="495">
        <f t="shared" si="16"/>
        <v>0</v>
      </c>
    </row>
    <row r="316" spans="1:9" x14ac:dyDescent="0.15">
      <c r="A316" s="135"/>
      <c r="B316" s="451" t="s">
        <v>927</v>
      </c>
      <c r="C316" s="135" t="s">
        <v>959</v>
      </c>
      <c r="D316" s="141">
        <v>0</v>
      </c>
      <c r="E316" s="141">
        <v>0</v>
      </c>
      <c r="F316" s="141">
        <v>0</v>
      </c>
      <c r="G316" s="285">
        <v>0</v>
      </c>
      <c r="H316" s="147">
        <v>0</v>
      </c>
      <c r="I316" s="495">
        <f t="shared" si="16"/>
        <v>0</v>
      </c>
    </row>
    <row r="317" spans="1:9" x14ac:dyDescent="0.15">
      <c r="A317" s="135"/>
      <c r="B317" s="451" t="s">
        <v>928</v>
      </c>
      <c r="C317" s="135" t="s">
        <v>961</v>
      </c>
      <c r="D317" s="141">
        <v>0</v>
      </c>
      <c r="E317" s="141">
        <v>0</v>
      </c>
      <c r="F317" s="141">
        <v>0</v>
      </c>
      <c r="G317" s="285">
        <v>0</v>
      </c>
      <c r="H317" s="147">
        <v>0</v>
      </c>
      <c r="I317" s="495">
        <f t="shared" si="16"/>
        <v>0</v>
      </c>
    </row>
    <row r="318" spans="1:9" x14ac:dyDescent="0.15">
      <c r="A318" s="135"/>
      <c r="B318" s="451" t="s">
        <v>962</v>
      </c>
      <c r="C318" s="135" t="s">
        <v>967</v>
      </c>
      <c r="D318" s="141">
        <v>0</v>
      </c>
      <c r="E318" s="141">
        <v>0</v>
      </c>
      <c r="F318" s="141">
        <v>0</v>
      </c>
      <c r="G318" s="285">
        <v>0</v>
      </c>
      <c r="H318" s="147">
        <v>0</v>
      </c>
      <c r="I318" s="495">
        <f t="shared" si="16"/>
        <v>0</v>
      </c>
    </row>
    <row r="319" spans="1:9" x14ac:dyDescent="0.15">
      <c r="A319" s="135"/>
      <c r="B319" s="451" t="s">
        <v>963</v>
      </c>
      <c r="C319" s="135" t="s">
        <v>1124</v>
      </c>
      <c r="D319" s="141">
        <v>0</v>
      </c>
      <c r="E319" s="141">
        <v>0</v>
      </c>
      <c r="F319" s="141">
        <v>0</v>
      </c>
      <c r="G319" s="285">
        <v>0</v>
      </c>
      <c r="H319" s="147">
        <v>0</v>
      </c>
      <c r="I319" s="495">
        <f t="shared" si="16"/>
        <v>0</v>
      </c>
    </row>
    <row r="320" spans="1:9" x14ac:dyDescent="0.15">
      <c r="A320" s="135"/>
      <c r="B320" s="451" t="s">
        <v>964</v>
      </c>
      <c r="C320" s="135" t="s">
        <v>1094</v>
      </c>
      <c r="D320" s="141">
        <v>0</v>
      </c>
      <c r="E320" s="141">
        <v>0</v>
      </c>
      <c r="F320" s="141">
        <v>0</v>
      </c>
      <c r="G320" s="285">
        <v>0</v>
      </c>
      <c r="H320" s="147">
        <v>0</v>
      </c>
      <c r="I320" s="495">
        <f t="shared" si="16"/>
        <v>0</v>
      </c>
    </row>
    <row r="321" spans="1:9" x14ac:dyDescent="0.15">
      <c r="A321" s="135"/>
      <c r="B321" s="451" t="s">
        <v>965</v>
      </c>
      <c r="C321" s="135" t="s">
        <v>1095</v>
      </c>
      <c r="D321" s="141">
        <v>0</v>
      </c>
      <c r="E321" s="141">
        <v>0</v>
      </c>
      <c r="F321" s="141">
        <v>0</v>
      </c>
      <c r="G321" s="285">
        <v>0</v>
      </c>
      <c r="H321" s="147">
        <v>0</v>
      </c>
      <c r="I321" s="495">
        <f t="shared" si="16"/>
        <v>0</v>
      </c>
    </row>
    <row r="322" spans="1:9" x14ac:dyDescent="0.15">
      <c r="A322" s="135"/>
      <c r="B322" s="451" t="s">
        <v>885</v>
      </c>
      <c r="C322" s="135" t="s">
        <v>1096</v>
      </c>
      <c r="D322" s="141">
        <v>0</v>
      </c>
      <c r="E322" s="141">
        <v>0</v>
      </c>
      <c r="F322" s="141">
        <v>0</v>
      </c>
      <c r="G322" s="285">
        <v>0</v>
      </c>
      <c r="H322" s="147">
        <v>0</v>
      </c>
      <c r="I322" s="495">
        <f t="shared" si="16"/>
        <v>0</v>
      </c>
    </row>
    <row r="323" spans="1:9" x14ac:dyDescent="0.15">
      <c r="A323" s="135"/>
      <c r="B323" s="451" t="s">
        <v>966</v>
      </c>
      <c r="C323" s="135" t="s">
        <v>1097</v>
      </c>
      <c r="D323" s="141">
        <v>0</v>
      </c>
      <c r="E323" s="141">
        <v>0</v>
      </c>
      <c r="F323" s="141">
        <v>0</v>
      </c>
      <c r="G323" s="285">
        <v>0</v>
      </c>
      <c r="H323" s="147">
        <v>0</v>
      </c>
      <c r="I323" s="495">
        <f t="shared" si="16"/>
        <v>0</v>
      </c>
    </row>
    <row r="324" spans="1:9" x14ac:dyDescent="0.15">
      <c r="A324" s="135"/>
      <c r="B324" s="451" t="s">
        <v>886</v>
      </c>
      <c r="C324" s="135" t="s">
        <v>1100</v>
      </c>
      <c r="D324" s="141">
        <v>0</v>
      </c>
      <c r="E324" s="141">
        <v>0</v>
      </c>
      <c r="F324" s="141">
        <v>0</v>
      </c>
      <c r="G324" s="285">
        <v>0</v>
      </c>
      <c r="H324" s="147">
        <v>0</v>
      </c>
      <c r="I324" s="495">
        <f t="shared" si="16"/>
        <v>0</v>
      </c>
    </row>
    <row r="325" spans="1:9" x14ac:dyDescent="0.15">
      <c r="A325" s="135"/>
      <c r="B325" s="451" t="s">
        <v>116</v>
      </c>
      <c r="C325" s="135" t="s">
        <v>1105</v>
      </c>
      <c r="D325" s="141">
        <v>0</v>
      </c>
      <c r="E325" s="141">
        <v>0</v>
      </c>
      <c r="F325" s="141">
        <v>0</v>
      </c>
      <c r="G325" s="285">
        <v>0</v>
      </c>
      <c r="H325" s="147">
        <v>0</v>
      </c>
      <c r="I325" s="495">
        <f t="shared" si="16"/>
        <v>0</v>
      </c>
    </row>
    <row r="326" spans="1:9" x14ac:dyDescent="0.15">
      <c r="A326" s="135"/>
      <c r="B326" s="451" t="s">
        <v>112</v>
      </c>
      <c r="C326" s="135" t="s">
        <v>1110</v>
      </c>
      <c r="D326" s="141">
        <v>0</v>
      </c>
      <c r="E326" s="141">
        <v>0</v>
      </c>
      <c r="F326" s="141">
        <v>0</v>
      </c>
      <c r="G326" s="285">
        <v>0</v>
      </c>
      <c r="H326" s="147">
        <v>0</v>
      </c>
      <c r="I326" s="495">
        <f t="shared" si="16"/>
        <v>0</v>
      </c>
    </row>
    <row r="327" spans="1:9" x14ac:dyDescent="0.15">
      <c r="A327" s="135"/>
      <c r="B327" s="451" t="s">
        <v>887</v>
      </c>
      <c r="C327" s="135" t="s">
        <v>1116</v>
      </c>
      <c r="D327" s="141">
        <v>0</v>
      </c>
      <c r="E327" s="141">
        <v>0</v>
      </c>
      <c r="F327" s="141">
        <v>0</v>
      </c>
      <c r="G327" s="285">
        <v>0</v>
      </c>
      <c r="H327" s="147">
        <v>0</v>
      </c>
      <c r="I327" s="495">
        <f t="shared" si="16"/>
        <v>0</v>
      </c>
    </row>
    <row r="328" spans="1:9" x14ac:dyDescent="0.15">
      <c r="A328" s="135"/>
      <c r="B328" s="451" t="s">
        <v>1112</v>
      </c>
      <c r="C328" s="135" t="s">
        <v>1117</v>
      </c>
      <c r="D328" s="141">
        <v>0</v>
      </c>
      <c r="E328" s="141">
        <v>0</v>
      </c>
      <c r="F328" s="141">
        <v>0</v>
      </c>
      <c r="G328" s="285">
        <v>0</v>
      </c>
      <c r="H328" s="147">
        <v>0</v>
      </c>
      <c r="I328" s="495">
        <f t="shared" si="16"/>
        <v>0</v>
      </c>
    </row>
    <row r="329" spans="1:9" x14ac:dyDescent="0.15">
      <c r="A329" s="135"/>
      <c r="B329" s="451" t="s">
        <v>1113</v>
      </c>
      <c r="C329" s="135" t="s">
        <v>1118</v>
      </c>
      <c r="D329" s="141">
        <v>0</v>
      </c>
      <c r="E329" s="141">
        <v>0</v>
      </c>
      <c r="F329" s="141">
        <v>0</v>
      </c>
      <c r="G329" s="285">
        <v>0</v>
      </c>
      <c r="H329" s="147">
        <v>0</v>
      </c>
      <c r="I329" s="495">
        <f t="shared" si="16"/>
        <v>0</v>
      </c>
    </row>
    <row r="330" spans="1:9" ht="11.25" thickBot="1" x14ac:dyDescent="0.2">
      <c r="A330" s="135"/>
      <c r="B330" s="451" t="s">
        <v>1114</v>
      </c>
      <c r="C330" s="135" t="s">
        <v>1119</v>
      </c>
      <c r="D330" s="141">
        <v>0</v>
      </c>
      <c r="E330" s="141">
        <v>0</v>
      </c>
      <c r="F330" s="141">
        <v>0</v>
      </c>
      <c r="G330" s="285">
        <v>0</v>
      </c>
      <c r="H330" s="147">
        <v>0</v>
      </c>
      <c r="I330" s="495">
        <f t="shared" si="16"/>
        <v>0</v>
      </c>
    </row>
    <row r="331" spans="1:9" ht="12" thickTop="1" thickBot="1" x14ac:dyDescent="0.2">
      <c r="A331" s="135"/>
      <c r="B331" s="451"/>
      <c r="C331" s="135" t="s">
        <v>1163</v>
      </c>
      <c r="D331" s="166">
        <f>SUM(D298:D330)</f>
        <v>0</v>
      </c>
      <c r="E331" s="166">
        <f>SUM(E298:E330)</f>
        <v>0</v>
      </c>
      <c r="F331" s="166">
        <f>SUM(F298:F330)</f>
        <v>0</v>
      </c>
      <c r="G331" s="166">
        <f>SUM(G298:G330)</f>
        <v>0</v>
      </c>
      <c r="H331" s="166">
        <f>SUM(H298:H330)</f>
        <v>0</v>
      </c>
      <c r="I331" s="166">
        <f t="shared" si="16"/>
        <v>0</v>
      </c>
    </row>
    <row r="332" spans="1:9" ht="11.25" thickTop="1" x14ac:dyDescent="0.15">
      <c r="A332" s="135"/>
      <c r="B332" s="135"/>
      <c r="C332" s="135"/>
      <c r="D332" s="14"/>
      <c r="E332" s="14"/>
      <c r="F332" s="14"/>
      <c r="G332" s="14"/>
      <c r="H332" s="14"/>
      <c r="I332" s="491"/>
    </row>
    <row r="333" spans="1:9" x14ac:dyDescent="0.15">
      <c r="A333" s="442" t="s">
        <v>1170</v>
      </c>
      <c r="B333" s="135"/>
      <c r="C333" s="135"/>
      <c r="D333" s="14"/>
      <c r="E333" s="14"/>
      <c r="F333" s="14"/>
      <c r="G333" s="14"/>
      <c r="H333" s="14"/>
      <c r="I333" s="491"/>
    </row>
    <row r="334" spans="1:9" s="416" customFormat="1" hidden="1" x14ac:dyDescent="0.15">
      <c r="B334" s="453" t="s">
        <v>880</v>
      </c>
      <c r="C334" s="454" t="s">
        <v>1164</v>
      </c>
      <c r="D334" s="308">
        <v>0</v>
      </c>
      <c r="E334" s="308">
        <v>0</v>
      </c>
      <c r="F334" s="308">
        <v>0</v>
      </c>
      <c r="G334" s="458"/>
      <c r="H334" s="457">
        <v>0</v>
      </c>
      <c r="I334" s="494">
        <f t="shared" ref="I334:I367" si="18">SUM(G334+H334)</f>
        <v>0</v>
      </c>
    </row>
    <row r="335" spans="1:9" s="416" customFormat="1" x14ac:dyDescent="0.15">
      <c r="B335" s="453" t="s">
        <v>880</v>
      </c>
      <c r="C335" s="454" t="s">
        <v>337</v>
      </c>
      <c r="D335" s="308">
        <v>0</v>
      </c>
      <c r="E335" s="308">
        <v>0</v>
      </c>
      <c r="F335" s="308">
        <v>0</v>
      </c>
      <c r="G335" s="308">
        <v>0</v>
      </c>
      <c r="H335" s="457">
        <v>0</v>
      </c>
      <c r="I335" s="494">
        <f t="shared" si="18"/>
        <v>0</v>
      </c>
    </row>
    <row r="336" spans="1:9" s="416" customFormat="1" hidden="1" x14ac:dyDescent="0.15">
      <c r="A336" s="454"/>
      <c r="B336" s="453" t="s">
        <v>881</v>
      </c>
      <c r="C336" s="454" t="s">
        <v>382</v>
      </c>
      <c r="D336" s="308">
        <v>0</v>
      </c>
      <c r="E336" s="308">
        <v>0</v>
      </c>
      <c r="F336" s="308">
        <v>0</v>
      </c>
      <c r="G336" s="459"/>
      <c r="H336" s="457">
        <v>0</v>
      </c>
      <c r="I336" s="494">
        <f t="shared" si="18"/>
        <v>0</v>
      </c>
    </row>
    <row r="337" spans="1:10" x14ac:dyDescent="0.15">
      <c r="A337" s="135"/>
      <c r="B337" s="451" t="s">
        <v>881</v>
      </c>
      <c r="C337" s="135" t="s">
        <v>338</v>
      </c>
      <c r="D337" s="144">
        <v>0</v>
      </c>
      <c r="E337" s="144">
        <v>0</v>
      </c>
      <c r="F337" s="144">
        <v>0</v>
      </c>
      <c r="G337" s="144">
        <v>0</v>
      </c>
      <c r="H337" s="147">
        <v>0</v>
      </c>
      <c r="I337" s="495">
        <f t="shared" si="18"/>
        <v>0</v>
      </c>
      <c r="J337" s="416"/>
    </row>
    <row r="338" spans="1:10" x14ac:dyDescent="0.15">
      <c r="A338" s="135"/>
      <c r="B338" s="451" t="s">
        <v>882</v>
      </c>
      <c r="C338" s="135" t="s">
        <v>1058</v>
      </c>
      <c r="D338" s="141">
        <v>0</v>
      </c>
      <c r="E338" s="141">
        <v>0</v>
      </c>
      <c r="F338" s="141">
        <v>0</v>
      </c>
      <c r="G338" s="285">
        <v>0</v>
      </c>
      <c r="H338" s="147">
        <v>0</v>
      </c>
      <c r="I338" s="495">
        <f t="shared" si="18"/>
        <v>0</v>
      </c>
    </row>
    <row r="339" spans="1:10" x14ac:dyDescent="0.15">
      <c r="A339" s="135"/>
      <c r="B339" s="451" t="s">
        <v>883</v>
      </c>
      <c r="C339" s="135" t="s">
        <v>1059</v>
      </c>
      <c r="D339" s="141">
        <v>0</v>
      </c>
      <c r="E339" s="141">
        <v>0</v>
      </c>
      <c r="F339" s="141">
        <v>0</v>
      </c>
      <c r="G339" s="285">
        <v>0</v>
      </c>
      <c r="H339" s="147">
        <v>0</v>
      </c>
      <c r="I339" s="495">
        <f t="shared" si="18"/>
        <v>0</v>
      </c>
    </row>
    <row r="340" spans="1:10" x14ac:dyDescent="0.15">
      <c r="A340" s="135"/>
      <c r="B340" s="451" t="s">
        <v>1060</v>
      </c>
      <c r="C340" s="135" t="s">
        <v>1061</v>
      </c>
      <c r="D340" s="141">
        <v>0</v>
      </c>
      <c r="E340" s="141">
        <v>0</v>
      </c>
      <c r="F340" s="141">
        <v>0</v>
      </c>
      <c r="G340" s="285">
        <v>0</v>
      </c>
      <c r="H340" s="147">
        <v>0</v>
      </c>
      <c r="I340" s="495">
        <f t="shared" si="18"/>
        <v>0</v>
      </c>
    </row>
    <row r="341" spans="1:10" x14ac:dyDescent="0.15">
      <c r="A341" s="135"/>
      <c r="B341" s="451" t="s">
        <v>1062</v>
      </c>
      <c r="C341" s="135" t="s">
        <v>1063</v>
      </c>
      <c r="D341" s="141">
        <v>0</v>
      </c>
      <c r="E341" s="141">
        <v>0</v>
      </c>
      <c r="F341" s="141">
        <v>0</v>
      </c>
      <c r="G341" s="285">
        <v>0</v>
      </c>
      <c r="H341" s="147">
        <v>0</v>
      </c>
      <c r="I341" s="495">
        <f t="shared" si="18"/>
        <v>0</v>
      </c>
    </row>
    <row r="342" spans="1:10" x14ac:dyDescent="0.15">
      <c r="A342" s="135"/>
      <c r="B342" s="451" t="s">
        <v>884</v>
      </c>
      <c r="C342" s="135" t="s">
        <v>1064</v>
      </c>
      <c r="D342" s="141">
        <v>0</v>
      </c>
      <c r="E342" s="141">
        <v>0</v>
      </c>
      <c r="F342" s="141">
        <v>0</v>
      </c>
      <c r="G342" s="285">
        <v>0</v>
      </c>
      <c r="H342" s="147">
        <v>0</v>
      </c>
      <c r="I342" s="495">
        <f t="shared" si="18"/>
        <v>0</v>
      </c>
    </row>
    <row r="343" spans="1:10" x14ac:dyDescent="0.15">
      <c r="A343" s="135"/>
      <c r="B343" s="451" t="s">
        <v>1067</v>
      </c>
      <c r="C343" s="135" t="s">
        <v>1074</v>
      </c>
      <c r="D343" s="141">
        <v>0</v>
      </c>
      <c r="E343" s="141">
        <v>0</v>
      </c>
      <c r="F343" s="141">
        <v>0</v>
      </c>
      <c r="G343" s="285">
        <v>0</v>
      </c>
      <c r="H343" s="147">
        <v>0</v>
      </c>
      <c r="I343" s="495">
        <f t="shared" si="18"/>
        <v>0</v>
      </c>
    </row>
    <row r="344" spans="1:10" x14ac:dyDescent="0.15">
      <c r="A344" s="135"/>
      <c r="B344" s="451" t="s">
        <v>1072</v>
      </c>
      <c r="C344" s="135" t="s">
        <v>920</v>
      </c>
      <c r="D344" s="141">
        <v>0</v>
      </c>
      <c r="E344" s="141">
        <v>0</v>
      </c>
      <c r="F344" s="141">
        <v>0</v>
      </c>
      <c r="G344" s="285">
        <v>0</v>
      </c>
      <c r="H344" s="147">
        <v>0</v>
      </c>
      <c r="I344" s="495">
        <f t="shared" si="18"/>
        <v>0</v>
      </c>
    </row>
    <row r="345" spans="1:10" x14ac:dyDescent="0.15">
      <c r="A345" s="135"/>
      <c r="B345" s="716" t="s">
        <v>155</v>
      </c>
      <c r="C345" s="703" t="s">
        <v>178</v>
      </c>
      <c r="D345" s="141">
        <v>0</v>
      </c>
      <c r="E345" s="141">
        <v>0</v>
      </c>
      <c r="F345" s="141">
        <v>0</v>
      </c>
      <c r="G345" s="285">
        <v>0</v>
      </c>
      <c r="H345" s="147">
        <v>0</v>
      </c>
      <c r="I345" s="495">
        <f t="shared" ref="I345" si="19">SUM(G345+H345)</f>
        <v>0</v>
      </c>
    </row>
    <row r="346" spans="1:10" x14ac:dyDescent="0.15">
      <c r="A346" s="135"/>
      <c r="B346" s="451" t="s">
        <v>921</v>
      </c>
      <c r="C346" s="135" t="s">
        <v>955</v>
      </c>
      <c r="D346" s="141">
        <v>0</v>
      </c>
      <c r="E346" s="141">
        <v>0</v>
      </c>
      <c r="F346" s="141">
        <v>0</v>
      </c>
      <c r="G346" s="285">
        <v>0</v>
      </c>
      <c r="H346" s="147">
        <v>0</v>
      </c>
      <c r="I346" s="495">
        <f t="shared" si="18"/>
        <v>0</v>
      </c>
    </row>
    <row r="347" spans="1:10" x14ac:dyDescent="0.15">
      <c r="A347" s="135"/>
      <c r="B347" s="451" t="s">
        <v>922</v>
      </c>
      <c r="C347" s="135" t="s">
        <v>1123</v>
      </c>
      <c r="D347" s="141">
        <v>0</v>
      </c>
      <c r="E347" s="141">
        <v>0</v>
      </c>
      <c r="F347" s="141">
        <v>0</v>
      </c>
      <c r="G347" s="285">
        <v>0</v>
      </c>
      <c r="H347" s="147">
        <v>0</v>
      </c>
      <c r="I347" s="495">
        <f t="shared" si="18"/>
        <v>0</v>
      </c>
    </row>
    <row r="348" spans="1:10" x14ac:dyDescent="0.15">
      <c r="A348" s="135"/>
      <c r="B348" s="451" t="s">
        <v>923</v>
      </c>
      <c r="C348" s="135" t="s">
        <v>957</v>
      </c>
      <c r="D348" s="141">
        <v>0</v>
      </c>
      <c r="E348" s="141">
        <v>0</v>
      </c>
      <c r="F348" s="141">
        <v>0</v>
      </c>
      <c r="G348" s="285">
        <v>0</v>
      </c>
      <c r="H348" s="147">
        <v>0</v>
      </c>
      <c r="I348" s="495">
        <f t="shared" si="18"/>
        <v>0</v>
      </c>
    </row>
    <row r="349" spans="1:10" x14ac:dyDescent="0.15">
      <c r="A349" s="135"/>
      <c r="B349" s="451" t="s">
        <v>924</v>
      </c>
      <c r="C349" s="135" t="s">
        <v>958</v>
      </c>
      <c r="D349" s="141">
        <v>0</v>
      </c>
      <c r="E349" s="141">
        <v>0</v>
      </c>
      <c r="F349" s="141">
        <v>0</v>
      </c>
      <c r="G349" s="285">
        <v>0</v>
      </c>
      <c r="H349" s="147">
        <v>0</v>
      </c>
      <c r="I349" s="495">
        <f t="shared" si="18"/>
        <v>0</v>
      </c>
    </row>
    <row r="350" spans="1:10" x14ac:dyDescent="0.15">
      <c r="A350" s="135"/>
      <c r="B350" s="451" t="s">
        <v>925</v>
      </c>
      <c r="C350" s="135" t="s">
        <v>1128</v>
      </c>
      <c r="D350" s="141">
        <v>0</v>
      </c>
      <c r="E350" s="141">
        <v>0</v>
      </c>
      <c r="F350" s="141">
        <v>0</v>
      </c>
      <c r="G350" s="285">
        <v>0</v>
      </c>
      <c r="H350" s="147">
        <v>0</v>
      </c>
      <c r="I350" s="495">
        <f t="shared" si="18"/>
        <v>0</v>
      </c>
    </row>
    <row r="351" spans="1:10" x14ac:dyDescent="0.15">
      <c r="A351" s="135"/>
      <c r="B351" s="451" t="s">
        <v>926</v>
      </c>
      <c r="C351" s="135" t="s">
        <v>1129</v>
      </c>
      <c r="D351" s="141">
        <v>0</v>
      </c>
      <c r="E351" s="141">
        <v>0</v>
      </c>
      <c r="F351" s="141">
        <v>0</v>
      </c>
      <c r="G351" s="285">
        <v>0</v>
      </c>
      <c r="H351" s="147">
        <v>0</v>
      </c>
      <c r="I351" s="495">
        <f t="shared" si="18"/>
        <v>0</v>
      </c>
    </row>
    <row r="352" spans="1:10" x14ac:dyDescent="0.15">
      <c r="A352" s="135"/>
      <c r="B352" s="451" t="s">
        <v>927</v>
      </c>
      <c r="C352" s="135" t="s">
        <v>959</v>
      </c>
      <c r="D352" s="141">
        <v>0</v>
      </c>
      <c r="E352" s="141">
        <v>0</v>
      </c>
      <c r="F352" s="141">
        <v>0</v>
      </c>
      <c r="G352" s="285">
        <v>0</v>
      </c>
      <c r="H352" s="147">
        <v>0</v>
      </c>
      <c r="I352" s="495">
        <f t="shared" si="18"/>
        <v>0</v>
      </c>
    </row>
    <row r="353" spans="1:9" x14ac:dyDescent="0.15">
      <c r="A353" s="135"/>
      <c r="B353" s="451" t="s">
        <v>928</v>
      </c>
      <c r="C353" s="135" t="s">
        <v>961</v>
      </c>
      <c r="D353" s="141">
        <v>0</v>
      </c>
      <c r="E353" s="141">
        <v>0</v>
      </c>
      <c r="F353" s="141">
        <v>0</v>
      </c>
      <c r="G353" s="285">
        <v>0</v>
      </c>
      <c r="H353" s="147">
        <v>0</v>
      </c>
      <c r="I353" s="495">
        <f t="shared" si="18"/>
        <v>0</v>
      </c>
    </row>
    <row r="354" spans="1:9" x14ac:dyDescent="0.15">
      <c r="A354" s="135"/>
      <c r="B354" s="451" t="s">
        <v>962</v>
      </c>
      <c r="C354" s="135" t="s">
        <v>967</v>
      </c>
      <c r="D354" s="141">
        <v>0</v>
      </c>
      <c r="E354" s="141">
        <v>0</v>
      </c>
      <c r="F354" s="141">
        <v>0</v>
      </c>
      <c r="G354" s="285">
        <v>0</v>
      </c>
      <c r="H354" s="147">
        <v>0</v>
      </c>
      <c r="I354" s="495">
        <f t="shared" si="18"/>
        <v>0</v>
      </c>
    </row>
    <row r="355" spans="1:9" x14ac:dyDescent="0.15">
      <c r="A355" s="135"/>
      <c r="B355" s="451" t="s">
        <v>963</v>
      </c>
      <c r="C355" s="135" t="s">
        <v>1124</v>
      </c>
      <c r="D355" s="141">
        <v>0</v>
      </c>
      <c r="E355" s="141">
        <v>0</v>
      </c>
      <c r="F355" s="141">
        <v>0</v>
      </c>
      <c r="G355" s="285">
        <v>0</v>
      </c>
      <c r="H355" s="147">
        <v>0</v>
      </c>
      <c r="I355" s="495">
        <f t="shared" si="18"/>
        <v>0</v>
      </c>
    </row>
    <row r="356" spans="1:9" x14ac:dyDescent="0.15">
      <c r="A356" s="135"/>
      <c r="B356" s="451" t="s">
        <v>964</v>
      </c>
      <c r="C356" s="135" t="s">
        <v>1094</v>
      </c>
      <c r="D356" s="141">
        <v>0</v>
      </c>
      <c r="E356" s="141">
        <v>0</v>
      </c>
      <c r="F356" s="141">
        <v>0</v>
      </c>
      <c r="G356" s="285">
        <v>0</v>
      </c>
      <c r="H356" s="147">
        <v>0</v>
      </c>
      <c r="I356" s="495">
        <f t="shared" si="18"/>
        <v>0</v>
      </c>
    </row>
    <row r="357" spans="1:9" x14ac:dyDescent="0.15">
      <c r="A357" s="135"/>
      <c r="B357" s="451" t="s">
        <v>965</v>
      </c>
      <c r="C357" s="135" t="s">
        <v>1095</v>
      </c>
      <c r="D357" s="141">
        <v>0</v>
      </c>
      <c r="E357" s="141">
        <v>0</v>
      </c>
      <c r="F357" s="141">
        <v>0</v>
      </c>
      <c r="G357" s="285">
        <v>0</v>
      </c>
      <c r="H357" s="147">
        <v>0</v>
      </c>
      <c r="I357" s="495">
        <f t="shared" si="18"/>
        <v>0</v>
      </c>
    </row>
    <row r="358" spans="1:9" x14ac:dyDescent="0.15">
      <c r="A358" s="135"/>
      <c r="B358" s="451" t="s">
        <v>885</v>
      </c>
      <c r="C358" s="135" t="s">
        <v>1096</v>
      </c>
      <c r="D358" s="141">
        <v>0</v>
      </c>
      <c r="E358" s="141">
        <v>0</v>
      </c>
      <c r="F358" s="141">
        <v>0</v>
      </c>
      <c r="G358" s="285">
        <v>0</v>
      </c>
      <c r="H358" s="147">
        <v>0</v>
      </c>
      <c r="I358" s="495">
        <f t="shared" si="18"/>
        <v>0</v>
      </c>
    </row>
    <row r="359" spans="1:9" x14ac:dyDescent="0.15">
      <c r="A359" s="135"/>
      <c r="B359" s="451" t="s">
        <v>966</v>
      </c>
      <c r="C359" s="135" t="s">
        <v>1097</v>
      </c>
      <c r="D359" s="141">
        <v>0</v>
      </c>
      <c r="E359" s="141">
        <v>0</v>
      </c>
      <c r="F359" s="141">
        <v>0</v>
      </c>
      <c r="G359" s="285">
        <v>0</v>
      </c>
      <c r="H359" s="147">
        <v>0</v>
      </c>
      <c r="I359" s="495">
        <f t="shared" si="18"/>
        <v>0</v>
      </c>
    </row>
    <row r="360" spans="1:9" x14ac:dyDescent="0.15">
      <c r="A360" s="135"/>
      <c r="B360" s="451" t="s">
        <v>886</v>
      </c>
      <c r="C360" s="135" t="s">
        <v>1100</v>
      </c>
      <c r="D360" s="141">
        <v>0</v>
      </c>
      <c r="E360" s="141">
        <v>0</v>
      </c>
      <c r="F360" s="141">
        <v>0</v>
      </c>
      <c r="G360" s="285">
        <v>0</v>
      </c>
      <c r="H360" s="147">
        <v>0</v>
      </c>
      <c r="I360" s="495">
        <f t="shared" si="18"/>
        <v>0</v>
      </c>
    </row>
    <row r="361" spans="1:9" x14ac:dyDescent="0.15">
      <c r="A361" s="135"/>
      <c r="B361" s="451" t="s">
        <v>116</v>
      </c>
      <c r="C361" s="135" t="s">
        <v>1105</v>
      </c>
      <c r="D361" s="141">
        <v>0</v>
      </c>
      <c r="E361" s="141">
        <v>0</v>
      </c>
      <c r="F361" s="141">
        <v>0</v>
      </c>
      <c r="G361" s="285">
        <v>0</v>
      </c>
      <c r="H361" s="147">
        <v>0</v>
      </c>
      <c r="I361" s="495">
        <f t="shared" si="18"/>
        <v>0</v>
      </c>
    </row>
    <row r="362" spans="1:9" x14ac:dyDescent="0.15">
      <c r="A362" s="135"/>
      <c r="B362" s="451" t="s">
        <v>112</v>
      </c>
      <c r="C362" s="135" t="s">
        <v>1110</v>
      </c>
      <c r="D362" s="141">
        <v>0</v>
      </c>
      <c r="E362" s="141">
        <v>0</v>
      </c>
      <c r="F362" s="141">
        <v>0</v>
      </c>
      <c r="G362" s="285">
        <v>0</v>
      </c>
      <c r="H362" s="147">
        <v>0</v>
      </c>
      <c r="I362" s="495">
        <f t="shared" si="18"/>
        <v>0</v>
      </c>
    </row>
    <row r="363" spans="1:9" x14ac:dyDescent="0.15">
      <c r="A363" s="135"/>
      <c r="B363" s="451" t="s">
        <v>887</v>
      </c>
      <c r="C363" s="135" t="s">
        <v>1116</v>
      </c>
      <c r="D363" s="141">
        <v>0</v>
      </c>
      <c r="E363" s="141">
        <v>0</v>
      </c>
      <c r="F363" s="141">
        <v>0</v>
      </c>
      <c r="G363" s="285">
        <v>0</v>
      </c>
      <c r="H363" s="147">
        <v>0</v>
      </c>
      <c r="I363" s="495">
        <f t="shared" si="18"/>
        <v>0</v>
      </c>
    </row>
    <row r="364" spans="1:9" x14ac:dyDescent="0.15">
      <c r="A364" s="135"/>
      <c r="B364" s="451" t="s">
        <v>1112</v>
      </c>
      <c r="C364" s="135" t="s">
        <v>1117</v>
      </c>
      <c r="D364" s="141">
        <v>0</v>
      </c>
      <c r="E364" s="141">
        <v>0</v>
      </c>
      <c r="F364" s="141">
        <v>0</v>
      </c>
      <c r="G364" s="285">
        <v>0</v>
      </c>
      <c r="H364" s="147">
        <v>0</v>
      </c>
      <c r="I364" s="495">
        <f t="shared" si="18"/>
        <v>0</v>
      </c>
    </row>
    <row r="365" spans="1:9" x14ac:dyDescent="0.15">
      <c r="A365" s="135"/>
      <c r="B365" s="451" t="s">
        <v>1113</v>
      </c>
      <c r="C365" s="135" t="s">
        <v>1118</v>
      </c>
      <c r="D365" s="141">
        <v>0</v>
      </c>
      <c r="E365" s="141">
        <v>0</v>
      </c>
      <c r="F365" s="141">
        <v>0</v>
      </c>
      <c r="G365" s="285">
        <v>0</v>
      </c>
      <c r="H365" s="147">
        <v>0</v>
      </c>
      <c r="I365" s="495">
        <f t="shared" si="18"/>
        <v>0</v>
      </c>
    </row>
    <row r="366" spans="1:9" ht="11.25" thickBot="1" x14ac:dyDescent="0.2">
      <c r="A366" s="135"/>
      <c r="B366" s="451" t="s">
        <v>1114</v>
      </c>
      <c r="C366" s="135" t="s">
        <v>1119</v>
      </c>
      <c r="D366" s="141">
        <v>0</v>
      </c>
      <c r="E366" s="141">
        <v>0</v>
      </c>
      <c r="F366" s="141">
        <v>0</v>
      </c>
      <c r="G366" s="285">
        <v>0</v>
      </c>
      <c r="H366" s="147">
        <v>0</v>
      </c>
      <c r="I366" s="495">
        <f t="shared" si="18"/>
        <v>0</v>
      </c>
    </row>
    <row r="367" spans="1:9" ht="12" thickTop="1" thickBot="1" x14ac:dyDescent="0.2">
      <c r="A367" s="135"/>
      <c r="B367" s="451"/>
      <c r="C367" s="135" t="s">
        <v>1171</v>
      </c>
      <c r="D367" s="166">
        <f>SUM(D334:D366)</f>
        <v>0</v>
      </c>
      <c r="E367" s="166">
        <f>SUM(E334:E366)</f>
        <v>0</v>
      </c>
      <c r="F367" s="166">
        <f>SUM(F334:F366)</f>
        <v>0</v>
      </c>
      <c r="G367" s="166">
        <f>SUM(G334:G366)</f>
        <v>0</v>
      </c>
      <c r="H367" s="166">
        <f>SUM(H334:H366)</f>
        <v>0</v>
      </c>
      <c r="I367" s="166">
        <f t="shared" si="18"/>
        <v>0</v>
      </c>
    </row>
    <row r="368" spans="1:9" ht="11.25" thickTop="1" x14ac:dyDescent="0.15">
      <c r="A368" s="135"/>
      <c r="B368" s="451"/>
      <c r="C368" s="135"/>
      <c r="D368" s="14"/>
      <c r="E368" s="14"/>
      <c r="F368" s="14"/>
      <c r="G368" s="14"/>
      <c r="H368" s="14"/>
      <c r="I368" s="491"/>
    </row>
    <row r="369" spans="1:10" x14ac:dyDescent="0.15">
      <c r="A369" s="442" t="s">
        <v>1174</v>
      </c>
      <c r="B369" s="135"/>
      <c r="C369" s="135"/>
      <c r="D369" s="14"/>
      <c r="E369" s="14"/>
      <c r="F369" s="14"/>
      <c r="G369" s="14"/>
      <c r="H369" s="14"/>
      <c r="I369" s="491"/>
    </row>
    <row r="370" spans="1:10" x14ac:dyDescent="0.15">
      <c r="A370" s="452" t="s">
        <v>1173</v>
      </c>
      <c r="B370" s="135"/>
      <c r="C370" s="135"/>
      <c r="D370" s="14"/>
      <c r="E370" s="14"/>
      <c r="F370" s="14"/>
      <c r="G370" s="14"/>
      <c r="H370" s="14"/>
      <c r="I370" s="491"/>
    </row>
    <row r="371" spans="1:10" s="416" customFormat="1" hidden="1" x14ac:dyDescent="0.15">
      <c r="B371" s="453" t="s">
        <v>880</v>
      </c>
      <c r="C371" s="454" t="s">
        <v>1164</v>
      </c>
      <c r="D371" s="308">
        <v>0</v>
      </c>
      <c r="E371" s="308">
        <v>0</v>
      </c>
      <c r="F371" s="308">
        <v>0</v>
      </c>
      <c r="G371" s="458"/>
      <c r="H371" s="457">
        <v>0</v>
      </c>
      <c r="I371" s="494">
        <f t="shared" ref="I371:I405" si="20">SUM(G371+H371)</f>
        <v>0</v>
      </c>
    </row>
    <row r="372" spans="1:10" s="416" customFormat="1" x14ac:dyDescent="0.15">
      <c r="B372" s="453" t="s">
        <v>880</v>
      </c>
      <c r="C372" s="454" t="s">
        <v>337</v>
      </c>
      <c r="D372" s="308">
        <v>0</v>
      </c>
      <c r="E372" s="308">
        <v>0</v>
      </c>
      <c r="F372" s="308">
        <v>0</v>
      </c>
      <c r="G372" s="308">
        <v>0</v>
      </c>
      <c r="H372" s="457">
        <v>0</v>
      </c>
      <c r="I372" s="494">
        <f t="shared" si="20"/>
        <v>0</v>
      </c>
    </row>
    <row r="373" spans="1:10" s="416" customFormat="1" hidden="1" x14ac:dyDescent="0.15">
      <c r="A373" s="454"/>
      <c r="B373" s="453" t="s">
        <v>881</v>
      </c>
      <c r="C373" s="454" t="s">
        <v>382</v>
      </c>
      <c r="D373" s="308">
        <v>0</v>
      </c>
      <c r="E373" s="308">
        <v>0</v>
      </c>
      <c r="F373" s="308">
        <v>0</v>
      </c>
      <c r="G373" s="459"/>
      <c r="H373" s="457">
        <v>0</v>
      </c>
      <c r="I373" s="494">
        <f t="shared" si="20"/>
        <v>0</v>
      </c>
    </row>
    <row r="374" spans="1:10" x14ac:dyDescent="0.15">
      <c r="A374" s="135"/>
      <c r="B374" s="451" t="s">
        <v>881</v>
      </c>
      <c r="C374" s="135" t="s">
        <v>338</v>
      </c>
      <c r="D374" s="144">
        <v>0</v>
      </c>
      <c r="E374" s="144">
        <v>0</v>
      </c>
      <c r="F374" s="144">
        <v>0</v>
      </c>
      <c r="G374" s="144">
        <v>0</v>
      </c>
      <c r="H374" s="147">
        <v>0</v>
      </c>
      <c r="I374" s="495">
        <f t="shared" si="20"/>
        <v>0</v>
      </c>
      <c r="J374" s="416"/>
    </row>
    <row r="375" spans="1:10" x14ac:dyDescent="0.15">
      <c r="A375" s="135"/>
      <c r="B375" s="451" t="s">
        <v>882</v>
      </c>
      <c r="C375" s="135" t="s">
        <v>1058</v>
      </c>
      <c r="D375" s="141">
        <v>0</v>
      </c>
      <c r="E375" s="141">
        <v>0</v>
      </c>
      <c r="F375" s="141">
        <v>0</v>
      </c>
      <c r="G375" s="285">
        <v>0</v>
      </c>
      <c r="H375" s="147">
        <v>0</v>
      </c>
      <c r="I375" s="495">
        <f t="shared" si="20"/>
        <v>0</v>
      </c>
    </row>
    <row r="376" spans="1:10" x14ac:dyDescent="0.15">
      <c r="A376" s="135"/>
      <c r="B376" s="451" t="s">
        <v>883</v>
      </c>
      <c r="C376" s="135" t="s">
        <v>1059</v>
      </c>
      <c r="D376" s="141">
        <v>0</v>
      </c>
      <c r="E376" s="141">
        <v>0</v>
      </c>
      <c r="F376" s="141">
        <v>0</v>
      </c>
      <c r="G376" s="285">
        <v>0</v>
      </c>
      <c r="H376" s="147">
        <v>0</v>
      </c>
      <c r="I376" s="495">
        <f t="shared" si="20"/>
        <v>0</v>
      </c>
    </row>
    <row r="377" spans="1:10" x14ac:dyDescent="0.15">
      <c r="A377" s="135"/>
      <c r="B377" s="451" t="s">
        <v>1060</v>
      </c>
      <c r="C377" s="135" t="s">
        <v>1061</v>
      </c>
      <c r="D377" s="141">
        <v>0</v>
      </c>
      <c r="E377" s="141">
        <v>0</v>
      </c>
      <c r="F377" s="141">
        <v>0</v>
      </c>
      <c r="G377" s="285">
        <v>0</v>
      </c>
      <c r="H377" s="147">
        <v>0</v>
      </c>
      <c r="I377" s="495">
        <f t="shared" si="20"/>
        <v>0</v>
      </c>
    </row>
    <row r="378" spans="1:10" x14ac:dyDescent="0.15">
      <c r="A378" s="135"/>
      <c r="B378" s="451" t="s">
        <v>1062</v>
      </c>
      <c r="C378" s="135" t="s">
        <v>1063</v>
      </c>
      <c r="D378" s="141">
        <v>0</v>
      </c>
      <c r="E378" s="141">
        <v>0</v>
      </c>
      <c r="F378" s="141">
        <v>0</v>
      </c>
      <c r="G378" s="285">
        <v>0</v>
      </c>
      <c r="H378" s="147">
        <v>0</v>
      </c>
      <c r="I378" s="495">
        <f t="shared" si="20"/>
        <v>0</v>
      </c>
    </row>
    <row r="379" spans="1:10" x14ac:dyDescent="0.15">
      <c r="A379" s="135"/>
      <c r="B379" s="451" t="s">
        <v>884</v>
      </c>
      <c r="C379" s="135" t="s">
        <v>1064</v>
      </c>
      <c r="D379" s="141">
        <v>0</v>
      </c>
      <c r="E379" s="141">
        <v>0</v>
      </c>
      <c r="F379" s="141">
        <v>0</v>
      </c>
      <c r="G379" s="285">
        <v>0</v>
      </c>
      <c r="H379" s="147">
        <v>0</v>
      </c>
      <c r="I379" s="495">
        <f t="shared" si="20"/>
        <v>0</v>
      </c>
    </row>
    <row r="380" spans="1:10" x14ac:dyDescent="0.15">
      <c r="A380" s="135"/>
      <c r="B380" s="451" t="s">
        <v>1067</v>
      </c>
      <c r="C380" s="135" t="s">
        <v>1074</v>
      </c>
      <c r="D380" s="141">
        <v>0</v>
      </c>
      <c r="E380" s="141">
        <v>0</v>
      </c>
      <c r="F380" s="141">
        <v>0</v>
      </c>
      <c r="G380" s="285">
        <v>0</v>
      </c>
      <c r="H380" s="147">
        <v>0</v>
      </c>
      <c r="I380" s="495">
        <f t="shared" si="20"/>
        <v>0</v>
      </c>
    </row>
    <row r="381" spans="1:10" x14ac:dyDescent="0.15">
      <c r="A381" s="135"/>
      <c r="B381" s="451" t="s">
        <v>1068</v>
      </c>
      <c r="C381" s="135" t="s">
        <v>1075</v>
      </c>
      <c r="D381" s="141">
        <v>0</v>
      </c>
      <c r="E381" s="141">
        <v>0</v>
      </c>
      <c r="F381" s="141">
        <v>0</v>
      </c>
      <c r="G381" s="285">
        <v>0</v>
      </c>
      <c r="H381" s="147">
        <v>0</v>
      </c>
      <c r="I381" s="495">
        <f t="shared" si="20"/>
        <v>0</v>
      </c>
    </row>
    <row r="382" spans="1:10" x14ac:dyDescent="0.15">
      <c r="A382" s="135"/>
      <c r="B382" s="451" t="s">
        <v>1072</v>
      </c>
      <c r="C382" s="135" t="s">
        <v>920</v>
      </c>
      <c r="D382" s="141">
        <v>0</v>
      </c>
      <c r="E382" s="141">
        <v>0</v>
      </c>
      <c r="F382" s="141">
        <v>0</v>
      </c>
      <c r="G382" s="285">
        <v>0</v>
      </c>
      <c r="H382" s="147">
        <v>0</v>
      </c>
      <c r="I382" s="495">
        <f t="shared" si="20"/>
        <v>0</v>
      </c>
    </row>
    <row r="383" spans="1:10" x14ac:dyDescent="0.15">
      <c r="A383" s="135"/>
      <c r="B383" s="716" t="s">
        <v>155</v>
      </c>
      <c r="C383" s="703" t="s">
        <v>178</v>
      </c>
      <c r="D383" s="141">
        <v>0</v>
      </c>
      <c r="E383" s="141">
        <v>0</v>
      </c>
      <c r="F383" s="141">
        <v>0</v>
      </c>
      <c r="G383" s="285">
        <v>0</v>
      </c>
      <c r="H383" s="147">
        <v>0</v>
      </c>
      <c r="I383" s="495">
        <f t="shared" ref="I383" si="21">SUM(G383+H383)</f>
        <v>0</v>
      </c>
    </row>
    <row r="384" spans="1:10" x14ac:dyDescent="0.15">
      <c r="A384" s="135"/>
      <c r="B384" s="451" t="s">
        <v>921</v>
      </c>
      <c r="C384" s="135" t="s">
        <v>955</v>
      </c>
      <c r="D384" s="141">
        <v>0</v>
      </c>
      <c r="E384" s="141">
        <v>0</v>
      </c>
      <c r="F384" s="141">
        <v>0</v>
      </c>
      <c r="G384" s="285">
        <v>0</v>
      </c>
      <c r="H384" s="147">
        <v>0</v>
      </c>
      <c r="I384" s="495">
        <f t="shared" si="20"/>
        <v>0</v>
      </c>
    </row>
    <row r="385" spans="1:9" x14ac:dyDescent="0.15">
      <c r="A385" s="135"/>
      <c r="B385" s="451" t="s">
        <v>922</v>
      </c>
      <c r="C385" s="135" t="s">
        <v>956</v>
      </c>
      <c r="D385" s="141">
        <v>0</v>
      </c>
      <c r="E385" s="141">
        <v>0</v>
      </c>
      <c r="F385" s="141">
        <v>0</v>
      </c>
      <c r="G385" s="285">
        <v>0</v>
      </c>
      <c r="H385" s="147">
        <v>0</v>
      </c>
      <c r="I385" s="495">
        <f t="shared" si="20"/>
        <v>0</v>
      </c>
    </row>
    <row r="386" spans="1:9" x14ac:dyDescent="0.15">
      <c r="A386" s="135"/>
      <c r="B386" s="451" t="s">
        <v>923</v>
      </c>
      <c r="C386" s="135" t="s">
        <v>957</v>
      </c>
      <c r="D386" s="141">
        <v>0</v>
      </c>
      <c r="E386" s="141">
        <v>0</v>
      </c>
      <c r="F386" s="141">
        <v>0</v>
      </c>
      <c r="G386" s="285">
        <v>0</v>
      </c>
      <c r="H386" s="147">
        <v>0</v>
      </c>
      <c r="I386" s="495">
        <f t="shared" si="20"/>
        <v>0</v>
      </c>
    </row>
    <row r="387" spans="1:9" x14ac:dyDescent="0.15">
      <c r="A387" s="135"/>
      <c r="B387" s="451" t="s">
        <v>924</v>
      </c>
      <c r="C387" s="135" t="s">
        <v>958</v>
      </c>
      <c r="D387" s="141">
        <v>0</v>
      </c>
      <c r="E387" s="141">
        <v>0</v>
      </c>
      <c r="F387" s="141">
        <v>0</v>
      </c>
      <c r="G387" s="285">
        <v>0</v>
      </c>
      <c r="H387" s="147">
        <v>0</v>
      </c>
      <c r="I387" s="495">
        <f t="shared" si="20"/>
        <v>0</v>
      </c>
    </row>
    <row r="388" spans="1:9" x14ac:dyDescent="0.15">
      <c r="A388" s="135"/>
      <c r="B388" s="451" t="s">
        <v>925</v>
      </c>
      <c r="C388" s="135" t="s">
        <v>1128</v>
      </c>
      <c r="D388" s="141">
        <v>0</v>
      </c>
      <c r="E388" s="141">
        <v>0</v>
      </c>
      <c r="F388" s="141">
        <v>0</v>
      </c>
      <c r="G388" s="285">
        <v>0</v>
      </c>
      <c r="H388" s="147">
        <v>0</v>
      </c>
      <c r="I388" s="495">
        <f t="shared" si="20"/>
        <v>0</v>
      </c>
    </row>
    <row r="389" spans="1:9" x14ac:dyDescent="0.15">
      <c r="A389" s="135"/>
      <c r="B389" s="451" t="s">
        <v>926</v>
      </c>
      <c r="C389" s="135" t="s">
        <v>1129</v>
      </c>
      <c r="D389" s="141">
        <v>0</v>
      </c>
      <c r="E389" s="141">
        <v>0</v>
      </c>
      <c r="F389" s="141">
        <v>0</v>
      </c>
      <c r="G389" s="285">
        <v>0</v>
      </c>
      <c r="H389" s="147">
        <v>0</v>
      </c>
      <c r="I389" s="495">
        <f t="shared" si="20"/>
        <v>0</v>
      </c>
    </row>
    <row r="390" spans="1:9" x14ac:dyDescent="0.15">
      <c r="A390" s="135"/>
      <c r="B390" s="451" t="s">
        <v>927</v>
      </c>
      <c r="C390" s="135" t="s">
        <v>959</v>
      </c>
      <c r="D390" s="141">
        <v>0</v>
      </c>
      <c r="E390" s="141">
        <v>0</v>
      </c>
      <c r="F390" s="141">
        <v>0</v>
      </c>
      <c r="G390" s="285">
        <v>0</v>
      </c>
      <c r="H390" s="147">
        <v>0</v>
      </c>
      <c r="I390" s="495">
        <f t="shared" si="20"/>
        <v>0</v>
      </c>
    </row>
    <row r="391" spans="1:9" x14ac:dyDescent="0.15">
      <c r="A391" s="135"/>
      <c r="B391" s="451" t="s">
        <v>928</v>
      </c>
      <c r="C391" s="135" t="s">
        <v>961</v>
      </c>
      <c r="D391" s="141">
        <v>0</v>
      </c>
      <c r="E391" s="141">
        <v>0</v>
      </c>
      <c r="F391" s="141">
        <v>0</v>
      </c>
      <c r="G391" s="285">
        <v>0</v>
      </c>
      <c r="H391" s="147">
        <v>0</v>
      </c>
      <c r="I391" s="495">
        <f t="shared" si="20"/>
        <v>0</v>
      </c>
    </row>
    <row r="392" spans="1:9" x14ac:dyDescent="0.15">
      <c r="A392" s="135"/>
      <c r="B392" s="451" t="s">
        <v>962</v>
      </c>
      <c r="C392" s="135" t="s">
        <v>967</v>
      </c>
      <c r="D392" s="141">
        <v>0</v>
      </c>
      <c r="E392" s="141">
        <v>0</v>
      </c>
      <c r="F392" s="141">
        <v>0</v>
      </c>
      <c r="G392" s="285">
        <v>0</v>
      </c>
      <c r="H392" s="147">
        <v>0</v>
      </c>
      <c r="I392" s="495">
        <f t="shared" si="20"/>
        <v>0</v>
      </c>
    </row>
    <row r="393" spans="1:9" x14ac:dyDescent="0.15">
      <c r="A393" s="135"/>
      <c r="B393" s="451" t="s">
        <v>963</v>
      </c>
      <c r="C393" s="135" t="s">
        <v>1093</v>
      </c>
      <c r="D393" s="141">
        <v>0</v>
      </c>
      <c r="E393" s="141">
        <v>0</v>
      </c>
      <c r="F393" s="141">
        <v>0</v>
      </c>
      <c r="G393" s="285">
        <v>0</v>
      </c>
      <c r="H393" s="147">
        <v>0</v>
      </c>
      <c r="I393" s="495">
        <f t="shared" si="20"/>
        <v>0</v>
      </c>
    </row>
    <row r="394" spans="1:9" x14ac:dyDescent="0.15">
      <c r="A394" s="135"/>
      <c r="B394" s="451" t="s">
        <v>964</v>
      </c>
      <c r="C394" s="135" t="s">
        <v>1094</v>
      </c>
      <c r="D394" s="141">
        <v>0</v>
      </c>
      <c r="E394" s="141">
        <v>0</v>
      </c>
      <c r="F394" s="141">
        <v>0</v>
      </c>
      <c r="G394" s="285">
        <v>0</v>
      </c>
      <c r="H394" s="147">
        <v>0</v>
      </c>
      <c r="I394" s="495">
        <f t="shared" si="20"/>
        <v>0</v>
      </c>
    </row>
    <row r="395" spans="1:9" x14ac:dyDescent="0.15">
      <c r="A395" s="135"/>
      <c r="B395" s="451" t="s">
        <v>965</v>
      </c>
      <c r="C395" s="135" t="s">
        <v>1095</v>
      </c>
      <c r="D395" s="141">
        <v>0</v>
      </c>
      <c r="E395" s="141">
        <v>0</v>
      </c>
      <c r="F395" s="141">
        <v>0</v>
      </c>
      <c r="G395" s="285">
        <v>0</v>
      </c>
      <c r="H395" s="147">
        <v>0</v>
      </c>
      <c r="I395" s="495">
        <f t="shared" si="20"/>
        <v>0</v>
      </c>
    </row>
    <row r="396" spans="1:9" x14ac:dyDescent="0.15">
      <c r="A396" s="135"/>
      <c r="B396" s="451" t="s">
        <v>885</v>
      </c>
      <c r="C396" s="135" t="s">
        <v>1096</v>
      </c>
      <c r="D396" s="141">
        <v>0</v>
      </c>
      <c r="E396" s="141">
        <v>0</v>
      </c>
      <c r="F396" s="141">
        <v>0</v>
      </c>
      <c r="G396" s="285">
        <v>0</v>
      </c>
      <c r="H396" s="147">
        <v>0</v>
      </c>
      <c r="I396" s="495">
        <f t="shared" si="20"/>
        <v>0</v>
      </c>
    </row>
    <row r="397" spans="1:9" x14ac:dyDescent="0.15">
      <c r="A397" s="135"/>
      <c r="B397" s="451" t="s">
        <v>966</v>
      </c>
      <c r="C397" s="135" t="s">
        <v>1097</v>
      </c>
      <c r="D397" s="141">
        <v>0</v>
      </c>
      <c r="E397" s="141">
        <v>0</v>
      </c>
      <c r="F397" s="141">
        <v>0</v>
      </c>
      <c r="G397" s="285">
        <v>0</v>
      </c>
      <c r="H397" s="147">
        <v>0</v>
      </c>
      <c r="I397" s="495">
        <f t="shared" si="20"/>
        <v>0</v>
      </c>
    </row>
    <row r="398" spans="1:9" x14ac:dyDescent="0.15">
      <c r="A398" s="135"/>
      <c r="B398" s="451" t="s">
        <v>886</v>
      </c>
      <c r="C398" s="135" t="s">
        <v>1100</v>
      </c>
      <c r="D398" s="141">
        <v>0</v>
      </c>
      <c r="E398" s="141">
        <v>0</v>
      </c>
      <c r="F398" s="141">
        <v>0</v>
      </c>
      <c r="G398" s="285">
        <v>0</v>
      </c>
      <c r="H398" s="147">
        <v>0</v>
      </c>
      <c r="I398" s="495">
        <f t="shared" si="20"/>
        <v>0</v>
      </c>
    </row>
    <row r="399" spans="1:9" x14ac:dyDescent="0.15">
      <c r="A399" s="135"/>
      <c r="B399" s="451" t="s">
        <v>116</v>
      </c>
      <c r="C399" s="135" t="s">
        <v>1105</v>
      </c>
      <c r="D399" s="141">
        <v>0</v>
      </c>
      <c r="E399" s="141">
        <v>0</v>
      </c>
      <c r="F399" s="141">
        <v>0</v>
      </c>
      <c r="G399" s="285">
        <v>0</v>
      </c>
      <c r="H399" s="147">
        <v>0</v>
      </c>
      <c r="I399" s="495">
        <f t="shared" si="20"/>
        <v>0</v>
      </c>
    </row>
    <row r="400" spans="1:9" x14ac:dyDescent="0.15">
      <c r="A400" s="135"/>
      <c r="B400" s="451" t="s">
        <v>112</v>
      </c>
      <c r="C400" s="135" t="s">
        <v>1110</v>
      </c>
      <c r="D400" s="141">
        <v>0</v>
      </c>
      <c r="E400" s="141">
        <v>0</v>
      </c>
      <c r="F400" s="141">
        <v>0</v>
      </c>
      <c r="G400" s="285">
        <v>0</v>
      </c>
      <c r="H400" s="147">
        <v>0</v>
      </c>
      <c r="I400" s="495">
        <f t="shared" si="20"/>
        <v>0</v>
      </c>
    </row>
    <row r="401" spans="1:10" x14ac:dyDescent="0.15">
      <c r="A401" s="135"/>
      <c r="B401" s="451" t="s">
        <v>887</v>
      </c>
      <c r="C401" s="135" t="s">
        <v>1116</v>
      </c>
      <c r="D401" s="141">
        <v>0</v>
      </c>
      <c r="E401" s="141">
        <v>0</v>
      </c>
      <c r="F401" s="141">
        <v>0</v>
      </c>
      <c r="G401" s="285">
        <v>0</v>
      </c>
      <c r="H401" s="147">
        <v>0</v>
      </c>
      <c r="I401" s="495">
        <f t="shared" si="20"/>
        <v>0</v>
      </c>
    </row>
    <row r="402" spans="1:10" x14ac:dyDescent="0.15">
      <c r="A402" s="135"/>
      <c r="B402" s="451" t="s">
        <v>1112</v>
      </c>
      <c r="C402" s="135" t="s">
        <v>1117</v>
      </c>
      <c r="D402" s="141">
        <v>0</v>
      </c>
      <c r="E402" s="141">
        <v>0</v>
      </c>
      <c r="F402" s="141">
        <v>0</v>
      </c>
      <c r="G402" s="285">
        <v>0</v>
      </c>
      <c r="H402" s="147">
        <v>0</v>
      </c>
      <c r="I402" s="495">
        <f t="shared" si="20"/>
        <v>0</v>
      </c>
    </row>
    <row r="403" spans="1:10" x14ac:dyDescent="0.15">
      <c r="A403" s="135"/>
      <c r="B403" s="451" t="s">
        <v>1113</v>
      </c>
      <c r="C403" s="135" t="s">
        <v>1118</v>
      </c>
      <c r="D403" s="141">
        <v>0</v>
      </c>
      <c r="E403" s="141">
        <v>0</v>
      </c>
      <c r="F403" s="141">
        <v>0</v>
      </c>
      <c r="G403" s="285">
        <v>0</v>
      </c>
      <c r="H403" s="147">
        <v>0</v>
      </c>
      <c r="I403" s="495">
        <f t="shared" si="20"/>
        <v>0</v>
      </c>
    </row>
    <row r="404" spans="1:10" ht="11.25" thickBot="1" x14ac:dyDescent="0.2">
      <c r="A404" s="135"/>
      <c r="B404" s="451" t="s">
        <v>1114</v>
      </c>
      <c r="C404" s="135" t="s">
        <v>1119</v>
      </c>
      <c r="D404" s="141">
        <v>0</v>
      </c>
      <c r="E404" s="141">
        <v>0</v>
      </c>
      <c r="F404" s="141">
        <v>0</v>
      </c>
      <c r="G404" s="285">
        <v>0</v>
      </c>
      <c r="H404" s="147">
        <v>0</v>
      </c>
      <c r="I404" s="495">
        <f t="shared" si="20"/>
        <v>0</v>
      </c>
    </row>
    <row r="405" spans="1:10" ht="12" thickTop="1" thickBot="1" x14ac:dyDescent="0.2">
      <c r="A405" s="135"/>
      <c r="B405" s="451"/>
      <c r="C405" s="135" t="s">
        <v>1172</v>
      </c>
      <c r="D405" s="166">
        <f>SUM(D371:D404)</f>
        <v>0</v>
      </c>
      <c r="E405" s="166">
        <f>SUM(E371:E404)</f>
        <v>0</v>
      </c>
      <c r="F405" s="166">
        <f>SUM(F371:F404)</f>
        <v>0</v>
      </c>
      <c r="G405" s="166">
        <f>SUM(G371:G404)</f>
        <v>0</v>
      </c>
      <c r="H405" s="166">
        <f>SUM(H371:H404)</f>
        <v>0</v>
      </c>
      <c r="I405" s="166">
        <f t="shared" si="20"/>
        <v>0</v>
      </c>
    </row>
    <row r="406" spans="1:10" ht="11.25" thickTop="1" x14ac:dyDescent="0.15">
      <c r="A406" s="135"/>
      <c r="B406" s="135"/>
      <c r="C406" s="135"/>
      <c r="D406" s="14"/>
      <c r="E406" s="14"/>
      <c r="F406" s="14"/>
      <c r="G406" s="14"/>
      <c r="H406" s="14"/>
      <c r="I406" s="491"/>
    </row>
    <row r="407" spans="1:10" x14ac:dyDescent="0.15">
      <c r="A407" s="452" t="s">
        <v>1175</v>
      </c>
      <c r="B407" s="135"/>
      <c r="C407" s="135"/>
      <c r="D407" s="14"/>
      <c r="E407" s="14"/>
      <c r="F407" s="14"/>
      <c r="G407" s="14"/>
      <c r="H407" s="14"/>
      <c r="I407" s="491"/>
    </row>
    <row r="408" spans="1:10" s="416" customFormat="1" hidden="1" x14ac:dyDescent="0.15">
      <c r="B408" s="453" t="s">
        <v>880</v>
      </c>
      <c r="C408" s="454" t="s">
        <v>1164</v>
      </c>
      <c r="D408" s="308">
        <v>0</v>
      </c>
      <c r="E408" s="308">
        <v>0</v>
      </c>
      <c r="F408" s="308">
        <v>0</v>
      </c>
      <c r="G408" s="458"/>
      <c r="H408" s="457">
        <v>0</v>
      </c>
      <c r="I408" s="494">
        <f t="shared" ref="I408:I442" si="22">SUM(G408+H408)</f>
        <v>0</v>
      </c>
    </row>
    <row r="409" spans="1:10" s="416" customFormat="1" x14ac:dyDescent="0.15">
      <c r="B409" s="453" t="s">
        <v>880</v>
      </c>
      <c r="C409" s="454" t="s">
        <v>337</v>
      </c>
      <c r="D409" s="308">
        <v>0</v>
      </c>
      <c r="E409" s="308">
        <v>0</v>
      </c>
      <c r="F409" s="308">
        <v>0</v>
      </c>
      <c r="G409" s="308">
        <v>0</v>
      </c>
      <c r="H409" s="457">
        <v>0</v>
      </c>
      <c r="I409" s="494">
        <f t="shared" si="22"/>
        <v>0</v>
      </c>
    </row>
    <row r="410" spans="1:10" s="416" customFormat="1" hidden="1" x14ac:dyDescent="0.15">
      <c r="A410" s="454"/>
      <c r="B410" s="453" t="s">
        <v>881</v>
      </c>
      <c r="C410" s="454" t="s">
        <v>382</v>
      </c>
      <c r="D410" s="308">
        <v>0</v>
      </c>
      <c r="E410" s="308">
        <v>0</v>
      </c>
      <c r="F410" s="308">
        <v>0</v>
      </c>
      <c r="G410" s="459"/>
      <c r="H410" s="457">
        <v>0</v>
      </c>
      <c r="I410" s="494">
        <f t="shared" si="22"/>
        <v>0</v>
      </c>
    </row>
    <row r="411" spans="1:10" x14ac:dyDescent="0.15">
      <c r="A411" s="135"/>
      <c r="B411" s="451" t="s">
        <v>881</v>
      </c>
      <c r="C411" s="135" t="s">
        <v>338</v>
      </c>
      <c r="D411" s="144">
        <v>0</v>
      </c>
      <c r="E411" s="144">
        <v>0</v>
      </c>
      <c r="F411" s="144">
        <v>0</v>
      </c>
      <c r="G411" s="144">
        <v>0</v>
      </c>
      <c r="H411" s="147">
        <v>0</v>
      </c>
      <c r="I411" s="495">
        <f t="shared" si="22"/>
        <v>0</v>
      </c>
      <c r="J411" s="416"/>
    </row>
    <row r="412" spans="1:10" x14ac:dyDescent="0.15">
      <c r="A412" s="135"/>
      <c r="B412" s="451" t="s">
        <v>882</v>
      </c>
      <c r="C412" s="135" t="s">
        <v>1058</v>
      </c>
      <c r="D412" s="141">
        <v>0</v>
      </c>
      <c r="E412" s="141">
        <v>0</v>
      </c>
      <c r="F412" s="141">
        <v>0</v>
      </c>
      <c r="G412" s="285">
        <v>0</v>
      </c>
      <c r="H412" s="147">
        <v>0</v>
      </c>
      <c r="I412" s="495">
        <f t="shared" si="22"/>
        <v>0</v>
      </c>
    </row>
    <row r="413" spans="1:10" x14ac:dyDescent="0.15">
      <c r="A413" s="135"/>
      <c r="B413" s="451" t="s">
        <v>883</v>
      </c>
      <c r="C413" s="135" t="s">
        <v>1059</v>
      </c>
      <c r="D413" s="141">
        <v>0</v>
      </c>
      <c r="E413" s="141">
        <v>0</v>
      </c>
      <c r="F413" s="141">
        <v>0</v>
      </c>
      <c r="G413" s="285">
        <v>0</v>
      </c>
      <c r="H413" s="147">
        <v>0</v>
      </c>
      <c r="I413" s="495">
        <f t="shared" si="22"/>
        <v>0</v>
      </c>
    </row>
    <row r="414" spans="1:10" x14ac:dyDescent="0.15">
      <c r="A414" s="135"/>
      <c r="B414" s="451" t="s">
        <v>1060</v>
      </c>
      <c r="C414" s="135" t="s">
        <v>1061</v>
      </c>
      <c r="D414" s="141">
        <v>0</v>
      </c>
      <c r="E414" s="141">
        <v>0</v>
      </c>
      <c r="F414" s="141">
        <v>0</v>
      </c>
      <c r="G414" s="285">
        <v>0</v>
      </c>
      <c r="H414" s="147">
        <v>0</v>
      </c>
      <c r="I414" s="495">
        <f t="shared" si="22"/>
        <v>0</v>
      </c>
    </row>
    <row r="415" spans="1:10" x14ac:dyDescent="0.15">
      <c r="A415" s="135"/>
      <c r="B415" s="451" t="s">
        <v>1062</v>
      </c>
      <c r="C415" s="135" t="s">
        <v>1063</v>
      </c>
      <c r="D415" s="141">
        <v>0</v>
      </c>
      <c r="E415" s="141">
        <v>0</v>
      </c>
      <c r="F415" s="141">
        <v>0</v>
      </c>
      <c r="G415" s="285">
        <v>0</v>
      </c>
      <c r="H415" s="147">
        <v>0</v>
      </c>
      <c r="I415" s="495">
        <f t="shared" si="22"/>
        <v>0</v>
      </c>
    </row>
    <row r="416" spans="1:10" x14ac:dyDescent="0.15">
      <c r="A416" s="135"/>
      <c r="B416" s="451" t="s">
        <v>884</v>
      </c>
      <c r="C416" s="135" t="s">
        <v>1064</v>
      </c>
      <c r="D416" s="141">
        <v>0</v>
      </c>
      <c r="E416" s="141">
        <v>0</v>
      </c>
      <c r="F416" s="141">
        <v>0</v>
      </c>
      <c r="G416" s="285">
        <v>0</v>
      </c>
      <c r="H416" s="147">
        <v>0</v>
      </c>
      <c r="I416" s="495">
        <f t="shared" si="22"/>
        <v>0</v>
      </c>
    </row>
    <row r="417" spans="1:9" x14ac:dyDescent="0.15">
      <c r="A417" s="135"/>
      <c r="B417" s="451" t="s">
        <v>1067</v>
      </c>
      <c r="C417" s="135" t="s">
        <v>1074</v>
      </c>
      <c r="D417" s="141">
        <v>0</v>
      </c>
      <c r="E417" s="141">
        <v>0</v>
      </c>
      <c r="F417" s="141">
        <v>0</v>
      </c>
      <c r="G417" s="285">
        <v>0</v>
      </c>
      <c r="H417" s="147">
        <v>0</v>
      </c>
      <c r="I417" s="495">
        <f t="shared" si="22"/>
        <v>0</v>
      </c>
    </row>
    <row r="418" spans="1:9" x14ac:dyDescent="0.15">
      <c r="A418" s="135"/>
      <c r="B418" s="451" t="s">
        <v>1068</v>
      </c>
      <c r="C418" s="135" t="s">
        <v>1075</v>
      </c>
      <c r="D418" s="141">
        <v>0</v>
      </c>
      <c r="E418" s="141">
        <v>0</v>
      </c>
      <c r="F418" s="141">
        <v>0</v>
      </c>
      <c r="G418" s="285">
        <v>0</v>
      </c>
      <c r="H418" s="147">
        <v>0</v>
      </c>
      <c r="I418" s="495">
        <f t="shared" si="22"/>
        <v>0</v>
      </c>
    </row>
    <row r="419" spans="1:9" x14ac:dyDescent="0.15">
      <c r="A419" s="135"/>
      <c r="B419" s="451" t="s">
        <v>1072</v>
      </c>
      <c r="C419" s="135" t="s">
        <v>920</v>
      </c>
      <c r="D419" s="141">
        <v>0</v>
      </c>
      <c r="E419" s="141">
        <v>0</v>
      </c>
      <c r="F419" s="141">
        <v>0</v>
      </c>
      <c r="G419" s="285">
        <v>0</v>
      </c>
      <c r="H419" s="147">
        <v>0</v>
      </c>
      <c r="I419" s="495">
        <f t="shared" si="22"/>
        <v>0</v>
      </c>
    </row>
    <row r="420" spans="1:9" x14ac:dyDescent="0.15">
      <c r="A420" s="135"/>
      <c r="B420" s="716" t="s">
        <v>155</v>
      </c>
      <c r="C420" s="703" t="s">
        <v>178</v>
      </c>
      <c r="D420" s="141">
        <v>0</v>
      </c>
      <c r="E420" s="141">
        <v>0</v>
      </c>
      <c r="F420" s="141">
        <v>0</v>
      </c>
      <c r="G420" s="285">
        <v>0</v>
      </c>
      <c r="H420" s="147">
        <v>0</v>
      </c>
      <c r="I420" s="495">
        <f t="shared" ref="I420" si="23">SUM(G420+H420)</f>
        <v>0</v>
      </c>
    </row>
    <row r="421" spans="1:9" x14ac:dyDescent="0.15">
      <c r="A421" s="135"/>
      <c r="B421" s="451" t="s">
        <v>921</v>
      </c>
      <c r="C421" s="135" t="s">
        <v>955</v>
      </c>
      <c r="D421" s="141">
        <v>0</v>
      </c>
      <c r="E421" s="141">
        <v>0</v>
      </c>
      <c r="F421" s="141">
        <v>0</v>
      </c>
      <c r="G421" s="285">
        <v>0</v>
      </c>
      <c r="H421" s="147">
        <v>0</v>
      </c>
      <c r="I421" s="495">
        <f t="shared" si="22"/>
        <v>0</v>
      </c>
    </row>
    <row r="422" spans="1:9" x14ac:dyDescent="0.15">
      <c r="A422" s="135"/>
      <c r="B422" s="451" t="s">
        <v>922</v>
      </c>
      <c r="C422" s="135" t="s">
        <v>956</v>
      </c>
      <c r="D422" s="141">
        <v>0</v>
      </c>
      <c r="E422" s="141">
        <v>0</v>
      </c>
      <c r="F422" s="141">
        <v>0</v>
      </c>
      <c r="G422" s="285">
        <v>0</v>
      </c>
      <c r="H422" s="147">
        <v>0</v>
      </c>
      <c r="I422" s="495">
        <f t="shared" si="22"/>
        <v>0</v>
      </c>
    </row>
    <row r="423" spans="1:9" x14ac:dyDescent="0.15">
      <c r="A423" s="135"/>
      <c r="B423" s="451" t="s">
        <v>923</v>
      </c>
      <c r="C423" s="135" t="s">
        <v>957</v>
      </c>
      <c r="D423" s="141">
        <v>0</v>
      </c>
      <c r="E423" s="141">
        <v>0</v>
      </c>
      <c r="F423" s="141">
        <v>0</v>
      </c>
      <c r="G423" s="285">
        <v>0</v>
      </c>
      <c r="H423" s="147">
        <v>0</v>
      </c>
      <c r="I423" s="495">
        <f t="shared" si="22"/>
        <v>0</v>
      </c>
    </row>
    <row r="424" spans="1:9" x14ac:dyDescent="0.15">
      <c r="A424" s="135"/>
      <c r="B424" s="451" t="s">
        <v>924</v>
      </c>
      <c r="C424" s="135" t="s">
        <v>958</v>
      </c>
      <c r="D424" s="141">
        <v>0</v>
      </c>
      <c r="E424" s="141">
        <v>0</v>
      </c>
      <c r="F424" s="141">
        <v>0</v>
      </c>
      <c r="G424" s="285">
        <v>0</v>
      </c>
      <c r="H424" s="147">
        <v>0</v>
      </c>
      <c r="I424" s="495">
        <f t="shared" si="22"/>
        <v>0</v>
      </c>
    </row>
    <row r="425" spans="1:9" x14ac:dyDescent="0.15">
      <c r="A425" s="135"/>
      <c r="B425" s="451" t="s">
        <v>925</v>
      </c>
      <c r="C425" s="135" t="s">
        <v>1128</v>
      </c>
      <c r="D425" s="141">
        <v>0</v>
      </c>
      <c r="E425" s="141">
        <v>0</v>
      </c>
      <c r="F425" s="141">
        <v>0</v>
      </c>
      <c r="G425" s="285">
        <v>0</v>
      </c>
      <c r="H425" s="147">
        <v>0</v>
      </c>
      <c r="I425" s="495">
        <f t="shared" si="22"/>
        <v>0</v>
      </c>
    </row>
    <row r="426" spans="1:9" x14ac:dyDescent="0.15">
      <c r="A426" s="135"/>
      <c r="B426" s="451" t="s">
        <v>926</v>
      </c>
      <c r="C426" s="135" t="s">
        <v>1129</v>
      </c>
      <c r="D426" s="141">
        <v>0</v>
      </c>
      <c r="E426" s="141">
        <v>0</v>
      </c>
      <c r="F426" s="141">
        <v>0</v>
      </c>
      <c r="G426" s="285">
        <v>0</v>
      </c>
      <c r="H426" s="147">
        <v>0</v>
      </c>
      <c r="I426" s="495">
        <f t="shared" si="22"/>
        <v>0</v>
      </c>
    </row>
    <row r="427" spans="1:9" x14ac:dyDescent="0.15">
      <c r="A427" s="135"/>
      <c r="B427" s="451" t="s">
        <v>927</v>
      </c>
      <c r="C427" s="135" t="s">
        <v>959</v>
      </c>
      <c r="D427" s="141">
        <v>0</v>
      </c>
      <c r="E427" s="141">
        <v>0</v>
      </c>
      <c r="F427" s="141">
        <v>0</v>
      </c>
      <c r="G427" s="285">
        <v>0</v>
      </c>
      <c r="H427" s="147">
        <v>0</v>
      </c>
      <c r="I427" s="495">
        <f t="shared" si="22"/>
        <v>0</v>
      </c>
    </row>
    <row r="428" spans="1:9" x14ac:dyDescent="0.15">
      <c r="A428" s="135"/>
      <c r="B428" s="451" t="s">
        <v>928</v>
      </c>
      <c r="C428" s="135" t="s">
        <v>961</v>
      </c>
      <c r="D428" s="141">
        <v>0</v>
      </c>
      <c r="E428" s="141">
        <v>0</v>
      </c>
      <c r="F428" s="141">
        <v>0</v>
      </c>
      <c r="G428" s="285">
        <v>0</v>
      </c>
      <c r="H428" s="147">
        <v>0</v>
      </c>
      <c r="I428" s="495">
        <f t="shared" si="22"/>
        <v>0</v>
      </c>
    </row>
    <row r="429" spans="1:9" x14ac:dyDescent="0.15">
      <c r="A429" s="135"/>
      <c r="B429" s="451" t="s">
        <v>962</v>
      </c>
      <c r="C429" s="135" t="s">
        <v>967</v>
      </c>
      <c r="D429" s="141">
        <v>0</v>
      </c>
      <c r="E429" s="141">
        <v>0</v>
      </c>
      <c r="F429" s="141">
        <v>0</v>
      </c>
      <c r="G429" s="285">
        <v>0</v>
      </c>
      <c r="H429" s="147">
        <v>0</v>
      </c>
      <c r="I429" s="495">
        <f t="shared" si="22"/>
        <v>0</v>
      </c>
    </row>
    <row r="430" spans="1:9" x14ac:dyDescent="0.15">
      <c r="A430" s="135"/>
      <c r="B430" s="451" t="s">
        <v>963</v>
      </c>
      <c r="C430" s="135" t="s">
        <v>1093</v>
      </c>
      <c r="D430" s="141">
        <v>0</v>
      </c>
      <c r="E430" s="141">
        <v>0</v>
      </c>
      <c r="F430" s="141">
        <v>0</v>
      </c>
      <c r="G430" s="285">
        <v>0</v>
      </c>
      <c r="H430" s="147">
        <v>0</v>
      </c>
      <c r="I430" s="495">
        <f t="shared" si="22"/>
        <v>0</v>
      </c>
    </row>
    <row r="431" spans="1:9" x14ac:dyDescent="0.15">
      <c r="A431" s="135"/>
      <c r="B431" s="451" t="s">
        <v>964</v>
      </c>
      <c r="C431" s="135" t="s">
        <v>1094</v>
      </c>
      <c r="D431" s="141">
        <v>0</v>
      </c>
      <c r="E431" s="141">
        <v>0</v>
      </c>
      <c r="F431" s="141">
        <v>0</v>
      </c>
      <c r="G431" s="285">
        <v>0</v>
      </c>
      <c r="H431" s="147">
        <v>0</v>
      </c>
      <c r="I431" s="495">
        <f t="shared" si="22"/>
        <v>0</v>
      </c>
    </row>
    <row r="432" spans="1:9" x14ac:dyDescent="0.15">
      <c r="A432" s="135"/>
      <c r="B432" s="451" t="s">
        <v>965</v>
      </c>
      <c r="C432" s="135" t="s">
        <v>1095</v>
      </c>
      <c r="D432" s="141">
        <v>0</v>
      </c>
      <c r="E432" s="141">
        <v>0</v>
      </c>
      <c r="F432" s="141">
        <v>0</v>
      </c>
      <c r="G432" s="285">
        <v>0</v>
      </c>
      <c r="H432" s="147">
        <v>0</v>
      </c>
      <c r="I432" s="495">
        <f t="shared" si="22"/>
        <v>0</v>
      </c>
    </row>
    <row r="433" spans="1:10" x14ac:dyDescent="0.15">
      <c r="A433" s="135"/>
      <c r="B433" s="451" t="s">
        <v>885</v>
      </c>
      <c r="C433" s="135" t="s">
        <v>1096</v>
      </c>
      <c r="D433" s="141">
        <v>0</v>
      </c>
      <c r="E433" s="141">
        <v>0</v>
      </c>
      <c r="F433" s="141">
        <v>0</v>
      </c>
      <c r="G433" s="285">
        <v>0</v>
      </c>
      <c r="H433" s="147">
        <v>0</v>
      </c>
      <c r="I433" s="495">
        <f t="shared" si="22"/>
        <v>0</v>
      </c>
    </row>
    <row r="434" spans="1:10" x14ac:dyDescent="0.15">
      <c r="A434" s="135"/>
      <c r="B434" s="451" t="s">
        <v>966</v>
      </c>
      <c r="C434" s="135" t="s">
        <v>1097</v>
      </c>
      <c r="D434" s="141">
        <v>0</v>
      </c>
      <c r="E434" s="141">
        <v>0</v>
      </c>
      <c r="F434" s="141">
        <v>0</v>
      </c>
      <c r="G434" s="285">
        <v>0</v>
      </c>
      <c r="H434" s="147">
        <v>0</v>
      </c>
      <c r="I434" s="495">
        <f t="shared" si="22"/>
        <v>0</v>
      </c>
    </row>
    <row r="435" spans="1:10" x14ac:dyDescent="0.15">
      <c r="A435" s="135"/>
      <c r="B435" s="451" t="s">
        <v>886</v>
      </c>
      <c r="C435" s="135" t="s">
        <v>1100</v>
      </c>
      <c r="D435" s="141">
        <v>0</v>
      </c>
      <c r="E435" s="141">
        <v>0</v>
      </c>
      <c r="F435" s="141">
        <v>0</v>
      </c>
      <c r="G435" s="285">
        <v>0</v>
      </c>
      <c r="H435" s="147">
        <v>0</v>
      </c>
      <c r="I435" s="495">
        <f t="shared" si="22"/>
        <v>0</v>
      </c>
    </row>
    <row r="436" spans="1:10" x14ac:dyDescent="0.15">
      <c r="A436" s="135"/>
      <c r="B436" s="451" t="s">
        <v>116</v>
      </c>
      <c r="C436" s="135" t="s">
        <v>1105</v>
      </c>
      <c r="D436" s="141">
        <v>0</v>
      </c>
      <c r="E436" s="141">
        <v>0</v>
      </c>
      <c r="F436" s="141">
        <v>0</v>
      </c>
      <c r="G436" s="285">
        <v>0</v>
      </c>
      <c r="H436" s="147">
        <v>0</v>
      </c>
      <c r="I436" s="495">
        <f t="shared" si="22"/>
        <v>0</v>
      </c>
    </row>
    <row r="437" spans="1:10" x14ac:dyDescent="0.15">
      <c r="A437" s="135"/>
      <c r="B437" s="451" t="s">
        <v>112</v>
      </c>
      <c r="C437" s="135" t="s">
        <v>1110</v>
      </c>
      <c r="D437" s="141">
        <v>0</v>
      </c>
      <c r="E437" s="141">
        <v>0</v>
      </c>
      <c r="F437" s="141">
        <v>0</v>
      </c>
      <c r="G437" s="285">
        <v>0</v>
      </c>
      <c r="H437" s="147">
        <v>0</v>
      </c>
      <c r="I437" s="495">
        <f t="shared" si="22"/>
        <v>0</v>
      </c>
    </row>
    <row r="438" spans="1:10" x14ac:dyDescent="0.15">
      <c r="A438" s="135"/>
      <c r="B438" s="451" t="s">
        <v>887</v>
      </c>
      <c r="C438" s="135" t="s">
        <v>1116</v>
      </c>
      <c r="D438" s="141">
        <v>0</v>
      </c>
      <c r="E438" s="141">
        <v>0</v>
      </c>
      <c r="F438" s="141">
        <v>0</v>
      </c>
      <c r="G438" s="285">
        <v>0</v>
      </c>
      <c r="H438" s="147">
        <v>0</v>
      </c>
      <c r="I438" s="495">
        <f t="shared" si="22"/>
        <v>0</v>
      </c>
    </row>
    <row r="439" spans="1:10" x14ac:dyDescent="0.15">
      <c r="A439" s="135"/>
      <c r="B439" s="451" t="s">
        <v>1112</v>
      </c>
      <c r="C439" s="135" t="s">
        <v>1117</v>
      </c>
      <c r="D439" s="141">
        <v>0</v>
      </c>
      <c r="E439" s="141">
        <v>0</v>
      </c>
      <c r="F439" s="141">
        <v>0</v>
      </c>
      <c r="G439" s="285">
        <v>0</v>
      </c>
      <c r="H439" s="147">
        <v>0</v>
      </c>
      <c r="I439" s="495">
        <f t="shared" si="22"/>
        <v>0</v>
      </c>
    </row>
    <row r="440" spans="1:10" x14ac:dyDescent="0.15">
      <c r="A440" s="135"/>
      <c r="B440" s="451" t="s">
        <v>1113</v>
      </c>
      <c r="C440" s="135" t="s">
        <v>1118</v>
      </c>
      <c r="D440" s="141">
        <v>0</v>
      </c>
      <c r="E440" s="141">
        <v>0</v>
      </c>
      <c r="F440" s="141">
        <v>0</v>
      </c>
      <c r="G440" s="285">
        <v>0</v>
      </c>
      <c r="H440" s="147">
        <v>0</v>
      </c>
      <c r="I440" s="495">
        <f t="shared" si="22"/>
        <v>0</v>
      </c>
    </row>
    <row r="441" spans="1:10" ht="11.25" thickBot="1" x14ac:dyDescent="0.2">
      <c r="A441" s="135"/>
      <c r="B441" s="451" t="s">
        <v>1114</v>
      </c>
      <c r="C441" s="135" t="s">
        <v>1119</v>
      </c>
      <c r="D441" s="141">
        <v>0</v>
      </c>
      <c r="E441" s="141">
        <v>0</v>
      </c>
      <c r="F441" s="141">
        <v>0</v>
      </c>
      <c r="G441" s="285">
        <v>0</v>
      </c>
      <c r="H441" s="147">
        <v>0</v>
      </c>
      <c r="I441" s="495">
        <f t="shared" si="22"/>
        <v>0</v>
      </c>
    </row>
    <row r="442" spans="1:10" ht="12" thickTop="1" thickBot="1" x14ac:dyDescent="0.2">
      <c r="A442" s="135"/>
      <c r="B442" s="451"/>
      <c r="C442" s="135" t="s">
        <v>1176</v>
      </c>
      <c r="D442" s="166">
        <f>SUM(D408:D441)</f>
        <v>0</v>
      </c>
      <c r="E442" s="166">
        <f>SUM(E408:E441)</f>
        <v>0</v>
      </c>
      <c r="F442" s="166">
        <f>SUM(F408:F441)</f>
        <v>0</v>
      </c>
      <c r="G442" s="166">
        <f>SUM(G408:G441)</f>
        <v>0</v>
      </c>
      <c r="H442" s="166">
        <f>SUM(H408:H441)</f>
        <v>0</v>
      </c>
      <c r="I442" s="166">
        <f t="shared" si="22"/>
        <v>0</v>
      </c>
    </row>
    <row r="443" spans="1:10" ht="11.25" thickTop="1" x14ac:dyDescent="0.15">
      <c r="A443" s="135"/>
      <c r="B443" s="135"/>
      <c r="C443" s="135"/>
      <c r="D443" s="14"/>
      <c r="E443" s="14"/>
      <c r="F443" s="14"/>
      <c r="G443" s="14"/>
      <c r="H443" s="14"/>
      <c r="I443" s="491"/>
    </row>
    <row r="444" spans="1:10" x14ac:dyDescent="0.15">
      <c r="A444" s="452" t="s">
        <v>1177</v>
      </c>
      <c r="B444" s="135"/>
      <c r="C444" s="135"/>
      <c r="D444" s="14"/>
      <c r="E444" s="14"/>
      <c r="F444" s="14"/>
      <c r="G444" s="14"/>
      <c r="H444" s="14"/>
      <c r="I444" s="491"/>
    </row>
    <row r="445" spans="1:10" s="416" customFormat="1" hidden="1" x14ac:dyDescent="0.15">
      <c r="B445" s="453" t="s">
        <v>880</v>
      </c>
      <c r="C445" s="454" t="s">
        <v>1164</v>
      </c>
      <c r="D445" s="308">
        <v>0</v>
      </c>
      <c r="E445" s="308">
        <v>0</v>
      </c>
      <c r="F445" s="308">
        <v>0</v>
      </c>
      <c r="G445" s="458"/>
      <c r="H445" s="457">
        <v>0</v>
      </c>
      <c r="I445" s="494">
        <f t="shared" ref="I445:I479" si="24">SUM(G445+H445)</f>
        <v>0</v>
      </c>
    </row>
    <row r="446" spans="1:10" s="416" customFormat="1" x14ac:dyDescent="0.15">
      <c r="B446" s="453" t="s">
        <v>880</v>
      </c>
      <c r="C446" s="454" t="s">
        <v>337</v>
      </c>
      <c r="D446" s="308">
        <v>0</v>
      </c>
      <c r="E446" s="308">
        <v>0</v>
      </c>
      <c r="F446" s="308">
        <v>0</v>
      </c>
      <c r="G446" s="308">
        <v>0</v>
      </c>
      <c r="H446" s="457">
        <v>0</v>
      </c>
      <c r="I446" s="494">
        <f t="shared" si="24"/>
        <v>0</v>
      </c>
    </row>
    <row r="447" spans="1:10" s="416" customFormat="1" hidden="1" x14ac:dyDescent="0.15">
      <c r="A447" s="454"/>
      <c r="B447" s="453" t="s">
        <v>881</v>
      </c>
      <c r="C447" s="454" t="s">
        <v>382</v>
      </c>
      <c r="D447" s="308">
        <v>0</v>
      </c>
      <c r="E447" s="308">
        <v>0</v>
      </c>
      <c r="F447" s="308">
        <v>0</v>
      </c>
      <c r="G447" s="459"/>
      <c r="H447" s="457">
        <v>0</v>
      </c>
      <c r="I447" s="494">
        <f t="shared" si="24"/>
        <v>0</v>
      </c>
    </row>
    <row r="448" spans="1:10" x14ac:dyDescent="0.15">
      <c r="A448" s="135"/>
      <c r="B448" s="451" t="s">
        <v>881</v>
      </c>
      <c r="C448" s="135" t="s">
        <v>338</v>
      </c>
      <c r="D448" s="144">
        <v>0</v>
      </c>
      <c r="E448" s="144">
        <v>0</v>
      </c>
      <c r="F448" s="144">
        <v>0</v>
      </c>
      <c r="G448" s="144">
        <v>0</v>
      </c>
      <c r="H448" s="147">
        <v>0</v>
      </c>
      <c r="I448" s="495">
        <f t="shared" si="24"/>
        <v>0</v>
      </c>
      <c r="J448" s="416"/>
    </row>
    <row r="449" spans="1:9" x14ac:dyDescent="0.15">
      <c r="A449" s="135"/>
      <c r="B449" s="451" t="s">
        <v>882</v>
      </c>
      <c r="C449" s="135" t="s">
        <v>1058</v>
      </c>
      <c r="D449" s="141">
        <v>0</v>
      </c>
      <c r="E449" s="141">
        <v>0</v>
      </c>
      <c r="F449" s="141">
        <v>0</v>
      </c>
      <c r="G449" s="285">
        <v>0</v>
      </c>
      <c r="H449" s="147">
        <v>0</v>
      </c>
      <c r="I449" s="495">
        <f t="shared" si="24"/>
        <v>0</v>
      </c>
    </row>
    <row r="450" spans="1:9" x14ac:dyDescent="0.15">
      <c r="A450" s="135"/>
      <c r="B450" s="451" t="s">
        <v>883</v>
      </c>
      <c r="C450" s="135" t="s">
        <v>1059</v>
      </c>
      <c r="D450" s="141">
        <v>0</v>
      </c>
      <c r="E450" s="141">
        <v>0</v>
      </c>
      <c r="F450" s="141">
        <v>0</v>
      </c>
      <c r="G450" s="285">
        <v>0</v>
      </c>
      <c r="H450" s="147">
        <v>0</v>
      </c>
      <c r="I450" s="495">
        <f t="shared" si="24"/>
        <v>0</v>
      </c>
    </row>
    <row r="451" spans="1:9" x14ac:dyDescent="0.15">
      <c r="A451" s="135"/>
      <c r="B451" s="451" t="s">
        <v>1060</v>
      </c>
      <c r="C451" s="135" t="s">
        <v>1061</v>
      </c>
      <c r="D451" s="141">
        <v>0</v>
      </c>
      <c r="E451" s="141">
        <v>0</v>
      </c>
      <c r="F451" s="141">
        <v>0</v>
      </c>
      <c r="G451" s="285">
        <v>0</v>
      </c>
      <c r="H451" s="147">
        <v>0</v>
      </c>
      <c r="I451" s="495">
        <f t="shared" si="24"/>
        <v>0</v>
      </c>
    </row>
    <row r="452" spans="1:9" x14ac:dyDescent="0.15">
      <c r="A452" s="135"/>
      <c r="B452" s="451" t="s">
        <v>1062</v>
      </c>
      <c r="C452" s="135" t="s">
        <v>1063</v>
      </c>
      <c r="D452" s="141">
        <v>0</v>
      </c>
      <c r="E452" s="141">
        <v>0</v>
      </c>
      <c r="F452" s="141">
        <v>0</v>
      </c>
      <c r="G452" s="285">
        <v>0</v>
      </c>
      <c r="H452" s="147">
        <v>0</v>
      </c>
      <c r="I452" s="495">
        <f t="shared" si="24"/>
        <v>0</v>
      </c>
    </row>
    <row r="453" spans="1:9" x14ac:dyDescent="0.15">
      <c r="A453" s="135"/>
      <c r="B453" s="451" t="s">
        <v>884</v>
      </c>
      <c r="C453" s="135" t="s">
        <v>1064</v>
      </c>
      <c r="D453" s="141">
        <v>0</v>
      </c>
      <c r="E453" s="141">
        <v>0</v>
      </c>
      <c r="F453" s="141">
        <v>0</v>
      </c>
      <c r="G453" s="285">
        <v>0</v>
      </c>
      <c r="H453" s="147">
        <v>0</v>
      </c>
      <c r="I453" s="495">
        <f t="shared" si="24"/>
        <v>0</v>
      </c>
    </row>
    <row r="454" spans="1:9" x14ac:dyDescent="0.15">
      <c r="A454" s="135"/>
      <c r="B454" s="451" t="s">
        <v>1067</v>
      </c>
      <c r="C454" s="135" t="s">
        <v>1074</v>
      </c>
      <c r="D454" s="141">
        <v>0</v>
      </c>
      <c r="E454" s="141">
        <v>0</v>
      </c>
      <c r="F454" s="141">
        <v>0</v>
      </c>
      <c r="G454" s="285">
        <v>0</v>
      </c>
      <c r="H454" s="147">
        <v>0</v>
      </c>
      <c r="I454" s="495">
        <f t="shared" si="24"/>
        <v>0</v>
      </c>
    </row>
    <row r="455" spans="1:9" x14ac:dyDescent="0.15">
      <c r="A455" s="135"/>
      <c r="B455" s="451" t="s">
        <v>1068</v>
      </c>
      <c r="C455" s="135" t="s">
        <v>1075</v>
      </c>
      <c r="D455" s="141">
        <v>0</v>
      </c>
      <c r="E455" s="141">
        <v>0</v>
      </c>
      <c r="F455" s="141">
        <v>0</v>
      </c>
      <c r="G455" s="285">
        <v>0</v>
      </c>
      <c r="H455" s="147">
        <v>0</v>
      </c>
      <c r="I455" s="495">
        <f t="shared" si="24"/>
        <v>0</v>
      </c>
    </row>
    <row r="456" spans="1:9" x14ac:dyDescent="0.15">
      <c r="A456" s="135"/>
      <c r="B456" s="451" t="s">
        <v>1072</v>
      </c>
      <c r="C456" s="135" t="s">
        <v>920</v>
      </c>
      <c r="D456" s="141">
        <v>0</v>
      </c>
      <c r="E456" s="141">
        <v>0</v>
      </c>
      <c r="F456" s="141">
        <v>0</v>
      </c>
      <c r="G456" s="285">
        <v>0</v>
      </c>
      <c r="H456" s="147">
        <v>0</v>
      </c>
      <c r="I456" s="495">
        <f t="shared" si="24"/>
        <v>0</v>
      </c>
    </row>
    <row r="457" spans="1:9" x14ac:dyDescent="0.15">
      <c r="A457" s="135"/>
      <c r="B457" s="716" t="s">
        <v>155</v>
      </c>
      <c r="C457" s="703" t="s">
        <v>178</v>
      </c>
      <c r="D457" s="141">
        <v>0</v>
      </c>
      <c r="E457" s="141">
        <v>0</v>
      </c>
      <c r="F457" s="141">
        <v>0</v>
      </c>
      <c r="G457" s="285">
        <v>0</v>
      </c>
      <c r="H457" s="147">
        <v>0</v>
      </c>
      <c r="I457" s="495">
        <f t="shared" ref="I457" si="25">SUM(G457+H457)</f>
        <v>0</v>
      </c>
    </row>
    <row r="458" spans="1:9" x14ac:dyDescent="0.15">
      <c r="A458" s="135"/>
      <c r="B458" s="451" t="s">
        <v>921</v>
      </c>
      <c r="C458" s="135" t="s">
        <v>955</v>
      </c>
      <c r="D458" s="141">
        <v>0</v>
      </c>
      <c r="E458" s="141">
        <v>0</v>
      </c>
      <c r="F458" s="141">
        <v>0</v>
      </c>
      <c r="G458" s="285">
        <v>0</v>
      </c>
      <c r="H458" s="147">
        <v>0</v>
      </c>
      <c r="I458" s="495">
        <f t="shared" si="24"/>
        <v>0</v>
      </c>
    </row>
    <row r="459" spans="1:9" x14ac:dyDescent="0.15">
      <c r="A459" s="135"/>
      <c r="B459" s="451" t="s">
        <v>922</v>
      </c>
      <c r="C459" s="135" t="s">
        <v>956</v>
      </c>
      <c r="D459" s="141">
        <v>0</v>
      </c>
      <c r="E459" s="141">
        <v>0</v>
      </c>
      <c r="F459" s="141">
        <v>0</v>
      </c>
      <c r="G459" s="285">
        <v>0</v>
      </c>
      <c r="H459" s="147">
        <v>0</v>
      </c>
      <c r="I459" s="495">
        <f t="shared" si="24"/>
        <v>0</v>
      </c>
    </row>
    <row r="460" spans="1:9" x14ac:dyDescent="0.15">
      <c r="A460" s="135"/>
      <c r="B460" s="451" t="s">
        <v>923</v>
      </c>
      <c r="C460" s="135" t="s">
        <v>957</v>
      </c>
      <c r="D460" s="141">
        <v>0</v>
      </c>
      <c r="E460" s="141">
        <v>0</v>
      </c>
      <c r="F460" s="141">
        <v>0</v>
      </c>
      <c r="G460" s="285">
        <v>0</v>
      </c>
      <c r="H460" s="147">
        <v>0</v>
      </c>
      <c r="I460" s="495">
        <f t="shared" si="24"/>
        <v>0</v>
      </c>
    </row>
    <row r="461" spans="1:9" x14ac:dyDescent="0.15">
      <c r="A461" s="135"/>
      <c r="B461" s="451" t="s">
        <v>924</v>
      </c>
      <c r="C461" s="135" t="s">
        <v>958</v>
      </c>
      <c r="D461" s="141">
        <v>0</v>
      </c>
      <c r="E461" s="141">
        <v>0</v>
      </c>
      <c r="F461" s="141">
        <v>0</v>
      </c>
      <c r="G461" s="285">
        <v>0</v>
      </c>
      <c r="H461" s="147">
        <v>0</v>
      </c>
      <c r="I461" s="495">
        <f t="shared" si="24"/>
        <v>0</v>
      </c>
    </row>
    <row r="462" spans="1:9" x14ac:dyDescent="0.15">
      <c r="A462" s="135"/>
      <c r="B462" s="451" t="s">
        <v>925</v>
      </c>
      <c r="C462" s="135" t="s">
        <v>1128</v>
      </c>
      <c r="D462" s="141">
        <v>0</v>
      </c>
      <c r="E462" s="141">
        <v>0</v>
      </c>
      <c r="F462" s="141">
        <v>0</v>
      </c>
      <c r="G462" s="285">
        <v>0</v>
      </c>
      <c r="H462" s="147">
        <v>0</v>
      </c>
      <c r="I462" s="495">
        <f t="shared" si="24"/>
        <v>0</v>
      </c>
    </row>
    <row r="463" spans="1:9" x14ac:dyDescent="0.15">
      <c r="A463" s="135"/>
      <c r="B463" s="451" t="s">
        <v>926</v>
      </c>
      <c r="C463" s="135" t="s">
        <v>1129</v>
      </c>
      <c r="D463" s="141">
        <v>0</v>
      </c>
      <c r="E463" s="141">
        <v>0</v>
      </c>
      <c r="F463" s="141">
        <v>0</v>
      </c>
      <c r="G463" s="285">
        <v>0</v>
      </c>
      <c r="H463" s="147">
        <v>0</v>
      </c>
      <c r="I463" s="495">
        <f t="shared" si="24"/>
        <v>0</v>
      </c>
    </row>
    <row r="464" spans="1:9" x14ac:dyDescent="0.15">
      <c r="A464" s="135"/>
      <c r="B464" s="451" t="s">
        <v>927</v>
      </c>
      <c r="C464" s="135" t="s">
        <v>959</v>
      </c>
      <c r="D464" s="141">
        <v>0</v>
      </c>
      <c r="E464" s="141">
        <v>0</v>
      </c>
      <c r="F464" s="141">
        <v>0</v>
      </c>
      <c r="G464" s="285">
        <v>0</v>
      </c>
      <c r="H464" s="147">
        <v>0</v>
      </c>
      <c r="I464" s="495">
        <f t="shared" si="24"/>
        <v>0</v>
      </c>
    </row>
    <row r="465" spans="1:9" x14ac:dyDescent="0.15">
      <c r="A465" s="135"/>
      <c r="B465" s="451" t="s">
        <v>928</v>
      </c>
      <c r="C465" s="135" t="s">
        <v>961</v>
      </c>
      <c r="D465" s="141">
        <v>0</v>
      </c>
      <c r="E465" s="141">
        <v>0</v>
      </c>
      <c r="F465" s="141">
        <v>0</v>
      </c>
      <c r="G465" s="285">
        <v>0</v>
      </c>
      <c r="H465" s="147">
        <v>0</v>
      </c>
      <c r="I465" s="495">
        <f t="shared" si="24"/>
        <v>0</v>
      </c>
    </row>
    <row r="466" spans="1:9" x14ac:dyDescent="0.15">
      <c r="A466" s="135"/>
      <c r="B466" s="451" t="s">
        <v>962</v>
      </c>
      <c r="C466" s="135" t="s">
        <v>967</v>
      </c>
      <c r="D466" s="141">
        <v>0</v>
      </c>
      <c r="E466" s="141">
        <v>0</v>
      </c>
      <c r="F466" s="141">
        <v>0</v>
      </c>
      <c r="G466" s="285">
        <v>0</v>
      </c>
      <c r="H466" s="147">
        <v>0</v>
      </c>
      <c r="I466" s="495">
        <f t="shared" si="24"/>
        <v>0</v>
      </c>
    </row>
    <row r="467" spans="1:9" x14ac:dyDescent="0.15">
      <c r="A467" s="135"/>
      <c r="B467" s="451" t="s">
        <v>963</v>
      </c>
      <c r="C467" s="135" t="s">
        <v>1093</v>
      </c>
      <c r="D467" s="141">
        <v>0</v>
      </c>
      <c r="E467" s="141">
        <v>0</v>
      </c>
      <c r="F467" s="141">
        <v>0</v>
      </c>
      <c r="G467" s="285">
        <v>0</v>
      </c>
      <c r="H467" s="147">
        <v>0</v>
      </c>
      <c r="I467" s="495">
        <f t="shared" si="24"/>
        <v>0</v>
      </c>
    </row>
    <row r="468" spans="1:9" x14ac:dyDescent="0.15">
      <c r="A468" s="135"/>
      <c r="B468" s="451" t="s">
        <v>964</v>
      </c>
      <c r="C468" s="135" t="s">
        <v>1094</v>
      </c>
      <c r="D468" s="141">
        <v>0</v>
      </c>
      <c r="E468" s="141">
        <v>0</v>
      </c>
      <c r="F468" s="141">
        <v>0</v>
      </c>
      <c r="G468" s="285">
        <v>0</v>
      </c>
      <c r="H468" s="147">
        <v>0</v>
      </c>
      <c r="I468" s="495">
        <f t="shared" si="24"/>
        <v>0</v>
      </c>
    </row>
    <row r="469" spans="1:9" x14ac:dyDescent="0.15">
      <c r="A469" s="135"/>
      <c r="B469" s="451" t="s">
        <v>965</v>
      </c>
      <c r="C469" s="135" t="s">
        <v>1095</v>
      </c>
      <c r="D469" s="141">
        <v>0</v>
      </c>
      <c r="E469" s="141">
        <v>0</v>
      </c>
      <c r="F469" s="141">
        <v>0</v>
      </c>
      <c r="G469" s="285">
        <v>0</v>
      </c>
      <c r="H469" s="147">
        <v>0</v>
      </c>
      <c r="I469" s="495">
        <f t="shared" si="24"/>
        <v>0</v>
      </c>
    </row>
    <row r="470" spans="1:9" x14ac:dyDescent="0.15">
      <c r="A470" s="135"/>
      <c r="B470" s="451" t="s">
        <v>885</v>
      </c>
      <c r="C470" s="135" t="s">
        <v>1096</v>
      </c>
      <c r="D470" s="141">
        <v>0</v>
      </c>
      <c r="E470" s="141">
        <v>0</v>
      </c>
      <c r="F470" s="141">
        <v>0</v>
      </c>
      <c r="G470" s="285">
        <v>0</v>
      </c>
      <c r="H470" s="147">
        <v>0</v>
      </c>
      <c r="I470" s="495">
        <f t="shared" si="24"/>
        <v>0</v>
      </c>
    </row>
    <row r="471" spans="1:9" x14ac:dyDescent="0.15">
      <c r="A471" s="135"/>
      <c r="B471" s="451" t="s">
        <v>966</v>
      </c>
      <c r="C471" s="135" t="s">
        <v>1097</v>
      </c>
      <c r="D471" s="141">
        <v>0</v>
      </c>
      <c r="E471" s="141">
        <v>0</v>
      </c>
      <c r="F471" s="141">
        <v>0</v>
      </c>
      <c r="G471" s="285">
        <v>0</v>
      </c>
      <c r="H471" s="147">
        <v>0</v>
      </c>
      <c r="I471" s="495">
        <f t="shared" si="24"/>
        <v>0</v>
      </c>
    </row>
    <row r="472" spans="1:9" x14ac:dyDescent="0.15">
      <c r="A472" s="135"/>
      <c r="B472" s="451" t="s">
        <v>886</v>
      </c>
      <c r="C472" s="135" t="s">
        <v>1100</v>
      </c>
      <c r="D472" s="141">
        <v>0</v>
      </c>
      <c r="E472" s="141">
        <v>0</v>
      </c>
      <c r="F472" s="141">
        <v>0</v>
      </c>
      <c r="G472" s="285">
        <v>0</v>
      </c>
      <c r="H472" s="147">
        <v>0</v>
      </c>
      <c r="I472" s="495">
        <f t="shared" si="24"/>
        <v>0</v>
      </c>
    </row>
    <row r="473" spans="1:9" x14ac:dyDescent="0.15">
      <c r="A473" s="135"/>
      <c r="B473" s="451" t="s">
        <v>116</v>
      </c>
      <c r="C473" s="135" t="s">
        <v>1105</v>
      </c>
      <c r="D473" s="141">
        <v>0</v>
      </c>
      <c r="E473" s="141">
        <v>0</v>
      </c>
      <c r="F473" s="141">
        <v>0</v>
      </c>
      <c r="G473" s="285">
        <v>0</v>
      </c>
      <c r="H473" s="147">
        <v>0</v>
      </c>
      <c r="I473" s="495">
        <f t="shared" si="24"/>
        <v>0</v>
      </c>
    </row>
    <row r="474" spans="1:9" x14ac:dyDescent="0.15">
      <c r="A474" s="135"/>
      <c r="B474" s="451" t="s">
        <v>112</v>
      </c>
      <c r="C474" s="135" t="s">
        <v>1110</v>
      </c>
      <c r="D474" s="141">
        <v>0</v>
      </c>
      <c r="E474" s="141">
        <v>0</v>
      </c>
      <c r="F474" s="141">
        <v>0</v>
      </c>
      <c r="G474" s="285">
        <v>0</v>
      </c>
      <c r="H474" s="147">
        <v>0</v>
      </c>
      <c r="I474" s="495">
        <f t="shared" si="24"/>
        <v>0</v>
      </c>
    </row>
    <row r="475" spans="1:9" x14ac:dyDescent="0.15">
      <c r="A475" s="135"/>
      <c r="B475" s="451" t="s">
        <v>887</v>
      </c>
      <c r="C475" s="135" t="s">
        <v>1116</v>
      </c>
      <c r="D475" s="141">
        <v>0</v>
      </c>
      <c r="E475" s="141">
        <v>0</v>
      </c>
      <c r="F475" s="141">
        <v>0</v>
      </c>
      <c r="G475" s="285">
        <v>0</v>
      </c>
      <c r="H475" s="147">
        <v>0</v>
      </c>
      <c r="I475" s="495">
        <f t="shared" si="24"/>
        <v>0</v>
      </c>
    </row>
    <row r="476" spans="1:9" x14ac:dyDescent="0.15">
      <c r="A476" s="135"/>
      <c r="B476" s="451" t="s">
        <v>1112</v>
      </c>
      <c r="C476" s="135" t="s">
        <v>1117</v>
      </c>
      <c r="D476" s="141">
        <v>0</v>
      </c>
      <c r="E476" s="141">
        <v>0</v>
      </c>
      <c r="F476" s="141">
        <v>0</v>
      </c>
      <c r="G476" s="285">
        <v>0</v>
      </c>
      <c r="H476" s="147">
        <v>0</v>
      </c>
      <c r="I476" s="495">
        <f t="shared" si="24"/>
        <v>0</v>
      </c>
    </row>
    <row r="477" spans="1:9" x14ac:dyDescent="0.15">
      <c r="A477" s="135"/>
      <c r="B477" s="451" t="s">
        <v>1113</v>
      </c>
      <c r="C477" s="135" t="s">
        <v>1118</v>
      </c>
      <c r="D477" s="141">
        <v>0</v>
      </c>
      <c r="E477" s="141">
        <v>0</v>
      </c>
      <c r="F477" s="141">
        <v>0</v>
      </c>
      <c r="G477" s="285">
        <v>0</v>
      </c>
      <c r="H477" s="147">
        <v>0</v>
      </c>
      <c r="I477" s="495">
        <f t="shared" si="24"/>
        <v>0</v>
      </c>
    </row>
    <row r="478" spans="1:9" ht="11.25" thickBot="1" x14ac:dyDescent="0.2">
      <c r="A478" s="135"/>
      <c r="B478" s="451" t="s">
        <v>1114</v>
      </c>
      <c r="C478" s="135" t="s">
        <v>1119</v>
      </c>
      <c r="D478" s="141">
        <v>0</v>
      </c>
      <c r="E478" s="141">
        <v>0</v>
      </c>
      <c r="F478" s="141">
        <v>0</v>
      </c>
      <c r="G478" s="285">
        <v>0</v>
      </c>
      <c r="H478" s="147">
        <v>0</v>
      </c>
      <c r="I478" s="495">
        <f t="shared" si="24"/>
        <v>0</v>
      </c>
    </row>
    <row r="479" spans="1:9" ht="12" thickTop="1" thickBot="1" x14ac:dyDescent="0.2">
      <c r="A479" s="135"/>
      <c r="B479" s="451"/>
      <c r="C479" s="135" t="s">
        <v>1178</v>
      </c>
      <c r="D479" s="166">
        <f>SUM(D445:D478)</f>
        <v>0</v>
      </c>
      <c r="E479" s="166">
        <f>SUM(E445:E478)</f>
        <v>0</v>
      </c>
      <c r="F479" s="166">
        <f>SUM(F445:F478)</f>
        <v>0</v>
      </c>
      <c r="G479" s="166">
        <f>SUM(G445:G478)</f>
        <v>0</v>
      </c>
      <c r="H479" s="166">
        <f>SUM(H445:H478)</f>
        <v>0</v>
      </c>
      <c r="I479" s="166">
        <f t="shared" si="24"/>
        <v>0</v>
      </c>
    </row>
    <row r="480" spans="1:9" ht="11.25" thickTop="1" x14ac:dyDescent="0.15">
      <c r="A480" s="135"/>
      <c r="B480" s="135"/>
      <c r="C480" s="135"/>
      <c r="D480" s="14"/>
      <c r="E480" s="14"/>
      <c r="F480" s="14"/>
      <c r="G480" s="14"/>
      <c r="H480" s="14"/>
      <c r="I480" s="491"/>
    </row>
    <row r="481" spans="1:9" x14ac:dyDescent="0.15">
      <c r="A481" s="452" t="s">
        <v>1179</v>
      </c>
      <c r="B481" s="135"/>
      <c r="C481" s="135"/>
      <c r="D481" s="14"/>
      <c r="E481" s="14"/>
      <c r="F481" s="14"/>
      <c r="G481" s="14"/>
      <c r="H481" s="14"/>
      <c r="I481" s="491"/>
    </row>
    <row r="482" spans="1:9" s="416" customFormat="1" hidden="1" x14ac:dyDescent="0.15">
      <c r="B482" s="453" t="s">
        <v>880</v>
      </c>
      <c r="C482" s="454" t="s">
        <v>1164</v>
      </c>
      <c r="D482" s="308">
        <v>0</v>
      </c>
      <c r="E482" s="308">
        <v>0</v>
      </c>
      <c r="F482" s="308">
        <v>0</v>
      </c>
      <c r="G482" s="458"/>
      <c r="H482" s="457">
        <v>0</v>
      </c>
      <c r="I482" s="494">
        <f t="shared" ref="I482:I516" si="26">SUM(G482+H482)</f>
        <v>0</v>
      </c>
    </row>
    <row r="483" spans="1:9" s="416" customFormat="1" x14ac:dyDescent="0.15">
      <c r="B483" s="453" t="s">
        <v>880</v>
      </c>
      <c r="C483" s="454" t="s">
        <v>337</v>
      </c>
      <c r="D483" s="308">
        <v>0</v>
      </c>
      <c r="E483" s="308">
        <v>0</v>
      </c>
      <c r="F483" s="308">
        <v>0</v>
      </c>
      <c r="G483" s="308">
        <v>0</v>
      </c>
      <c r="H483" s="457">
        <v>0</v>
      </c>
      <c r="I483" s="494">
        <f t="shared" si="26"/>
        <v>0</v>
      </c>
    </row>
    <row r="484" spans="1:9" s="416" customFormat="1" hidden="1" x14ac:dyDescent="0.15">
      <c r="A484" s="454"/>
      <c r="B484" s="453" t="s">
        <v>881</v>
      </c>
      <c r="C484" s="454" t="s">
        <v>382</v>
      </c>
      <c r="D484" s="308">
        <v>0</v>
      </c>
      <c r="E484" s="308">
        <v>0</v>
      </c>
      <c r="F484" s="308">
        <v>0</v>
      </c>
      <c r="G484" s="459"/>
      <c r="H484" s="457">
        <v>0</v>
      </c>
      <c r="I484" s="494">
        <f t="shared" si="26"/>
        <v>0</v>
      </c>
    </row>
    <row r="485" spans="1:9" s="416" customFormat="1" x14ac:dyDescent="0.15">
      <c r="A485" s="454"/>
      <c r="B485" s="453" t="s">
        <v>881</v>
      </c>
      <c r="C485" s="454" t="s">
        <v>338</v>
      </c>
      <c r="D485" s="308">
        <v>0</v>
      </c>
      <c r="E485" s="308">
        <v>0</v>
      </c>
      <c r="F485" s="308">
        <v>0</v>
      </c>
      <c r="G485" s="308">
        <v>0</v>
      </c>
      <c r="H485" s="457">
        <v>0</v>
      </c>
      <c r="I485" s="494">
        <f t="shared" si="26"/>
        <v>0</v>
      </c>
    </row>
    <row r="486" spans="1:9" x14ac:dyDescent="0.15">
      <c r="A486" s="135"/>
      <c r="B486" s="451" t="s">
        <v>882</v>
      </c>
      <c r="C486" s="135" t="s">
        <v>1058</v>
      </c>
      <c r="D486" s="141">
        <v>0</v>
      </c>
      <c r="E486" s="141">
        <v>0</v>
      </c>
      <c r="F486" s="141">
        <v>0</v>
      </c>
      <c r="G486" s="285">
        <v>0</v>
      </c>
      <c r="H486" s="147">
        <v>0</v>
      </c>
      <c r="I486" s="495">
        <f t="shared" si="26"/>
        <v>0</v>
      </c>
    </row>
    <row r="487" spans="1:9" x14ac:dyDescent="0.15">
      <c r="A487" s="135"/>
      <c r="B487" s="451" t="s">
        <v>883</v>
      </c>
      <c r="C487" s="135" t="s">
        <v>1059</v>
      </c>
      <c r="D487" s="141">
        <v>0</v>
      </c>
      <c r="E487" s="141">
        <v>0</v>
      </c>
      <c r="F487" s="141">
        <v>0</v>
      </c>
      <c r="G487" s="285">
        <v>0</v>
      </c>
      <c r="H487" s="147">
        <v>0</v>
      </c>
      <c r="I487" s="495">
        <f t="shared" si="26"/>
        <v>0</v>
      </c>
    </row>
    <row r="488" spans="1:9" x14ac:dyDescent="0.15">
      <c r="A488" s="135"/>
      <c r="B488" s="451" t="s">
        <v>1060</v>
      </c>
      <c r="C488" s="135" t="s">
        <v>1061</v>
      </c>
      <c r="D488" s="141">
        <v>0</v>
      </c>
      <c r="E488" s="141">
        <v>0</v>
      </c>
      <c r="F488" s="141">
        <v>0</v>
      </c>
      <c r="G488" s="285">
        <v>0</v>
      </c>
      <c r="H488" s="147">
        <v>0</v>
      </c>
      <c r="I488" s="495">
        <f t="shared" si="26"/>
        <v>0</v>
      </c>
    </row>
    <row r="489" spans="1:9" x14ac:dyDescent="0.15">
      <c r="A489" s="135"/>
      <c r="B489" s="451" t="s">
        <v>1062</v>
      </c>
      <c r="C489" s="135" t="s">
        <v>1063</v>
      </c>
      <c r="D489" s="141">
        <v>0</v>
      </c>
      <c r="E489" s="141">
        <v>0</v>
      </c>
      <c r="F489" s="141">
        <v>0</v>
      </c>
      <c r="G489" s="285">
        <v>0</v>
      </c>
      <c r="H489" s="147">
        <v>0</v>
      </c>
      <c r="I489" s="495">
        <f t="shared" si="26"/>
        <v>0</v>
      </c>
    </row>
    <row r="490" spans="1:9" x14ac:dyDescent="0.15">
      <c r="A490" s="135"/>
      <c r="B490" s="451" t="s">
        <v>884</v>
      </c>
      <c r="C490" s="135" t="s">
        <v>1064</v>
      </c>
      <c r="D490" s="141">
        <v>0</v>
      </c>
      <c r="E490" s="141">
        <v>0</v>
      </c>
      <c r="F490" s="141">
        <v>0</v>
      </c>
      <c r="G490" s="285">
        <v>0</v>
      </c>
      <c r="H490" s="147">
        <v>0</v>
      </c>
      <c r="I490" s="495">
        <f t="shared" si="26"/>
        <v>0</v>
      </c>
    </row>
    <row r="491" spans="1:9" x14ac:dyDescent="0.15">
      <c r="A491" s="135"/>
      <c r="B491" s="451" t="s">
        <v>1067</v>
      </c>
      <c r="C491" s="135" t="s">
        <v>1074</v>
      </c>
      <c r="D491" s="141">
        <v>0</v>
      </c>
      <c r="E491" s="141">
        <v>0</v>
      </c>
      <c r="F491" s="141">
        <v>0</v>
      </c>
      <c r="G491" s="285">
        <v>0</v>
      </c>
      <c r="H491" s="147">
        <v>0</v>
      </c>
      <c r="I491" s="495">
        <f t="shared" si="26"/>
        <v>0</v>
      </c>
    </row>
    <row r="492" spans="1:9" x14ac:dyDescent="0.15">
      <c r="A492" s="135"/>
      <c r="B492" s="451" t="s">
        <v>1068</v>
      </c>
      <c r="C492" s="135" t="s">
        <v>1075</v>
      </c>
      <c r="D492" s="141">
        <v>0</v>
      </c>
      <c r="E492" s="141">
        <v>0</v>
      </c>
      <c r="F492" s="141">
        <v>0</v>
      </c>
      <c r="G492" s="285">
        <v>0</v>
      </c>
      <c r="H492" s="147">
        <v>0</v>
      </c>
      <c r="I492" s="495">
        <f t="shared" si="26"/>
        <v>0</v>
      </c>
    </row>
    <row r="493" spans="1:9" x14ac:dyDescent="0.15">
      <c r="A493" s="135"/>
      <c r="B493" s="451" t="s">
        <v>1072</v>
      </c>
      <c r="C493" s="135" t="s">
        <v>920</v>
      </c>
      <c r="D493" s="141">
        <v>0</v>
      </c>
      <c r="E493" s="141">
        <v>0</v>
      </c>
      <c r="F493" s="141">
        <v>0</v>
      </c>
      <c r="G493" s="285">
        <v>0</v>
      </c>
      <c r="H493" s="147">
        <v>0</v>
      </c>
      <c r="I493" s="495">
        <f t="shared" si="26"/>
        <v>0</v>
      </c>
    </row>
    <row r="494" spans="1:9" x14ac:dyDescent="0.15">
      <c r="A494" s="135"/>
      <c r="B494" s="716" t="s">
        <v>155</v>
      </c>
      <c r="C494" s="703" t="s">
        <v>178</v>
      </c>
      <c r="D494" s="141">
        <v>0</v>
      </c>
      <c r="E494" s="141">
        <v>0</v>
      </c>
      <c r="F494" s="141">
        <v>0</v>
      </c>
      <c r="G494" s="285">
        <v>0</v>
      </c>
      <c r="H494" s="147">
        <v>0</v>
      </c>
      <c r="I494" s="495">
        <f t="shared" ref="I494" si="27">SUM(G494+H494)</f>
        <v>0</v>
      </c>
    </row>
    <row r="495" spans="1:9" x14ac:dyDescent="0.15">
      <c r="A495" s="135"/>
      <c r="B495" s="451" t="s">
        <v>921</v>
      </c>
      <c r="C495" s="135" t="s">
        <v>955</v>
      </c>
      <c r="D495" s="141">
        <v>0</v>
      </c>
      <c r="E495" s="141">
        <v>0</v>
      </c>
      <c r="F495" s="141">
        <v>0</v>
      </c>
      <c r="G495" s="285">
        <v>0</v>
      </c>
      <c r="H495" s="147">
        <v>0</v>
      </c>
      <c r="I495" s="495">
        <f t="shared" si="26"/>
        <v>0</v>
      </c>
    </row>
    <row r="496" spans="1:9" x14ac:dyDescent="0.15">
      <c r="A496" s="135"/>
      <c r="B496" s="451" t="s">
        <v>922</v>
      </c>
      <c r="C496" s="135" t="s">
        <v>956</v>
      </c>
      <c r="D496" s="141">
        <v>0</v>
      </c>
      <c r="E496" s="141">
        <v>0</v>
      </c>
      <c r="F496" s="141">
        <v>0</v>
      </c>
      <c r="G496" s="285">
        <v>0</v>
      </c>
      <c r="H496" s="147">
        <v>0</v>
      </c>
      <c r="I496" s="495">
        <f t="shared" si="26"/>
        <v>0</v>
      </c>
    </row>
    <row r="497" spans="1:9" x14ac:dyDescent="0.15">
      <c r="A497" s="135"/>
      <c r="B497" s="451" t="s">
        <v>923</v>
      </c>
      <c r="C497" s="135" t="s">
        <v>957</v>
      </c>
      <c r="D497" s="141">
        <v>0</v>
      </c>
      <c r="E497" s="141">
        <v>0</v>
      </c>
      <c r="F497" s="141">
        <v>0</v>
      </c>
      <c r="G497" s="285">
        <v>0</v>
      </c>
      <c r="H497" s="147">
        <v>0</v>
      </c>
      <c r="I497" s="495">
        <f t="shared" si="26"/>
        <v>0</v>
      </c>
    </row>
    <row r="498" spans="1:9" x14ac:dyDescent="0.15">
      <c r="A498" s="135"/>
      <c r="B498" s="451" t="s">
        <v>924</v>
      </c>
      <c r="C498" s="135" t="s">
        <v>958</v>
      </c>
      <c r="D498" s="141">
        <v>0</v>
      </c>
      <c r="E498" s="141">
        <v>0</v>
      </c>
      <c r="F498" s="141">
        <v>0</v>
      </c>
      <c r="G498" s="285">
        <v>0</v>
      </c>
      <c r="H498" s="147">
        <v>0</v>
      </c>
      <c r="I498" s="495">
        <f t="shared" si="26"/>
        <v>0</v>
      </c>
    </row>
    <row r="499" spans="1:9" x14ac:dyDescent="0.15">
      <c r="A499" s="135"/>
      <c r="B499" s="451" t="s">
        <v>925</v>
      </c>
      <c r="C499" s="135" t="s">
        <v>1128</v>
      </c>
      <c r="D499" s="141">
        <v>0</v>
      </c>
      <c r="E499" s="141">
        <v>0</v>
      </c>
      <c r="F499" s="141">
        <v>0</v>
      </c>
      <c r="G499" s="285">
        <v>0</v>
      </c>
      <c r="H499" s="147">
        <v>0</v>
      </c>
      <c r="I499" s="495">
        <f t="shared" si="26"/>
        <v>0</v>
      </c>
    </row>
    <row r="500" spans="1:9" x14ac:dyDescent="0.15">
      <c r="A500" s="135"/>
      <c r="B500" s="451" t="s">
        <v>926</v>
      </c>
      <c r="C500" s="135" t="s">
        <v>1129</v>
      </c>
      <c r="D500" s="141">
        <v>0</v>
      </c>
      <c r="E500" s="141">
        <v>0</v>
      </c>
      <c r="F500" s="141">
        <v>0</v>
      </c>
      <c r="G500" s="285">
        <v>0</v>
      </c>
      <c r="H500" s="147">
        <v>0</v>
      </c>
      <c r="I500" s="495">
        <f t="shared" si="26"/>
        <v>0</v>
      </c>
    </row>
    <row r="501" spans="1:9" x14ac:dyDescent="0.15">
      <c r="A501" s="135"/>
      <c r="B501" s="451" t="s">
        <v>927</v>
      </c>
      <c r="C501" s="135" t="s">
        <v>959</v>
      </c>
      <c r="D501" s="141">
        <v>0</v>
      </c>
      <c r="E501" s="141">
        <v>0</v>
      </c>
      <c r="F501" s="141">
        <v>0</v>
      </c>
      <c r="G501" s="285">
        <v>0</v>
      </c>
      <c r="H501" s="147">
        <v>0</v>
      </c>
      <c r="I501" s="495">
        <f t="shared" si="26"/>
        <v>0</v>
      </c>
    </row>
    <row r="502" spans="1:9" x14ac:dyDescent="0.15">
      <c r="A502" s="135"/>
      <c r="B502" s="451" t="s">
        <v>928</v>
      </c>
      <c r="C502" s="135" t="s">
        <v>961</v>
      </c>
      <c r="D502" s="141">
        <v>0</v>
      </c>
      <c r="E502" s="141">
        <v>0</v>
      </c>
      <c r="F502" s="141">
        <v>0</v>
      </c>
      <c r="G502" s="285">
        <v>0</v>
      </c>
      <c r="H502" s="147">
        <v>0</v>
      </c>
      <c r="I502" s="495">
        <f t="shared" si="26"/>
        <v>0</v>
      </c>
    </row>
    <row r="503" spans="1:9" x14ac:dyDescent="0.15">
      <c r="A503" s="135"/>
      <c r="B503" s="451" t="s">
        <v>962</v>
      </c>
      <c r="C503" s="135" t="s">
        <v>967</v>
      </c>
      <c r="D503" s="141">
        <v>0</v>
      </c>
      <c r="E503" s="141">
        <v>0</v>
      </c>
      <c r="F503" s="141">
        <v>0</v>
      </c>
      <c r="G503" s="285">
        <v>0</v>
      </c>
      <c r="H503" s="147">
        <v>0</v>
      </c>
      <c r="I503" s="495">
        <f t="shared" si="26"/>
        <v>0</v>
      </c>
    </row>
    <row r="504" spans="1:9" x14ac:dyDescent="0.15">
      <c r="A504" s="135"/>
      <c r="B504" s="451" t="s">
        <v>963</v>
      </c>
      <c r="C504" s="135" t="s">
        <v>1093</v>
      </c>
      <c r="D504" s="141">
        <v>0</v>
      </c>
      <c r="E504" s="141">
        <v>0</v>
      </c>
      <c r="F504" s="141">
        <v>0</v>
      </c>
      <c r="G504" s="285">
        <v>0</v>
      </c>
      <c r="H504" s="147">
        <v>0</v>
      </c>
      <c r="I504" s="495">
        <f t="shared" si="26"/>
        <v>0</v>
      </c>
    </row>
    <row r="505" spans="1:9" x14ac:dyDescent="0.15">
      <c r="A505" s="135"/>
      <c r="B505" s="451" t="s">
        <v>964</v>
      </c>
      <c r="C505" s="135" t="s">
        <v>1094</v>
      </c>
      <c r="D505" s="141">
        <v>0</v>
      </c>
      <c r="E505" s="141">
        <v>0</v>
      </c>
      <c r="F505" s="141">
        <v>0</v>
      </c>
      <c r="G505" s="285">
        <v>0</v>
      </c>
      <c r="H505" s="147">
        <v>0</v>
      </c>
      <c r="I505" s="495">
        <f t="shared" si="26"/>
        <v>0</v>
      </c>
    </row>
    <row r="506" spans="1:9" x14ac:dyDescent="0.15">
      <c r="A506" s="135"/>
      <c r="B506" s="451" t="s">
        <v>965</v>
      </c>
      <c r="C506" s="135" t="s">
        <v>1095</v>
      </c>
      <c r="D506" s="141">
        <v>0</v>
      </c>
      <c r="E506" s="141">
        <v>0</v>
      </c>
      <c r="F506" s="141">
        <v>0</v>
      </c>
      <c r="G506" s="285">
        <v>0</v>
      </c>
      <c r="H506" s="147">
        <v>0</v>
      </c>
      <c r="I506" s="495">
        <f t="shared" si="26"/>
        <v>0</v>
      </c>
    </row>
    <row r="507" spans="1:9" x14ac:dyDescent="0.15">
      <c r="A507" s="135"/>
      <c r="B507" s="451" t="s">
        <v>885</v>
      </c>
      <c r="C507" s="135" t="s">
        <v>1096</v>
      </c>
      <c r="D507" s="141">
        <v>0</v>
      </c>
      <c r="E507" s="141">
        <v>0</v>
      </c>
      <c r="F507" s="141">
        <v>0</v>
      </c>
      <c r="G507" s="285">
        <v>0</v>
      </c>
      <c r="H507" s="147">
        <v>0</v>
      </c>
      <c r="I507" s="495">
        <f t="shared" si="26"/>
        <v>0</v>
      </c>
    </row>
    <row r="508" spans="1:9" x14ac:dyDescent="0.15">
      <c r="A508" s="135"/>
      <c r="B508" s="451" t="s">
        <v>966</v>
      </c>
      <c r="C508" s="135" t="s">
        <v>1097</v>
      </c>
      <c r="D508" s="141">
        <v>0</v>
      </c>
      <c r="E508" s="141">
        <v>0</v>
      </c>
      <c r="F508" s="141">
        <v>0</v>
      </c>
      <c r="G508" s="285">
        <v>0</v>
      </c>
      <c r="H508" s="147">
        <v>0</v>
      </c>
      <c r="I508" s="495">
        <f t="shared" si="26"/>
        <v>0</v>
      </c>
    </row>
    <row r="509" spans="1:9" x14ac:dyDescent="0.15">
      <c r="A509" s="135"/>
      <c r="B509" s="451" t="s">
        <v>886</v>
      </c>
      <c r="C509" s="135" t="s">
        <v>1100</v>
      </c>
      <c r="D509" s="141">
        <v>0</v>
      </c>
      <c r="E509" s="141">
        <v>0</v>
      </c>
      <c r="F509" s="141">
        <v>0</v>
      </c>
      <c r="G509" s="285">
        <v>0</v>
      </c>
      <c r="H509" s="147">
        <v>0</v>
      </c>
      <c r="I509" s="495">
        <f t="shared" si="26"/>
        <v>0</v>
      </c>
    </row>
    <row r="510" spans="1:9" x14ac:dyDescent="0.15">
      <c r="A510" s="135"/>
      <c r="B510" s="451" t="s">
        <v>116</v>
      </c>
      <c r="C510" s="135" t="s">
        <v>1105</v>
      </c>
      <c r="D510" s="141">
        <v>0</v>
      </c>
      <c r="E510" s="141">
        <v>0</v>
      </c>
      <c r="F510" s="141">
        <v>0</v>
      </c>
      <c r="G510" s="285">
        <v>0</v>
      </c>
      <c r="H510" s="147">
        <v>0</v>
      </c>
      <c r="I510" s="495">
        <f t="shared" si="26"/>
        <v>0</v>
      </c>
    </row>
    <row r="511" spans="1:9" x14ac:dyDescent="0.15">
      <c r="A511" s="135"/>
      <c r="B511" s="451" t="s">
        <v>112</v>
      </c>
      <c r="C511" s="135" t="s">
        <v>1110</v>
      </c>
      <c r="D511" s="141">
        <v>0</v>
      </c>
      <c r="E511" s="141">
        <v>0</v>
      </c>
      <c r="F511" s="141">
        <v>0</v>
      </c>
      <c r="G511" s="285">
        <v>0</v>
      </c>
      <c r="H511" s="147">
        <v>0</v>
      </c>
      <c r="I511" s="495">
        <f t="shared" si="26"/>
        <v>0</v>
      </c>
    </row>
    <row r="512" spans="1:9" x14ac:dyDescent="0.15">
      <c r="A512" s="135"/>
      <c r="B512" s="451" t="s">
        <v>887</v>
      </c>
      <c r="C512" s="135" t="s">
        <v>1116</v>
      </c>
      <c r="D512" s="141">
        <v>0</v>
      </c>
      <c r="E512" s="141">
        <v>0</v>
      </c>
      <c r="F512" s="141">
        <v>0</v>
      </c>
      <c r="G512" s="285">
        <v>0</v>
      </c>
      <c r="H512" s="147">
        <v>0</v>
      </c>
      <c r="I512" s="495">
        <f t="shared" si="26"/>
        <v>0</v>
      </c>
    </row>
    <row r="513" spans="1:10" x14ac:dyDescent="0.15">
      <c r="A513" s="135"/>
      <c r="B513" s="451" t="s">
        <v>1112</v>
      </c>
      <c r="C513" s="135" t="s">
        <v>1117</v>
      </c>
      <c r="D513" s="141">
        <v>0</v>
      </c>
      <c r="E513" s="141">
        <v>0</v>
      </c>
      <c r="F513" s="141">
        <v>0</v>
      </c>
      <c r="G513" s="285">
        <v>0</v>
      </c>
      <c r="H513" s="147">
        <v>0</v>
      </c>
      <c r="I513" s="495">
        <f t="shared" si="26"/>
        <v>0</v>
      </c>
    </row>
    <row r="514" spans="1:10" x14ac:dyDescent="0.15">
      <c r="A514" s="135"/>
      <c r="B514" s="451" t="s">
        <v>1113</v>
      </c>
      <c r="C514" s="135" t="s">
        <v>1118</v>
      </c>
      <c r="D514" s="141">
        <v>0</v>
      </c>
      <c r="E514" s="141">
        <v>0</v>
      </c>
      <c r="F514" s="141">
        <v>0</v>
      </c>
      <c r="G514" s="285">
        <v>0</v>
      </c>
      <c r="H514" s="147">
        <v>0</v>
      </c>
      <c r="I514" s="495">
        <f t="shared" si="26"/>
        <v>0</v>
      </c>
    </row>
    <row r="515" spans="1:10" ht="11.25" thickBot="1" x14ac:dyDescent="0.2">
      <c r="A515" s="135"/>
      <c r="B515" s="451" t="s">
        <v>1114</v>
      </c>
      <c r="C515" s="135" t="s">
        <v>1119</v>
      </c>
      <c r="D515" s="141">
        <v>0</v>
      </c>
      <c r="E515" s="141">
        <v>0</v>
      </c>
      <c r="F515" s="141">
        <v>0</v>
      </c>
      <c r="G515" s="285">
        <v>0</v>
      </c>
      <c r="H515" s="147">
        <v>0</v>
      </c>
      <c r="I515" s="495">
        <f t="shared" si="26"/>
        <v>0</v>
      </c>
    </row>
    <row r="516" spans="1:10" ht="12" thickTop="1" thickBot="1" x14ac:dyDescent="0.2">
      <c r="A516" s="135"/>
      <c r="B516" s="451"/>
      <c r="C516" s="135" t="s">
        <v>1180</v>
      </c>
      <c r="D516" s="166">
        <f>SUM(D482:D515)</f>
        <v>0</v>
      </c>
      <c r="E516" s="166">
        <f>SUM(E482:E515)</f>
        <v>0</v>
      </c>
      <c r="F516" s="166">
        <f>SUM(F482:F515)</f>
        <v>0</v>
      </c>
      <c r="G516" s="166">
        <f>SUM(G482:G515)</f>
        <v>0</v>
      </c>
      <c r="H516" s="166">
        <f>SUM(H482:H515)</f>
        <v>0</v>
      </c>
      <c r="I516" s="166">
        <f t="shared" si="26"/>
        <v>0</v>
      </c>
    </row>
    <row r="517" spans="1:10" ht="11.25" thickTop="1" x14ac:dyDescent="0.15">
      <c r="A517" s="135"/>
      <c r="B517" s="135"/>
      <c r="C517" s="135"/>
      <c r="D517" s="14"/>
      <c r="E517" s="14"/>
      <c r="F517" s="14"/>
      <c r="G517" s="14"/>
      <c r="H517" s="14"/>
      <c r="I517" s="491"/>
    </row>
    <row r="518" spans="1:10" x14ac:dyDescent="0.15">
      <c r="A518" s="452" t="s">
        <v>1181</v>
      </c>
      <c r="B518" s="135"/>
      <c r="C518" s="135"/>
      <c r="D518" s="14"/>
      <c r="E518" s="14"/>
      <c r="F518" s="14"/>
      <c r="G518" s="14"/>
      <c r="H518" s="14"/>
      <c r="I518" s="491"/>
    </row>
    <row r="519" spans="1:10" s="416" customFormat="1" hidden="1" x14ac:dyDescent="0.15">
      <c r="B519" s="453" t="s">
        <v>880</v>
      </c>
      <c r="C519" s="454" t="s">
        <v>1164</v>
      </c>
      <c r="D519" s="308">
        <v>0</v>
      </c>
      <c r="E519" s="308">
        <v>0</v>
      </c>
      <c r="F519" s="308">
        <v>0</v>
      </c>
      <c r="G519" s="458"/>
      <c r="H519" s="457">
        <v>0</v>
      </c>
      <c r="I519" s="494">
        <f t="shared" ref="I519:I553" si="28">SUM(G519+H519)</f>
        <v>0</v>
      </c>
    </row>
    <row r="520" spans="1:10" s="416" customFormat="1" x14ac:dyDescent="0.15">
      <c r="B520" s="453" t="s">
        <v>880</v>
      </c>
      <c r="C520" s="454" t="s">
        <v>337</v>
      </c>
      <c r="D520" s="308">
        <v>0</v>
      </c>
      <c r="E520" s="308">
        <v>0</v>
      </c>
      <c r="F520" s="308">
        <v>0</v>
      </c>
      <c r="G520" s="308">
        <v>0</v>
      </c>
      <c r="H520" s="457">
        <v>0</v>
      </c>
      <c r="I520" s="494">
        <f t="shared" si="28"/>
        <v>0</v>
      </c>
    </row>
    <row r="521" spans="1:10" s="416" customFormat="1" hidden="1" x14ac:dyDescent="0.15">
      <c r="A521" s="454"/>
      <c r="B521" s="453" t="s">
        <v>881</v>
      </c>
      <c r="C521" s="454" t="s">
        <v>382</v>
      </c>
      <c r="D521" s="308">
        <v>0</v>
      </c>
      <c r="E521" s="308">
        <v>0</v>
      </c>
      <c r="F521" s="308">
        <v>0</v>
      </c>
      <c r="G521" s="459"/>
      <c r="H521" s="457">
        <v>0</v>
      </c>
      <c r="I521" s="494">
        <f t="shared" si="28"/>
        <v>0</v>
      </c>
    </row>
    <row r="522" spans="1:10" x14ac:dyDescent="0.15">
      <c r="A522" s="135"/>
      <c r="B522" s="451" t="s">
        <v>881</v>
      </c>
      <c r="C522" s="135" t="s">
        <v>338</v>
      </c>
      <c r="D522" s="144">
        <v>0</v>
      </c>
      <c r="E522" s="144">
        <v>0</v>
      </c>
      <c r="F522" s="144">
        <v>0</v>
      </c>
      <c r="G522" s="144">
        <v>0</v>
      </c>
      <c r="H522" s="147">
        <v>0</v>
      </c>
      <c r="I522" s="495">
        <f t="shared" si="28"/>
        <v>0</v>
      </c>
      <c r="J522" s="416"/>
    </row>
    <row r="523" spans="1:10" x14ac:dyDescent="0.15">
      <c r="A523" s="135"/>
      <c r="B523" s="451" t="s">
        <v>882</v>
      </c>
      <c r="C523" s="135" t="s">
        <v>1058</v>
      </c>
      <c r="D523" s="141">
        <v>0</v>
      </c>
      <c r="E523" s="141">
        <v>0</v>
      </c>
      <c r="F523" s="141">
        <v>0</v>
      </c>
      <c r="G523" s="285">
        <v>0</v>
      </c>
      <c r="H523" s="147">
        <v>0</v>
      </c>
      <c r="I523" s="495">
        <f t="shared" si="28"/>
        <v>0</v>
      </c>
    </row>
    <row r="524" spans="1:10" x14ac:dyDescent="0.15">
      <c r="A524" s="135"/>
      <c r="B524" s="451" t="s">
        <v>883</v>
      </c>
      <c r="C524" s="135" t="s">
        <v>1059</v>
      </c>
      <c r="D524" s="141">
        <v>0</v>
      </c>
      <c r="E524" s="141">
        <v>0</v>
      </c>
      <c r="F524" s="141">
        <v>0</v>
      </c>
      <c r="G524" s="285">
        <v>0</v>
      </c>
      <c r="H524" s="147">
        <v>0</v>
      </c>
      <c r="I524" s="495">
        <f t="shared" si="28"/>
        <v>0</v>
      </c>
    </row>
    <row r="525" spans="1:10" x14ac:dyDescent="0.15">
      <c r="A525" s="135"/>
      <c r="B525" s="451" t="s">
        <v>1060</v>
      </c>
      <c r="C525" s="135" t="s">
        <v>1061</v>
      </c>
      <c r="D525" s="141">
        <v>0</v>
      </c>
      <c r="E525" s="141">
        <v>0</v>
      </c>
      <c r="F525" s="141">
        <v>0</v>
      </c>
      <c r="G525" s="285">
        <v>0</v>
      </c>
      <c r="H525" s="147">
        <v>0</v>
      </c>
      <c r="I525" s="495">
        <f t="shared" si="28"/>
        <v>0</v>
      </c>
    </row>
    <row r="526" spans="1:10" x14ac:dyDescent="0.15">
      <c r="A526" s="135"/>
      <c r="B526" s="451" t="s">
        <v>1062</v>
      </c>
      <c r="C526" s="135" t="s">
        <v>1063</v>
      </c>
      <c r="D526" s="141">
        <v>0</v>
      </c>
      <c r="E526" s="141">
        <v>0</v>
      </c>
      <c r="F526" s="141">
        <v>0</v>
      </c>
      <c r="G526" s="285">
        <v>0</v>
      </c>
      <c r="H526" s="147">
        <v>0</v>
      </c>
      <c r="I526" s="495">
        <f t="shared" si="28"/>
        <v>0</v>
      </c>
    </row>
    <row r="527" spans="1:10" x14ac:dyDescent="0.15">
      <c r="A527" s="135"/>
      <c r="B527" s="451" t="s">
        <v>884</v>
      </c>
      <c r="C527" s="135" t="s">
        <v>1064</v>
      </c>
      <c r="D527" s="141">
        <v>0</v>
      </c>
      <c r="E527" s="141">
        <v>0</v>
      </c>
      <c r="F527" s="141">
        <v>0</v>
      </c>
      <c r="G527" s="285">
        <v>0</v>
      </c>
      <c r="H527" s="147">
        <v>0</v>
      </c>
      <c r="I527" s="495">
        <f t="shared" si="28"/>
        <v>0</v>
      </c>
    </row>
    <row r="528" spans="1:10" x14ac:dyDescent="0.15">
      <c r="A528" s="135"/>
      <c r="B528" s="451" t="s">
        <v>1067</v>
      </c>
      <c r="C528" s="135" t="s">
        <v>1074</v>
      </c>
      <c r="D528" s="141">
        <v>0</v>
      </c>
      <c r="E528" s="141">
        <v>0</v>
      </c>
      <c r="F528" s="141">
        <v>0</v>
      </c>
      <c r="G528" s="285">
        <v>0</v>
      </c>
      <c r="H528" s="147">
        <v>0</v>
      </c>
      <c r="I528" s="495">
        <f t="shared" si="28"/>
        <v>0</v>
      </c>
    </row>
    <row r="529" spans="1:9" x14ac:dyDescent="0.15">
      <c r="A529" s="135"/>
      <c r="B529" s="451" t="s">
        <v>1068</v>
      </c>
      <c r="C529" s="135" t="s">
        <v>1075</v>
      </c>
      <c r="D529" s="141">
        <v>0</v>
      </c>
      <c r="E529" s="141">
        <v>0</v>
      </c>
      <c r="F529" s="141">
        <v>0</v>
      </c>
      <c r="G529" s="285">
        <v>0</v>
      </c>
      <c r="H529" s="147">
        <v>0</v>
      </c>
      <c r="I529" s="495">
        <f t="shared" si="28"/>
        <v>0</v>
      </c>
    </row>
    <row r="530" spans="1:9" x14ac:dyDescent="0.15">
      <c r="A530" s="135"/>
      <c r="B530" s="451" t="s">
        <v>1072</v>
      </c>
      <c r="C530" s="135" t="s">
        <v>920</v>
      </c>
      <c r="D530" s="141">
        <v>0</v>
      </c>
      <c r="E530" s="141">
        <v>0</v>
      </c>
      <c r="F530" s="141">
        <v>0</v>
      </c>
      <c r="G530" s="285">
        <v>0</v>
      </c>
      <c r="H530" s="147">
        <v>0</v>
      </c>
      <c r="I530" s="495">
        <f t="shared" si="28"/>
        <v>0</v>
      </c>
    </row>
    <row r="531" spans="1:9" x14ac:dyDescent="0.15">
      <c r="A531" s="135"/>
      <c r="B531" s="716" t="s">
        <v>155</v>
      </c>
      <c r="C531" s="703" t="s">
        <v>178</v>
      </c>
      <c r="D531" s="141">
        <v>0</v>
      </c>
      <c r="E531" s="141">
        <v>0</v>
      </c>
      <c r="F531" s="141">
        <v>0</v>
      </c>
      <c r="G531" s="285">
        <v>0</v>
      </c>
      <c r="H531" s="147">
        <v>0</v>
      </c>
      <c r="I531" s="495">
        <f t="shared" ref="I531" si="29">SUM(G531+H531)</f>
        <v>0</v>
      </c>
    </row>
    <row r="532" spans="1:9" x14ac:dyDescent="0.15">
      <c r="A532" s="135"/>
      <c r="B532" s="451" t="s">
        <v>921</v>
      </c>
      <c r="C532" s="135" t="s">
        <v>955</v>
      </c>
      <c r="D532" s="141">
        <v>0</v>
      </c>
      <c r="E532" s="141">
        <v>0</v>
      </c>
      <c r="F532" s="141">
        <v>0</v>
      </c>
      <c r="G532" s="285">
        <v>0</v>
      </c>
      <c r="H532" s="147">
        <v>0</v>
      </c>
      <c r="I532" s="495">
        <f t="shared" si="28"/>
        <v>0</v>
      </c>
    </row>
    <row r="533" spans="1:9" x14ac:dyDescent="0.15">
      <c r="A533" s="135"/>
      <c r="B533" s="451" t="s">
        <v>922</v>
      </c>
      <c r="C533" s="135" t="s">
        <v>956</v>
      </c>
      <c r="D533" s="141">
        <v>0</v>
      </c>
      <c r="E533" s="141">
        <v>0</v>
      </c>
      <c r="F533" s="141">
        <v>0</v>
      </c>
      <c r="G533" s="285">
        <v>0</v>
      </c>
      <c r="H533" s="147">
        <v>0</v>
      </c>
      <c r="I533" s="495">
        <f t="shared" si="28"/>
        <v>0</v>
      </c>
    </row>
    <row r="534" spans="1:9" x14ac:dyDescent="0.15">
      <c r="A534" s="135"/>
      <c r="B534" s="451" t="s">
        <v>923</v>
      </c>
      <c r="C534" s="135" t="s">
        <v>957</v>
      </c>
      <c r="D534" s="141">
        <v>0</v>
      </c>
      <c r="E534" s="141">
        <v>0</v>
      </c>
      <c r="F534" s="141">
        <v>0</v>
      </c>
      <c r="G534" s="285">
        <v>0</v>
      </c>
      <c r="H534" s="147">
        <v>0</v>
      </c>
      <c r="I534" s="495">
        <f t="shared" si="28"/>
        <v>0</v>
      </c>
    </row>
    <row r="535" spans="1:9" x14ac:dyDescent="0.15">
      <c r="A535" s="135"/>
      <c r="B535" s="451" t="s">
        <v>924</v>
      </c>
      <c r="C535" s="135" t="s">
        <v>958</v>
      </c>
      <c r="D535" s="141">
        <v>0</v>
      </c>
      <c r="E535" s="141">
        <v>0</v>
      </c>
      <c r="F535" s="141">
        <v>0</v>
      </c>
      <c r="G535" s="285">
        <v>0</v>
      </c>
      <c r="H535" s="147">
        <v>0</v>
      </c>
      <c r="I535" s="495">
        <f t="shared" si="28"/>
        <v>0</v>
      </c>
    </row>
    <row r="536" spans="1:9" x14ac:dyDescent="0.15">
      <c r="A536" s="135"/>
      <c r="B536" s="451" t="s">
        <v>925</v>
      </c>
      <c r="C536" s="135" t="s">
        <v>1128</v>
      </c>
      <c r="D536" s="141">
        <v>0</v>
      </c>
      <c r="E536" s="141">
        <v>0</v>
      </c>
      <c r="F536" s="141">
        <v>0</v>
      </c>
      <c r="G536" s="285">
        <v>0</v>
      </c>
      <c r="H536" s="147">
        <v>0</v>
      </c>
      <c r="I536" s="495">
        <f t="shared" si="28"/>
        <v>0</v>
      </c>
    </row>
    <row r="537" spans="1:9" x14ac:dyDescent="0.15">
      <c r="A537" s="135"/>
      <c r="B537" s="451" t="s">
        <v>926</v>
      </c>
      <c r="C537" s="135" t="s">
        <v>1129</v>
      </c>
      <c r="D537" s="141">
        <v>0</v>
      </c>
      <c r="E537" s="141">
        <v>0</v>
      </c>
      <c r="F537" s="141">
        <v>0</v>
      </c>
      <c r="G537" s="285">
        <v>0</v>
      </c>
      <c r="H537" s="147">
        <v>0</v>
      </c>
      <c r="I537" s="495">
        <f t="shared" si="28"/>
        <v>0</v>
      </c>
    </row>
    <row r="538" spans="1:9" x14ac:dyDescent="0.15">
      <c r="A538" s="135"/>
      <c r="B538" s="451" t="s">
        <v>927</v>
      </c>
      <c r="C538" s="135" t="s">
        <v>959</v>
      </c>
      <c r="D538" s="141">
        <v>0</v>
      </c>
      <c r="E538" s="141">
        <v>0</v>
      </c>
      <c r="F538" s="141">
        <v>0</v>
      </c>
      <c r="G538" s="285">
        <v>0</v>
      </c>
      <c r="H538" s="147">
        <v>0</v>
      </c>
      <c r="I538" s="495">
        <f t="shared" si="28"/>
        <v>0</v>
      </c>
    </row>
    <row r="539" spans="1:9" x14ac:dyDescent="0.15">
      <c r="A539" s="135"/>
      <c r="B539" s="451" t="s">
        <v>928</v>
      </c>
      <c r="C539" s="135" t="s">
        <v>961</v>
      </c>
      <c r="D539" s="141">
        <v>0</v>
      </c>
      <c r="E539" s="141">
        <v>0</v>
      </c>
      <c r="F539" s="141">
        <v>0</v>
      </c>
      <c r="G539" s="285">
        <v>0</v>
      </c>
      <c r="H539" s="147">
        <v>0</v>
      </c>
      <c r="I539" s="495">
        <f t="shared" si="28"/>
        <v>0</v>
      </c>
    </row>
    <row r="540" spans="1:9" x14ac:dyDescent="0.15">
      <c r="A540" s="135"/>
      <c r="B540" s="451" t="s">
        <v>962</v>
      </c>
      <c r="C540" s="135" t="s">
        <v>967</v>
      </c>
      <c r="D540" s="141">
        <v>0</v>
      </c>
      <c r="E540" s="141">
        <v>0</v>
      </c>
      <c r="F540" s="141">
        <v>0</v>
      </c>
      <c r="G540" s="285">
        <v>0</v>
      </c>
      <c r="H540" s="147">
        <v>0</v>
      </c>
      <c r="I540" s="495">
        <f t="shared" si="28"/>
        <v>0</v>
      </c>
    </row>
    <row r="541" spans="1:9" x14ac:dyDescent="0.15">
      <c r="A541" s="135"/>
      <c r="B541" s="451" t="s">
        <v>963</v>
      </c>
      <c r="C541" s="135" t="s">
        <v>1093</v>
      </c>
      <c r="D541" s="141">
        <v>0</v>
      </c>
      <c r="E541" s="141">
        <v>0</v>
      </c>
      <c r="F541" s="141">
        <v>0</v>
      </c>
      <c r="G541" s="285">
        <v>0</v>
      </c>
      <c r="H541" s="147">
        <v>0</v>
      </c>
      <c r="I541" s="495">
        <f t="shared" si="28"/>
        <v>0</v>
      </c>
    </row>
    <row r="542" spans="1:9" x14ac:dyDescent="0.15">
      <c r="A542" s="135"/>
      <c r="B542" s="451" t="s">
        <v>964</v>
      </c>
      <c r="C542" s="135" t="s">
        <v>1094</v>
      </c>
      <c r="D542" s="141">
        <v>0</v>
      </c>
      <c r="E542" s="141">
        <v>0</v>
      </c>
      <c r="F542" s="141">
        <v>0</v>
      </c>
      <c r="G542" s="285">
        <v>0</v>
      </c>
      <c r="H542" s="147">
        <v>0</v>
      </c>
      <c r="I542" s="495">
        <f t="shared" si="28"/>
        <v>0</v>
      </c>
    </row>
    <row r="543" spans="1:9" x14ac:dyDescent="0.15">
      <c r="A543" s="135"/>
      <c r="B543" s="451" t="s">
        <v>965</v>
      </c>
      <c r="C543" s="135" t="s">
        <v>1095</v>
      </c>
      <c r="D543" s="141">
        <v>0</v>
      </c>
      <c r="E543" s="141">
        <v>0</v>
      </c>
      <c r="F543" s="141">
        <v>0</v>
      </c>
      <c r="G543" s="285">
        <v>0</v>
      </c>
      <c r="H543" s="147">
        <v>0</v>
      </c>
      <c r="I543" s="495">
        <f t="shared" si="28"/>
        <v>0</v>
      </c>
    </row>
    <row r="544" spans="1:9" x14ac:dyDescent="0.15">
      <c r="A544" s="135"/>
      <c r="B544" s="451" t="s">
        <v>885</v>
      </c>
      <c r="C544" s="135" t="s">
        <v>1096</v>
      </c>
      <c r="D544" s="141">
        <v>0</v>
      </c>
      <c r="E544" s="141">
        <v>0</v>
      </c>
      <c r="F544" s="141">
        <v>0</v>
      </c>
      <c r="G544" s="285">
        <v>0</v>
      </c>
      <c r="H544" s="147">
        <v>0</v>
      </c>
      <c r="I544" s="495">
        <f t="shared" si="28"/>
        <v>0</v>
      </c>
    </row>
    <row r="545" spans="1:10" x14ac:dyDescent="0.15">
      <c r="A545" s="135"/>
      <c r="B545" s="451" t="s">
        <v>966</v>
      </c>
      <c r="C545" s="135" t="s">
        <v>1097</v>
      </c>
      <c r="D545" s="141">
        <v>0</v>
      </c>
      <c r="E545" s="141">
        <v>0</v>
      </c>
      <c r="F545" s="141">
        <v>0</v>
      </c>
      <c r="G545" s="285">
        <v>0</v>
      </c>
      <c r="H545" s="147">
        <v>0</v>
      </c>
      <c r="I545" s="495">
        <f t="shared" si="28"/>
        <v>0</v>
      </c>
    </row>
    <row r="546" spans="1:10" x14ac:dyDescent="0.15">
      <c r="A546" s="135"/>
      <c r="B546" s="451" t="s">
        <v>886</v>
      </c>
      <c r="C546" s="135" t="s">
        <v>1100</v>
      </c>
      <c r="D546" s="141">
        <v>0</v>
      </c>
      <c r="E546" s="141">
        <v>0</v>
      </c>
      <c r="F546" s="141">
        <v>0</v>
      </c>
      <c r="G546" s="285">
        <v>0</v>
      </c>
      <c r="H546" s="147">
        <v>0</v>
      </c>
      <c r="I546" s="495">
        <f t="shared" si="28"/>
        <v>0</v>
      </c>
    </row>
    <row r="547" spans="1:10" x14ac:dyDescent="0.15">
      <c r="A547" s="135"/>
      <c r="B547" s="451" t="s">
        <v>116</v>
      </c>
      <c r="C547" s="135" t="s">
        <v>1105</v>
      </c>
      <c r="D547" s="141">
        <v>0</v>
      </c>
      <c r="E547" s="141">
        <v>0</v>
      </c>
      <c r="F547" s="141">
        <v>0</v>
      </c>
      <c r="G547" s="285">
        <v>0</v>
      </c>
      <c r="H547" s="147">
        <v>0</v>
      </c>
      <c r="I547" s="495">
        <f t="shared" si="28"/>
        <v>0</v>
      </c>
    </row>
    <row r="548" spans="1:10" x14ac:dyDescent="0.15">
      <c r="A548" s="135"/>
      <c r="B548" s="451" t="s">
        <v>112</v>
      </c>
      <c r="C548" s="135" t="s">
        <v>1110</v>
      </c>
      <c r="D548" s="141">
        <v>0</v>
      </c>
      <c r="E548" s="141">
        <v>0</v>
      </c>
      <c r="F548" s="141">
        <v>0</v>
      </c>
      <c r="G548" s="285">
        <v>0</v>
      </c>
      <c r="H548" s="147">
        <v>0</v>
      </c>
      <c r="I548" s="495">
        <f t="shared" si="28"/>
        <v>0</v>
      </c>
    </row>
    <row r="549" spans="1:10" x14ac:dyDescent="0.15">
      <c r="A549" s="135"/>
      <c r="B549" s="451" t="s">
        <v>887</v>
      </c>
      <c r="C549" s="135" t="s">
        <v>1116</v>
      </c>
      <c r="D549" s="141">
        <v>0</v>
      </c>
      <c r="E549" s="141">
        <v>0</v>
      </c>
      <c r="F549" s="141">
        <v>0</v>
      </c>
      <c r="G549" s="285">
        <v>0</v>
      </c>
      <c r="H549" s="147">
        <v>0</v>
      </c>
      <c r="I549" s="495">
        <f t="shared" si="28"/>
        <v>0</v>
      </c>
    </row>
    <row r="550" spans="1:10" x14ac:dyDescent="0.15">
      <c r="A550" s="135"/>
      <c r="B550" s="451" t="s">
        <v>1112</v>
      </c>
      <c r="C550" s="135" t="s">
        <v>1117</v>
      </c>
      <c r="D550" s="141">
        <v>0</v>
      </c>
      <c r="E550" s="141">
        <v>0</v>
      </c>
      <c r="F550" s="141">
        <v>0</v>
      </c>
      <c r="G550" s="285">
        <v>0</v>
      </c>
      <c r="H550" s="147">
        <v>0</v>
      </c>
      <c r="I550" s="495">
        <f t="shared" si="28"/>
        <v>0</v>
      </c>
    </row>
    <row r="551" spans="1:10" x14ac:dyDescent="0.15">
      <c r="A551" s="135"/>
      <c r="B551" s="451" t="s">
        <v>1113</v>
      </c>
      <c r="C551" s="135" t="s">
        <v>1118</v>
      </c>
      <c r="D551" s="141">
        <v>0</v>
      </c>
      <c r="E551" s="141">
        <v>0</v>
      </c>
      <c r="F551" s="141">
        <v>0</v>
      </c>
      <c r="G551" s="285">
        <v>0</v>
      </c>
      <c r="H551" s="147">
        <v>0</v>
      </c>
      <c r="I551" s="495">
        <f t="shared" si="28"/>
        <v>0</v>
      </c>
    </row>
    <row r="552" spans="1:10" ht="11.25" thickBot="1" x14ac:dyDescent="0.2">
      <c r="A552" s="135"/>
      <c r="B552" s="451" t="s">
        <v>1114</v>
      </c>
      <c r="C552" s="135" t="s">
        <v>1119</v>
      </c>
      <c r="D552" s="141">
        <v>0</v>
      </c>
      <c r="E552" s="141">
        <v>0</v>
      </c>
      <c r="F552" s="141">
        <v>0</v>
      </c>
      <c r="G552" s="285">
        <v>0</v>
      </c>
      <c r="H552" s="147">
        <v>0</v>
      </c>
      <c r="I552" s="495">
        <f t="shared" si="28"/>
        <v>0</v>
      </c>
    </row>
    <row r="553" spans="1:10" ht="12" thickTop="1" thickBot="1" x14ac:dyDescent="0.2">
      <c r="A553" s="135"/>
      <c r="B553" s="451"/>
      <c r="C553" s="135" t="s">
        <v>1078</v>
      </c>
      <c r="D553" s="530">
        <f>SUM(D519:D552)</f>
        <v>0</v>
      </c>
      <c r="E553" s="530">
        <f>SUM(E519:E552)</f>
        <v>0</v>
      </c>
      <c r="F553" s="530">
        <f>SUM(F519:F552)</f>
        <v>0</v>
      </c>
      <c r="G553" s="530">
        <f>SUM(G519:G552)</f>
        <v>0</v>
      </c>
      <c r="H553" s="530">
        <f>SUM(H519:H552)</f>
        <v>0</v>
      </c>
      <c r="I553" s="166">
        <f t="shared" si="28"/>
        <v>0</v>
      </c>
    </row>
    <row r="554" spans="1:10" ht="11.25" thickTop="1" x14ac:dyDescent="0.15">
      <c r="A554" s="135"/>
      <c r="B554" s="135"/>
      <c r="C554" s="135"/>
      <c r="D554" s="14"/>
      <c r="E554" s="14"/>
      <c r="F554" s="14"/>
      <c r="G554" s="14"/>
      <c r="H554" s="14"/>
      <c r="I554" s="491"/>
    </row>
    <row r="555" spans="1:10" x14ac:dyDescent="0.15">
      <c r="A555" s="452" t="s">
        <v>1079</v>
      </c>
      <c r="B555" s="135"/>
      <c r="C555" s="135"/>
      <c r="D555" s="14"/>
      <c r="E555" s="14"/>
      <c r="F555" s="14"/>
      <c r="G555" s="14"/>
      <c r="H555" s="14"/>
      <c r="I555" s="491"/>
    </row>
    <row r="556" spans="1:10" s="416" customFormat="1" hidden="1" x14ac:dyDescent="0.15">
      <c r="B556" s="453" t="s">
        <v>880</v>
      </c>
      <c r="C556" s="454" t="s">
        <v>1164</v>
      </c>
      <c r="D556" s="308">
        <v>0</v>
      </c>
      <c r="E556" s="308">
        <v>0</v>
      </c>
      <c r="F556" s="308">
        <v>0</v>
      </c>
      <c r="G556" s="458"/>
      <c r="H556" s="457">
        <v>0</v>
      </c>
      <c r="I556" s="494">
        <f t="shared" ref="I556:I590" si="30">SUM(G556+H556)</f>
        <v>0</v>
      </c>
    </row>
    <row r="557" spans="1:10" s="416" customFormat="1" x14ac:dyDescent="0.15">
      <c r="B557" s="453" t="s">
        <v>880</v>
      </c>
      <c r="C557" s="454" t="s">
        <v>337</v>
      </c>
      <c r="D557" s="308">
        <v>0</v>
      </c>
      <c r="E557" s="308">
        <v>0</v>
      </c>
      <c r="F557" s="308">
        <v>0</v>
      </c>
      <c r="G557" s="308">
        <v>0</v>
      </c>
      <c r="H557" s="457">
        <v>0</v>
      </c>
      <c r="I557" s="494">
        <f t="shared" si="30"/>
        <v>0</v>
      </c>
    </row>
    <row r="558" spans="1:10" s="416" customFormat="1" hidden="1" x14ac:dyDescent="0.15">
      <c r="A558" s="454"/>
      <c r="B558" s="453" t="s">
        <v>881</v>
      </c>
      <c r="C558" s="454" t="s">
        <v>382</v>
      </c>
      <c r="D558" s="308">
        <v>0</v>
      </c>
      <c r="E558" s="308">
        <v>0</v>
      </c>
      <c r="F558" s="308">
        <v>0</v>
      </c>
      <c r="G558" s="459"/>
      <c r="H558" s="457">
        <v>0</v>
      </c>
      <c r="I558" s="494">
        <f t="shared" si="30"/>
        <v>0</v>
      </c>
    </row>
    <row r="559" spans="1:10" x14ac:dyDescent="0.15">
      <c r="A559" s="135"/>
      <c r="B559" s="451" t="s">
        <v>881</v>
      </c>
      <c r="C559" s="135" t="s">
        <v>338</v>
      </c>
      <c r="D559" s="144">
        <v>0</v>
      </c>
      <c r="E559" s="144">
        <v>0</v>
      </c>
      <c r="F559" s="144">
        <v>0</v>
      </c>
      <c r="G559" s="144">
        <v>0</v>
      </c>
      <c r="H559" s="147">
        <v>0</v>
      </c>
      <c r="I559" s="495">
        <f t="shared" si="30"/>
        <v>0</v>
      </c>
      <c r="J559" s="416"/>
    </row>
    <row r="560" spans="1:10" x14ac:dyDescent="0.15">
      <c r="A560" s="135"/>
      <c r="B560" s="451" t="s">
        <v>882</v>
      </c>
      <c r="C560" s="135" t="s">
        <v>1058</v>
      </c>
      <c r="D560" s="141">
        <v>0</v>
      </c>
      <c r="E560" s="141">
        <v>0</v>
      </c>
      <c r="F560" s="141">
        <v>0</v>
      </c>
      <c r="G560" s="285">
        <v>0</v>
      </c>
      <c r="H560" s="147">
        <v>0</v>
      </c>
      <c r="I560" s="495">
        <f t="shared" si="30"/>
        <v>0</v>
      </c>
    </row>
    <row r="561" spans="1:9" x14ac:dyDescent="0.15">
      <c r="A561" s="135"/>
      <c r="B561" s="451" t="s">
        <v>883</v>
      </c>
      <c r="C561" s="135" t="s">
        <v>1059</v>
      </c>
      <c r="D561" s="141">
        <v>0</v>
      </c>
      <c r="E561" s="141">
        <v>0</v>
      </c>
      <c r="F561" s="141">
        <v>0</v>
      </c>
      <c r="G561" s="285">
        <v>0</v>
      </c>
      <c r="H561" s="147">
        <v>0</v>
      </c>
      <c r="I561" s="495">
        <f t="shared" si="30"/>
        <v>0</v>
      </c>
    </row>
    <row r="562" spans="1:9" x14ac:dyDescent="0.15">
      <c r="A562" s="135"/>
      <c r="B562" s="451" t="s">
        <v>1060</v>
      </c>
      <c r="C562" s="135" t="s">
        <v>1061</v>
      </c>
      <c r="D562" s="141">
        <v>0</v>
      </c>
      <c r="E562" s="141">
        <v>0</v>
      </c>
      <c r="F562" s="141">
        <v>0</v>
      </c>
      <c r="G562" s="285">
        <v>0</v>
      </c>
      <c r="H562" s="147">
        <v>0</v>
      </c>
      <c r="I562" s="495">
        <f t="shared" si="30"/>
        <v>0</v>
      </c>
    </row>
    <row r="563" spans="1:9" x14ac:dyDescent="0.15">
      <c r="A563" s="135"/>
      <c r="B563" s="451" t="s">
        <v>1062</v>
      </c>
      <c r="C563" s="135" t="s">
        <v>1063</v>
      </c>
      <c r="D563" s="141">
        <v>0</v>
      </c>
      <c r="E563" s="141">
        <v>0</v>
      </c>
      <c r="F563" s="141">
        <v>0</v>
      </c>
      <c r="G563" s="285">
        <v>0</v>
      </c>
      <c r="H563" s="147">
        <v>0</v>
      </c>
      <c r="I563" s="495">
        <f t="shared" si="30"/>
        <v>0</v>
      </c>
    </row>
    <row r="564" spans="1:9" x14ac:dyDescent="0.15">
      <c r="A564" s="135"/>
      <c r="B564" s="451" t="s">
        <v>884</v>
      </c>
      <c r="C564" s="135" t="s">
        <v>1064</v>
      </c>
      <c r="D564" s="141">
        <v>0</v>
      </c>
      <c r="E564" s="141">
        <v>0</v>
      </c>
      <c r="F564" s="141">
        <v>0</v>
      </c>
      <c r="G564" s="285">
        <v>0</v>
      </c>
      <c r="H564" s="147">
        <v>0</v>
      </c>
      <c r="I564" s="495">
        <f t="shared" si="30"/>
        <v>0</v>
      </c>
    </row>
    <row r="565" spans="1:9" x14ac:dyDescent="0.15">
      <c r="A565" s="135"/>
      <c r="B565" s="451" t="s">
        <v>1067</v>
      </c>
      <c r="C565" s="135" t="s">
        <v>1074</v>
      </c>
      <c r="D565" s="141">
        <v>0</v>
      </c>
      <c r="E565" s="141">
        <v>0</v>
      </c>
      <c r="F565" s="141">
        <v>0</v>
      </c>
      <c r="G565" s="285">
        <v>0</v>
      </c>
      <c r="H565" s="147">
        <v>0</v>
      </c>
      <c r="I565" s="495">
        <f t="shared" si="30"/>
        <v>0</v>
      </c>
    </row>
    <row r="566" spans="1:9" x14ac:dyDescent="0.15">
      <c r="A566" s="135"/>
      <c r="B566" s="451" t="s">
        <v>1068</v>
      </c>
      <c r="C566" s="135" t="s">
        <v>1075</v>
      </c>
      <c r="D566" s="141">
        <v>0</v>
      </c>
      <c r="E566" s="141">
        <v>0</v>
      </c>
      <c r="F566" s="141">
        <v>0</v>
      </c>
      <c r="G566" s="285">
        <v>0</v>
      </c>
      <c r="H566" s="147">
        <v>0</v>
      </c>
      <c r="I566" s="495">
        <f t="shared" si="30"/>
        <v>0</v>
      </c>
    </row>
    <row r="567" spans="1:9" x14ac:dyDescent="0.15">
      <c r="A567" s="135"/>
      <c r="B567" s="451" t="s">
        <v>1072</v>
      </c>
      <c r="C567" s="135" t="s">
        <v>920</v>
      </c>
      <c r="D567" s="141">
        <v>0</v>
      </c>
      <c r="E567" s="141">
        <v>0</v>
      </c>
      <c r="F567" s="141">
        <v>0</v>
      </c>
      <c r="G567" s="285">
        <v>0</v>
      </c>
      <c r="H567" s="147">
        <v>0</v>
      </c>
      <c r="I567" s="495">
        <f t="shared" si="30"/>
        <v>0</v>
      </c>
    </row>
    <row r="568" spans="1:9" x14ac:dyDescent="0.15">
      <c r="A568" s="135"/>
      <c r="B568" s="716" t="s">
        <v>155</v>
      </c>
      <c r="C568" s="703" t="s">
        <v>178</v>
      </c>
      <c r="D568" s="141">
        <v>0</v>
      </c>
      <c r="E568" s="141">
        <v>0</v>
      </c>
      <c r="F568" s="141">
        <v>0</v>
      </c>
      <c r="G568" s="285">
        <v>0</v>
      </c>
      <c r="H568" s="147">
        <v>0</v>
      </c>
      <c r="I568" s="495">
        <f t="shared" ref="I568" si="31">SUM(G568+H568)</f>
        <v>0</v>
      </c>
    </row>
    <row r="569" spans="1:9" x14ac:dyDescent="0.15">
      <c r="A569" s="135"/>
      <c r="B569" s="451" t="s">
        <v>921</v>
      </c>
      <c r="C569" s="135" t="s">
        <v>955</v>
      </c>
      <c r="D569" s="141">
        <v>0</v>
      </c>
      <c r="E569" s="141">
        <v>0</v>
      </c>
      <c r="F569" s="141">
        <v>0</v>
      </c>
      <c r="G569" s="285">
        <v>0</v>
      </c>
      <c r="H569" s="147">
        <v>0</v>
      </c>
      <c r="I569" s="495">
        <f t="shared" si="30"/>
        <v>0</v>
      </c>
    </row>
    <row r="570" spans="1:9" x14ac:dyDescent="0.15">
      <c r="A570" s="135"/>
      <c r="B570" s="451" t="s">
        <v>922</v>
      </c>
      <c r="C570" s="135" t="s">
        <v>956</v>
      </c>
      <c r="D570" s="141">
        <v>0</v>
      </c>
      <c r="E570" s="141">
        <v>0</v>
      </c>
      <c r="F570" s="141">
        <v>0</v>
      </c>
      <c r="G570" s="285">
        <v>0</v>
      </c>
      <c r="H570" s="147">
        <v>0</v>
      </c>
      <c r="I570" s="495">
        <f t="shared" si="30"/>
        <v>0</v>
      </c>
    </row>
    <row r="571" spans="1:9" x14ac:dyDescent="0.15">
      <c r="A571" s="135"/>
      <c r="B571" s="451" t="s">
        <v>923</v>
      </c>
      <c r="C571" s="135" t="s">
        <v>957</v>
      </c>
      <c r="D571" s="141">
        <v>0</v>
      </c>
      <c r="E571" s="141">
        <v>0</v>
      </c>
      <c r="F571" s="141">
        <v>0</v>
      </c>
      <c r="G571" s="285">
        <v>0</v>
      </c>
      <c r="H571" s="147">
        <v>0</v>
      </c>
      <c r="I571" s="495">
        <f t="shared" si="30"/>
        <v>0</v>
      </c>
    </row>
    <row r="572" spans="1:9" x14ac:dyDescent="0.15">
      <c r="A572" s="135"/>
      <c r="B572" s="451" t="s">
        <v>924</v>
      </c>
      <c r="C572" s="135" t="s">
        <v>958</v>
      </c>
      <c r="D572" s="141">
        <v>0</v>
      </c>
      <c r="E572" s="141">
        <v>0</v>
      </c>
      <c r="F572" s="141">
        <v>0</v>
      </c>
      <c r="G572" s="285">
        <v>0</v>
      </c>
      <c r="H572" s="147">
        <v>0</v>
      </c>
      <c r="I572" s="495">
        <f t="shared" si="30"/>
        <v>0</v>
      </c>
    </row>
    <row r="573" spans="1:9" x14ac:dyDescent="0.15">
      <c r="A573" s="135"/>
      <c r="B573" s="451" t="s">
        <v>925</v>
      </c>
      <c r="C573" s="135" t="s">
        <v>1128</v>
      </c>
      <c r="D573" s="141">
        <v>0</v>
      </c>
      <c r="E573" s="141">
        <v>0</v>
      </c>
      <c r="F573" s="141">
        <v>0</v>
      </c>
      <c r="G573" s="285">
        <v>0</v>
      </c>
      <c r="H573" s="147">
        <v>0</v>
      </c>
      <c r="I573" s="495">
        <f t="shared" si="30"/>
        <v>0</v>
      </c>
    </row>
    <row r="574" spans="1:9" x14ac:dyDescent="0.15">
      <c r="A574" s="135"/>
      <c r="B574" s="451" t="s">
        <v>926</v>
      </c>
      <c r="C574" s="135" t="s">
        <v>1129</v>
      </c>
      <c r="D574" s="141">
        <v>0</v>
      </c>
      <c r="E574" s="141">
        <v>0</v>
      </c>
      <c r="F574" s="141">
        <v>0</v>
      </c>
      <c r="G574" s="285">
        <v>0</v>
      </c>
      <c r="H574" s="147">
        <v>0</v>
      </c>
      <c r="I574" s="495">
        <f t="shared" si="30"/>
        <v>0</v>
      </c>
    </row>
    <row r="575" spans="1:9" x14ac:dyDescent="0.15">
      <c r="A575" s="135"/>
      <c r="B575" s="451" t="s">
        <v>927</v>
      </c>
      <c r="C575" s="135" t="s">
        <v>959</v>
      </c>
      <c r="D575" s="141">
        <v>0</v>
      </c>
      <c r="E575" s="141">
        <v>0</v>
      </c>
      <c r="F575" s="141">
        <v>0</v>
      </c>
      <c r="G575" s="285">
        <v>0</v>
      </c>
      <c r="H575" s="147">
        <v>0</v>
      </c>
      <c r="I575" s="495">
        <f t="shared" si="30"/>
        <v>0</v>
      </c>
    </row>
    <row r="576" spans="1:9" x14ac:dyDescent="0.15">
      <c r="A576" s="135"/>
      <c r="B576" s="451" t="s">
        <v>928</v>
      </c>
      <c r="C576" s="135" t="s">
        <v>961</v>
      </c>
      <c r="D576" s="141">
        <v>0</v>
      </c>
      <c r="E576" s="141">
        <v>0</v>
      </c>
      <c r="F576" s="141">
        <v>0</v>
      </c>
      <c r="G576" s="285">
        <v>0</v>
      </c>
      <c r="H576" s="147">
        <v>0</v>
      </c>
      <c r="I576" s="495">
        <f t="shared" si="30"/>
        <v>0</v>
      </c>
    </row>
    <row r="577" spans="1:9" x14ac:dyDescent="0.15">
      <c r="A577" s="135"/>
      <c r="B577" s="451" t="s">
        <v>962</v>
      </c>
      <c r="C577" s="135" t="s">
        <v>967</v>
      </c>
      <c r="D577" s="141">
        <v>0</v>
      </c>
      <c r="E577" s="141">
        <v>0</v>
      </c>
      <c r="F577" s="141">
        <v>0</v>
      </c>
      <c r="G577" s="285">
        <v>0</v>
      </c>
      <c r="H577" s="147">
        <v>0</v>
      </c>
      <c r="I577" s="495">
        <f t="shared" si="30"/>
        <v>0</v>
      </c>
    </row>
    <row r="578" spans="1:9" x14ac:dyDescent="0.15">
      <c r="A578" s="135"/>
      <c r="B578" s="451" t="s">
        <v>963</v>
      </c>
      <c r="C578" s="135" t="s">
        <v>1093</v>
      </c>
      <c r="D578" s="141">
        <v>0</v>
      </c>
      <c r="E578" s="141">
        <v>0</v>
      </c>
      <c r="F578" s="141">
        <v>0</v>
      </c>
      <c r="G578" s="285">
        <v>0</v>
      </c>
      <c r="H578" s="147">
        <v>0</v>
      </c>
      <c r="I578" s="495">
        <f t="shared" si="30"/>
        <v>0</v>
      </c>
    </row>
    <row r="579" spans="1:9" x14ac:dyDescent="0.15">
      <c r="A579" s="135"/>
      <c r="B579" s="451" t="s">
        <v>964</v>
      </c>
      <c r="C579" s="135" t="s">
        <v>1094</v>
      </c>
      <c r="D579" s="141">
        <v>0</v>
      </c>
      <c r="E579" s="141">
        <v>0</v>
      </c>
      <c r="F579" s="141">
        <v>0</v>
      </c>
      <c r="G579" s="285">
        <v>0</v>
      </c>
      <c r="H579" s="147">
        <v>0</v>
      </c>
      <c r="I579" s="495">
        <f t="shared" si="30"/>
        <v>0</v>
      </c>
    </row>
    <row r="580" spans="1:9" x14ac:dyDescent="0.15">
      <c r="A580" s="135"/>
      <c r="B580" s="451" t="s">
        <v>965</v>
      </c>
      <c r="C580" s="135" t="s">
        <v>1095</v>
      </c>
      <c r="D580" s="141">
        <v>0</v>
      </c>
      <c r="E580" s="141">
        <v>0</v>
      </c>
      <c r="F580" s="141">
        <v>0</v>
      </c>
      <c r="G580" s="285">
        <v>0</v>
      </c>
      <c r="H580" s="147">
        <v>0</v>
      </c>
      <c r="I580" s="495">
        <f t="shared" si="30"/>
        <v>0</v>
      </c>
    </row>
    <row r="581" spans="1:9" x14ac:dyDescent="0.15">
      <c r="A581" s="135"/>
      <c r="B581" s="451" t="s">
        <v>885</v>
      </c>
      <c r="C581" s="135" t="s">
        <v>1096</v>
      </c>
      <c r="D581" s="141">
        <v>0</v>
      </c>
      <c r="E581" s="141">
        <v>0</v>
      </c>
      <c r="F581" s="141">
        <v>0</v>
      </c>
      <c r="G581" s="285">
        <v>0</v>
      </c>
      <c r="H581" s="147">
        <v>0</v>
      </c>
      <c r="I581" s="495">
        <f t="shared" si="30"/>
        <v>0</v>
      </c>
    </row>
    <row r="582" spans="1:9" x14ac:dyDescent="0.15">
      <c r="A582" s="135"/>
      <c r="B582" s="451" t="s">
        <v>966</v>
      </c>
      <c r="C582" s="135" t="s">
        <v>1097</v>
      </c>
      <c r="D582" s="141">
        <v>0</v>
      </c>
      <c r="E582" s="141">
        <v>0</v>
      </c>
      <c r="F582" s="141">
        <v>0</v>
      </c>
      <c r="G582" s="285">
        <v>0</v>
      </c>
      <c r="H582" s="147">
        <v>0</v>
      </c>
      <c r="I582" s="495">
        <f t="shared" si="30"/>
        <v>0</v>
      </c>
    </row>
    <row r="583" spans="1:9" x14ac:dyDescent="0.15">
      <c r="A583" s="135"/>
      <c r="B583" s="451" t="s">
        <v>886</v>
      </c>
      <c r="C583" s="135" t="s">
        <v>1100</v>
      </c>
      <c r="D583" s="141">
        <v>0</v>
      </c>
      <c r="E583" s="141">
        <v>0</v>
      </c>
      <c r="F583" s="141">
        <v>0</v>
      </c>
      <c r="G583" s="285">
        <v>0</v>
      </c>
      <c r="H583" s="147">
        <v>0</v>
      </c>
      <c r="I583" s="495">
        <f t="shared" si="30"/>
        <v>0</v>
      </c>
    </row>
    <row r="584" spans="1:9" x14ac:dyDescent="0.15">
      <c r="A584" s="135"/>
      <c r="B584" s="451" t="s">
        <v>116</v>
      </c>
      <c r="C584" s="135" t="s">
        <v>1105</v>
      </c>
      <c r="D584" s="141">
        <v>0</v>
      </c>
      <c r="E584" s="141">
        <v>0</v>
      </c>
      <c r="F584" s="141">
        <v>0</v>
      </c>
      <c r="G584" s="285">
        <v>0</v>
      </c>
      <c r="H584" s="147">
        <v>0</v>
      </c>
      <c r="I584" s="495">
        <f t="shared" si="30"/>
        <v>0</v>
      </c>
    </row>
    <row r="585" spans="1:9" x14ac:dyDescent="0.15">
      <c r="A585" s="135"/>
      <c r="B585" s="451" t="s">
        <v>112</v>
      </c>
      <c r="C585" s="135" t="s">
        <v>1110</v>
      </c>
      <c r="D585" s="141">
        <v>0</v>
      </c>
      <c r="E585" s="141">
        <v>0</v>
      </c>
      <c r="F585" s="141">
        <v>0</v>
      </c>
      <c r="G585" s="285">
        <v>0</v>
      </c>
      <c r="H585" s="147">
        <v>0</v>
      </c>
      <c r="I585" s="495">
        <f t="shared" si="30"/>
        <v>0</v>
      </c>
    </row>
    <row r="586" spans="1:9" x14ac:dyDescent="0.15">
      <c r="A586" s="135"/>
      <c r="B586" s="451" t="s">
        <v>887</v>
      </c>
      <c r="C586" s="135" t="s">
        <v>1116</v>
      </c>
      <c r="D586" s="141">
        <v>0</v>
      </c>
      <c r="E586" s="141">
        <v>0</v>
      </c>
      <c r="F586" s="141">
        <v>0</v>
      </c>
      <c r="G586" s="285">
        <v>0</v>
      </c>
      <c r="H586" s="147">
        <v>0</v>
      </c>
      <c r="I586" s="495">
        <f t="shared" si="30"/>
        <v>0</v>
      </c>
    </row>
    <row r="587" spans="1:9" x14ac:dyDescent="0.15">
      <c r="A587" s="135"/>
      <c r="B587" s="451" t="s">
        <v>1112</v>
      </c>
      <c r="C587" s="135" t="s">
        <v>1117</v>
      </c>
      <c r="D587" s="141">
        <v>0</v>
      </c>
      <c r="E587" s="141">
        <v>0</v>
      </c>
      <c r="F587" s="141">
        <v>0</v>
      </c>
      <c r="G587" s="285">
        <v>0</v>
      </c>
      <c r="H587" s="147">
        <v>0</v>
      </c>
      <c r="I587" s="495">
        <f t="shared" si="30"/>
        <v>0</v>
      </c>
    </row>
    <row r="588" spans="1:9" x14ac:dyDescent="0.15">
      <c r="A588" s="135"/>
      <c r="B588" s="451" t="s">
        <v>1113</v>
      </c>
      <c r="C588" s="135" t="s">
        <v>1118</v>
      </c>
      <c r="D588" s="141">
        <v>0</v>
      </c>
      <c r="E588" s="141">
        <v>0</v>
      </c>
      <c r="F588" s="141">
        <v>0</v>
      </c>
      <c r="G588" s="285">
        <v>0</v>
      </c>
      <c r="H588" s="147">
        <v>0</v>
      </c>
      <c r="I588" s="495">
        <f t="shared" si="30"/>
        <v>0</v>
      </c>
    </row>
    <row r="589" spans="1:9" ht="11.25" thickBot="1" x14ac:dyDescent="0.2">
      <c r="A589" s="135"/>
      <c r="B589" s="451" t="s">
        <v>1114</v>
      </c>
      <c r="C589" s="135" t="s">
        <v>1119</v>
      </c>
      <c r="D589" s="141">
        <v>0</v>
      </c>
      <c r="E589" s="141">
        <v>0</v>
      </c>
      <c r="F589" s="141">
        <v>0</v>
      </c>
      <c r="G589" s="285">
        <v>0</v>
      </c>
      <c r="H589" s="147">
        <v>0</v>
      </c>
      <c r="I589" s="495">
        <f t="shared" si="30"/>
        <v>0</v>
      </c>
    </row>
    <row r="590" spans="1:9" ht="12" thickTop="1" thickBot="1" x14ac:dyDescent="0.2">
      <c r="A590" s="135"/>
      <c r="B590" s="451"/>
      <c r="C590" s="135" t="s">
        <v>1080</v>
      </c>
      <c r="D590" s="166">
        <f>SUM(D556:D589)</f>
        <v>0</v>
      </c>
      <c r="E590" s="166">
        <f>SUM(E556:E589)</f>
        <v>0</v>
      </c>
      <c r="F590" s="166">
        <f>SUM(F556:F589)</f>
        <v>0</v>
      </c>
      <c r="G590" s="166">
        <f>SUM(G556:G589)</f>
        <v>0</v>
      </c>
      <c r="H590" s="166">
        <f>SUM(H556:H589)</f>
        <v>0</v>
      </c>
      <c r="I590" s="166">
        <f t="shared" si="30"/>
        <v>0</v>
      </c>
    </row>
    <row r="591" spans="1:9" ht="11.25" thickTop="1" x14ac:dyDescent="0.15">
      <c r="A591" s="135"/>
      <c r="B591" s="135"/>
      <c r="C591" s="135"/>
      <c r="D591" s="14"/>
      <c r="E591" s="14"/>
      <c r="F591" s="14"/>
      <c r="G591" s="14"/>
      <c r="H591" s="14"/>
      <c r="I591" s="491"/>
    </row>
    <row r="592" spans="1:9" x14ac:dyDescent="0.15">
      <c r="A592" s="452" t="s">
        <v>1081</v>
      </c>
      <c r="B592" s="135"/>
      <c r="C592" s="135"/>
      <c r="D592" s="14"/>
      <c r="E592" s="14"/>
      <c r="F592" s="14"/>
      <c r="G592" s="14"/>
      <c r="H592" s="14"/>
      <c r="I592" s="491"/>
    </row>
    <row r="593" spans="1:9" s="416" customFormat="1" hidden="1" x14ac:dyDescent="0.15">
      <c r="B593" s="453" t="s">
        <v>880</v>
      </c>
      <c r="C593" s="454" t="s">
        <v>1164</v>
      </c>
      <c r="D593" s="308">
        <v>0</v>
      </c>
      <c r="E593" s="308">
        <v>0</v>
      </c>
      <c r="F593" s="308">
        <v>0</v>
      </c>
      <c r="G593" s="458"/>
      <c r="H593" s="457">
        <v>0</v>
      </c>
      <c r="I593" s="494">
        <f t="shared" ref="I593:I627" si="32">SUM(G593+H593)</f>
        <v>0</v>
      </c>
    </row>
    <row r="594" spans="1:9" s="416" customFormat="1" x14ac:dyDescent="0.15">
      <c r="B594" s="453" t="s">
        <v>880</v>
      </c>
      <c r="C594" s="454" t="s">
        <v>337</v>
      </c>
      <c r="D594" s="308">
        <v>0</v>
      </c>
      <c r="E594" s="308">
        <v>0</v>
      </c>
      <c r="F594" s="308">
        <v>0</v>
      </c>
      <c r="G594" s="308">
        <v>0</v>
      </c>
      <c r="H594" s="457">
        <v>0</v>
      </c>
      <c r="I594" s="494">
        <f t="shared" si="32"/>
        <v>0</v>
      </c>
    </row>
    <row r="595" spans="1:9" s="416" customFormat="1" hidden="1" x14ac:dyDescent="0.15">
      <c r="A595" s="454"/>
      <c r="B595" s="453" t="s">
        <v>881</v>
      </c>
      <c r="C595" s="454" t="s">
        <v>382</v>
      </c>
      <c r="D595" s="308">
        <v>0</v>
      </c>
      <c r="E595" s="308">
        <v>0</v>
      </c>
      <c r="F595" s="308">
        <v>0</v>
      </c>
      <c r="G595" s="459"/>
      <c r="H595" s="457">
        <v>0</v>
      </c>
      <c r="I595" s="494">
        <f t="shared" si="32"/>
        <v>0</v>
      </c>
    </row>
    <row r="596" spans="1:9" s="416" customFormat="1" x14ac:dyDescent="0.15">
      <c r="A596" s="454"/>
      <c r="B596" s="453" t="s">
        <v>881</v>
      </c>
      <c r="C596" s="454" t="s">
        <v>338</v>
      </c>
      <c r="D596" s="308">
        <v>0</v>
      </c>
      <c r="E596" s="308">
        <v>0</v>
      </c>
      <c r="F596" s="308">
        <v>0</v>
      </c>
      <c r="G596" s="308">
        <v>0</v>
      </c>
      <c r="H596" s="457">
        <v>0</v>
      </c>
      <c r="I596" s="494">
        <f t="shared" si="32"/>
        <v>0</v>
      </c>
    </row>
    <row r="597" spans="1:9" x14ac:dyDescent="0.15">
      <c r="A597" s="135"/>
      <c r="B597" s="451" t="s">
        <v>882</v>
      </c>
      <c r="C597" s="135" t="s">
        <v>1058</v>
      </c>
      <c r="D597" s="141">
        <v>0</v>
      </c>
      <c r="E597" s="141">
        <v>0</v>
      </c>
      <c r="F597" s="141">
        <v>0</v>
      </c>
      <c r="G597" s="285">
        <v>0</v>
      </c>
      <c r="H597" s="147">
        <v>0</v>
      </c>
      <c r="I597" s="495">
        <f t="shared" si="32"/>
        <v>0</v>
      </c>
    </row>
    <row r="598" spans="1:9" x14ac:dyDescent="0.15">
      <c r="A598" s="135"/>
      <c r="B598" s="451" t="s">
        <v>883</v>
      </c>
      <c r="C598" s="135" t="s">
        <v>1059</v>
      </c>
      <c r="D598" s="141">
        <v>0</v>
      </c>
      <c r="E598" s="141">
        <v>0</v>
      </c>
      <c r="F598" s="141">
        <v>0</v>
      </c>
      <c r="G598" s="285">
        <v>0</v>
      </c>
      <c r="H598" s="147">
        <v>0</v>
      </c>
      <c r="I598" s="495">
        <f t="shared" si="32"/>
        <v>0</v>
      </c>
    </row>
    <row r="599" spans="1:9" x14ac:dyDescent="0.15">
      <c r="A599" s="135"/>
      <c r="B599" s="451" t="s">
        <v>1060</v>
      </c>
      <c r="C599" s="135" t="s">
        <v>1061</v>
      </c>
      <c r="D599" s="141">
        <v>0</v>
      </c>
      <c r="E599" s="141">
        <v>0</v>
      </c>
      <c r="F599" s="141">
        <v>0</v>
      </c>
      <c r="G599" s="285">
        <v>0</v>
      </c>
      <c r="H599" s="147">
        <v>0</v>
      </c>
      <c r="I599" s="495">
        <f t="shared" si="32"/>
        <v>0</v>
      </c>
    </row>
    <row r="600" spans="1:9" x14ac:dyDescent="0.15">
      <c r="A600" s="135"/>
      <c r="B600" s="451" t="s">
        <v>1062</v>
      </c>
      <c r="C600" s="135" t="s">
        <v>1063</v>
      </c>
      <c r="D600" s="141">
        <v>0</v>
      </c>
      <c r="E600" s="141">
        <v>0</v>
      </c>
      <c r="F600" s="141">
        <v>0</v>
      </c>
      <c r="G600" s="285">
        <v>0</v>
      </c>
      <c r="H600" s="147">
        <v>0</v>
      </c>
      <c r="I600" s="495">
        <f t="shared" si="32"/>
        <v>0</v>
      </c>
    </row>
    <row r="601" spans="1:9" x14ac:dyDescent="0.15">
      <c r="A601" s="135"/>
      <c r="B601" s="451" t="s">
        <v>884</v>
      </c>
      <c r="C601" s="135" t="s">
        <v>1064</v>
      </c>
      <c r="D601" s="141">
        <v>0</v>
      </c>
      <c r="E601" s="141">
        <v>0</v>
      </c>
      <c r="F601" s="141">
        <v>0</v>
      </c>
      <c r="G601" s="285">
        <v>0</v>
      </c>
      <c r="H601" s="147">
        <v>0</v>
      </c>
      <c r="I601" s="495">
        <f t="shared" si="32"/>
        <v>0</v>
      </c>
    </row>
    <row r="602" spans="1:9" x14ac:dyDescent="0.15">
      <c r="A602" s="135"/>
      <c r="B602" s="451" t="s">
        <v>1067</v>
      </c>
      <c r="C602" s="135" t="s">
        <v>1074</v>
      </c>
      <c r="D602" s="141">
        <v>0</v>
      </c>
      <c r="E602" s="141">
        <v>0</v>
      </c>
      <c r="F602" s="141">
        <v>0</v>
      </c>
      <c r="G602" s="285">
        <v>0</v>
      </c>
      <c r="H602" s="147">
        <v>0</v>
      </c>
      <c r="I602" s="495">
        <f t="shared" si="32"/>
        <v>0</v>
      </c>
    </row>
    <row r="603" spans="1:9" x14ac:dyDescent="0.15">
      <c r="A603" s="135"/>
      <c r="B603" s="451" t="s">
        <v>1068</v>
      </c>
      <c r="C603" s="135" t="s">
        <v>1075</v>
      </c>
      <c r="D603" s="141">
        <v>0</v>
      </c>
      <c r="E603" s="141">
        <v>0</v>
      </c>
      <c r="F603" s="141">
        <v>0</v>
      </c>
      <c r="G603" s="285">
        <v>0</v>
      </c>
      <c r="H603" s="147">
        <v>0</v>
      </c>
      <c r="I603" s="495">
        <f t="shared" si="32"/>
        <v>0</v>
      </c>
    </row>
    <row r="604" spans="1:9" x14ac:dyDescent="0.15">
      <c r="A604" s="135"/>
      <c r="B604" s="451" t="s">
        <v>1072</v>
      </c>
      <c r="C604" s="135" t="s">
        <v>920</v>
      </c>
      <c r="D604" s="141">
        <v>0</v>
      </c>
      <c r="E604" s="141">
        <v>0</v>
      </c>
      <c r="F604" s="141">
        <v>0</v>
      </c>
      <c r="G604" s="285">
        <v>0</v>
      </c>
      <c r="H604" s="147">
        <v>0</v>
      </c>
      <c r="I604" s="495">
        <f t="shared" si="32"/>
        <v>0</v>
      </c>
    </row>
    <row r="605" spans="1:9" x14ac:dyDescent="0.15">
      <c r="A605" s="135"/>
      <c r="B605" s="716" t="s">
        <v>155</v>
      </c>
      <c r="C605" s="703" t="s">
        <v>178</v>
      </c>
      <c r="D605" s="141">
        <v>0</v>
      </c>
      <c r="E605" s="141">
        <v>0</v>
      </c>
      <c r="F605" s="141">
        <v>0</v>
      </c>
      <c r="G605" s="285">
        <v>0</v>
      </c>
      <c r="H605" s="147">
        <v>0</v>
      </c>
      <c r="I605" s="495">
        <f t="shared" ref="I605" si="33">SUM(G605+H605)</f>
        <v>0</v>
      </c>
    </row>
    <row r="606" spans="1:9" x14ac:dyDescent="0.15">
      <c r="A606" s="135"/>
      <c r="B606" s="451" t="s">
        <v>921</v>
      </c>
      <c r="C606" s="135" t="s">
        <v>955</v>
      </c>
      <c r="D606" s="141">
        <v>0</v>
      </c>
      <c r="E606" s="141">
        <v>0</v>
      </c>
      <c r="F606" s="141">
        <v>0</v>
      </c>
      <c r="G606" s="285">
        <v>0</v>
      </c>
      <c r="H606" s="147">
        <v>0</v>
      </c>
      <c r="I606" s="495">
        <f t="shared" si="32"/>
        <v>0</v>
      </c>
    </row>
    <row r="607" spans="1:9" x14ac:dyDescent="0.15">
      <c r="A607" s="135"/>
      <c r="B607" s="451" t="s">
        <v>922</v>
      </c>
      <c r="C607" s="135" t="s">
        <v>956</v>
      </c>
      <c r="D607" s="141">
        <v>0</v>
      </c>
      <c r="E607" s="141">
        <v>0</v>
      </c>
      <c r="F607" s="141">
        <v>0</v>
      </c>
      <c r="G607" s="285">
        <v>0</v>
      </c>
      <c r="H607" s="147">
        <v>0</v>
      </c>
      <c r="I607" s="495">
        <f t="shared" si="32"/>
        <v>0</v>
      </c>
    </row>
    <row r="608" spans="1:9" x14ac:dyDescent="0.15">
      <c r="A608" s="135"/>
      <c r="B608" s="451" t="s">
        <v>923</v>
      </c>
      <c r="C608" s="135" t="s">
        <v>957</v>
      </c>
      <c r="D608" s="141">
        <v>0</v>
      </c>
      <c r="E608" s="141">
        <v>0</v>
      </c>
      <c r="F608" s="141">
        <v>0</v>
      </c>
      <c r="G608" s="285">
        <v>0</v>
      </c>
      <c r="H608" s="147">
        <v>0</v>
      </c>
      <c r="I608" s="495">
        <f t="shared" si="32"/>
        <v>0</v>
      </c>
    </row>
    <row r="609" spans="1:9" x14ac:dyDescent="0.15">
      <c r="A609" s="135"/>
      <c r="B609" s="451" t="s">
        <v>924</v>
      </c>
      <c r="C609" s="135" t="s">
        <v>958</v>
      </c>
      <c r="D609" s="141">
        <v>0</v>
      </c>
      <c r="E609" s="141">
        <v>0</v>
      </c>
      <c r="F609" s="141">
        <v>0</v>
      </c>
      <c r="G609" s="285">
        <v>0</v>
      </c>
      <c r="H609" s="147">
        <v>0</v>
      </c>
      <c r="I609" s="495">
        <f t="shared" si="32"/>
        <v>0</v>
      </c>
    </row>
    <row r="610" spans="1:9" x14ac:dyDescent="0.15">
      <c r="A610" s="135"/>
      <c r="B610" s="451" t="s">
        <v>925</v>
      </c>
      <c r="C610" s="135" t="s">
        <v>1128</v>
      </c>
      <c r="D610" s="141">
        <v>0</v>
      </c>
      <c r="E610" s="141">
        <v>0</v>
      </c>
      <c r="F610" s="141">
        <v>0</v>
      </c>
      <c r="G610" s="285">
        <v>0</v>
      </c>
      <c r="H610" s="147">
        <v>0</v>
      </c>
      <c r="I610" s="495">
        <f t="shared" si="32"/>
        <v>0</v>
      </c>
    </row>
    <row r="611" spans="1:9" x14ac:dyDescent="0.15">
      <c r="A611" s="135"/>
      <c r="B611" s="451" t="s">
        <v>926</v>
      </c>
      <c r="C611" s="135" t="s">
        <v>1129</v>
      </c>
      <c r="D611" s="141">
        <v>0</v>
      </c>
      <c r="E611" s="141">
        <v>0</v>
      </c>
      <c r="F611" s="141">
        <v>0</v>
      </c>
      <c r="G611" s="285">
        <v>0</v>
      </c>
      <c r="H611" s="147">
        <v>0</v>
      </c>
      <c r="I611" s="495">
        <f t="shared" si="32"/>
        <v>0</v>
      </c>
    </row>
    <row r="612" spans="1:9" x14ac:dyDescent="0.15">
      <c r="A612" s="135"/>
      <c r="B612" s="451" t="s">
        <v>927</v>
      </c>
      <c r="C612" s="135" t="s">
        <v>959</v>
      </c>
      <c r="D612" s="141">
        <v>0</v>
      </c>
      <c r="E612" s="141">
        <v>0</v>
      </c>
      <c r="F612" s="141">
        <v>0</v>
      </c>
      <c r="G612" s="285">
        <v>0</v>
      </c>
      <c r="H612" s="147">
        <v>0</v>
      </c>
      <c r="I612" s="495">
        <f t="shared" si="32"/>
        <v>0</v>
      </c>
    </row>
    <row r="613" spans="1:9" x14ac:dyDescent="0.15">
      <c r="A613" s="135"/>
      <c r="B613" s="451" t="s">
        <v>928</v>
      </c>
      <c r="C613" s="135" t="s">
        <v>961</v>
      </c>
      <c r="D613" s="141">
        <v>0</v>
      </c>
      <c r="E613" s="141">
        <v>0</v>
      </c>
      <c r="F613" s="141">
        <v>0</v>
      </c>
      <c r="G613" s="285">
        <v>0</v>
      </c>
      <c r="H613" s="147">
        <v>0</v>
      </c>
      <c r="I613" s="495">
        <f t="shared" si="32"/>
        <v>0</v>
      </c>
    </row>
    <row r="614" spans="1:9" x14ac:dyDescent="0.15">
      <c r="A614" s="135"/>
      <c r="B614" s="451" t="s">
        <v>962</v>
      </c>
      <c r="C614" s="135" t="s">
        <v>967</v>
      </c>
      <c r="D614" s="141">
        <v>0</v>
      </c>
      <c r="E614" s="141">
        <v>0</v>
      </c>
      <c r="F614" s="141">
        <v>0</v>
      </c>
      <c r="G614" s="285">
        <v>0</v>
      </c>
      <c r="H614" s="147">
        <v>0</v>
      </c>
      <c r="I614" s="495">
        <f t="shared" si="32"/>
        <v>0</v>
      </c>
    </row>
    <row r="615" spans="1:9" x14ac:dyDescent="0.15">
      <c r="A615" s="135"/>
      <c r="B615" s="451" t="s">
        <v>963</v>
      </c>
      <c r="C615" s="135" t="s">
        <v>1093</v>
      </c>
      <c r="D615" s="141">
        <v>0</v>
      </c>
      <c r="E615" s="141">
        <v>0</v>
      </c>
      <c r="F615" s="141">
        <v>0</v>
      </c>
      <c r="G615" s="285">
        <v>0</v>
      </c>
      <c r="H615" s="147">
        <v>0</v>
      </c>
      <c r="I615" s="495">
        <f t="shared" si="32"/>
        <v>0</v>
      </c>
    </row>
    <row r="616" spans="1:9" x14ac:dyDescent="0.15">
      <c r="A616" s="135"/>
      <c r="B616" s="451" t="s">
        <v>964</v>
      </c>
      <c r="C616" s="135" t="s">
        <v>1094</v>
      </c>
      <c r="D616" s="141">
        <v>0</v>
      </c>
      <c r="E616" s="141">
        <v>0</v>
      </c>
      <c r="F616" s="141">
        <v>0</v>
      </c>
      <c r="G616" s="285">
        <v>0</v>
      </c>
      <c r="H616" s="147">
        <v>0</v>
      </c>
      <c r="I616" s="495">
        <f t="shared" si="32"/>
        <v>0</v>
      </c>
    </row>
    <row r="617" spans="1:9" x14ac:dyDescent="0.15">
      <c r="A617" s="135"/>
      <c r="B617" s="451" t="s">
        <v>965</v>
      </c>
      <c r="C617" s="135" t="s">
        <v>1095</v>
      </c>
      <c r="D617" s="141">
        <v>0</v>
      </c>
      <c r="E617" s="141">
        <v>0</v>
      </c>
      <c r="F617" s="141">
        <v>0</v>
      </c>
      <c r="G617" s="285">
        <v>0</v>
      </c>
      <c r="H617" s="147">
        <v>0</v>
      </c>
      <c r="I617" s="495">
        <f t="shared" si="32"/>
        <v>0</v>
      </c>
    </row>
    <row r="618" spans="1:9" x14ac:dyDescent="0.15">
      <c r="A618" s="135"/>
      <c r="B618" s="451" t="s">
        <v>885</v>
      </c>
      <c r="C618" s="135" t="s">
        <v>1096</v>
      </c>
      <c r="D618" s="141">
        <v>0</v>
      </c>
      <c r="E618" s="141">
        <v>0</v>
      </c>
      <c r="F618" s="141">
        <v>0</v>
      </c>
      <c r="G618" s="285">
        <v>0</v>
      </c>
      <c r="H618" s="147">
        <v>0</v>
      </c>
      <c r="I618" s="495">
        <f t="shared" si="32"/>
        <v>0</v>
      </c>
    </row>
    <row r="619" spans="1:9" x14ac:dyDescent="0.15">
      <c r="A619" s="135"/>
      <c r="B619" s="451" t="s">
        <v>966</v>
      </c>
      <c r="C619" s="135" t="s">
        <v>1097</v>
      </c>
      <c r="D619" s="141">
        <v>0</v>
      </c>
      <c r="E619" s="141">
        <v>0</v>
      </c>
      <c r="F619" s="141">
        <v>0</v>
      </c>
      <c r="G619" s="285">
        <v>0</v>
      </c>
      <c r="H619" s="147">
        <v>0</v>
      </c>
      <c r="I619" s="495">
        <f t="shared" si="32"/>
        <v>0</v>
      </c>
    </row>
    <row r="620" spans="1:9" x14ac:dyDescent="0.15">
      <c r="A620" s="135"/>
      <c r="B620" s="451" t="s">
        <v>886</v>
      </c>
      <c r="C620" s="135" t="s">
        <v>1100</v>
      </c>
      <c r="D620" s="141">
        <v>0</v>
      </c>
      <c r="E620" s="141">
        <v>0</v>
      </c>
      <c r="F620" s="141">
        <v>0</v>
      </c>
      <c r="G620" s="285">
        <v>0</v>
      </c>
      <c r="H620" s="147">
        <v>0</v>
      </c>
      <c r="I620" s="495">
        <f t="shared" si="32"/>
        <v>0</v>
      </c>
    </row>
    <row r="621" spans="1:9" x14ac:dyDescent="0.15">
      <c r="A621" s="135"/>
      <c r="B621" s="451" t="s">
        <v>116</v>
      </c>
      <c r="C621" s="135" t="s">
        <v>1105</v>
      </c>
      <c r="D621" s="141">
        <v>0</v>
      </c>
      <c r="E621" s="141">
        <v>0</v>
      </c>
      <c r="F621" s="141">
        <v>0</v>
      </c>
      <c r="G621" s="285">
        <v>0</v>
      </c>
      <c r="H621" s="147">
        <v>0</v>
      </c>
      <c r="I621" s="495">
        <f t="shared" si="32"/>
        <v>0</v>
      </c>
    </row>
    <row r="622" spans="1:9" x14ac:dyDescent="0.15">
      <c r="A622" s="135"/>
      <c r="B622" s="451" t="s">
        <v>112</v>
      </c>
      <c r="C622" s="135" t="s">
        <v>1110</v>
      </c>
      <c r="D622" s="141">
        <v>0</v>
      </c>
      <c r="E622" s="141">
        <v>0</v>
      </c>
      <c r="F622" s="141">
        <v>0</v>
      </c>
      <c r="G622" s="285">
        <v>0</v>
      </c>
      <c r="H622" s="147">
        <v>0</v>
      </c>
      <c r="I622" s="495">
        <f t="shared" si="32"/>
        <v>0</v>
      </c>
    </row>
    <row r="623" spans="1:9" x14ac:dyDescent="0.15">
      <c r="A623" s="135"/>
      <c r="B623" s="451" t="s">
        <v>887</v>
      </c>
      <c r="C623" s="135" t="s">
        <v>1116</v>
      </c>
      <c r="D623" s="141">
        <v>0</v>
      </c>
      <c r="E623" s="141">
        <v>0</v>
      </c>
      <c r="F623" s="141">
        <v>0</v>
      </c>
      <c r="G623" s="285">
        <v>0</v>
      </c>
      <c r="H623" s="147">
        <v>0</v>
      </c>
      <c r="I623" s="495">
        <f t="shared" si="32"/>
        <v>0</v>
      </c>
    </row>
    <row r="624" spans="1:9" x14ac:dyDescent="0.15">
      <c r="A624" s="135"/>
      <c r="B624" s="451" t="s">
        <v>1112</v>
      </c>
      <c r="C624" s="135" t="s">
        <v>1117</v>
      </c>
      <c r="D624" s="141">
        <v>0</v>
      </c>
      <c r="E624" s="141">
        <v>0</v>
      </c>
      <c r="F624" s="141">
        <v>0</v>
      </c>
      <c r="G624" s="285">
        <v>0</v>
      </c>
      <c r="H624" s="147">
        <v>0</v>
      </c>
      <c r="I624" s="495">
        <f t="shared" si="32"/>
        <v>0</v>
      </c>
    </row>
    <row r="625" spans="1:10" x14ac:dyDescent="0.15">
      <c r="A625" s="135"/>
      <c r="B625" s="451" t="s">
        <v>1113</v>
      </c>
      <c r="C625" s="135" t="s">
        <v>1118</v>
      </c>
      <c r="D625" s="141">
        <v>0</v>
      </c>
      <c r="E625" s="141">
        <v>0</v>
      </c>
      <c r="F625" s="141">
        <v>0</v>
      </c>
      <c r="G625" s="285">
        <v>0</v>
      </c>
      <c r="H625" s="147">
        <v>0</v>
      </c>
      <c r="I625" s="495">
        <f t="shared" si="32"/>
        <v>0</v>
      </c>
    </row>
    <row r="626" spans="1:10" ht="11.25" thickBot="1" x14ac:dyDescent="0.2">
      <c r="A626" s="135"/>
      <c r="B626" s="451" t="s">
        <v>1114</v>
      </c>
      <c r="C626" s="135" t="s">
        <v>1119</v>
      </c>
      <c r="D626" s="141">
        <v>0</v>
      </c>
      <c r="E626" s="141">
        <v>0</v>
      </c>
      <c r="F626" s="141">
        <v>0</v>
      </c>
      <c r="G626" s="285">
        <v>0</v>
      </c>
      <c r="H626" s="147">
        <v>0</v>
      </c>
      <c r="I626" s="495">
        <f t="shared" si="32"/>
        <v>0</v>
      </c>
    </row>
    <row r="627" spans="1:10" ht="12" thickTop="1" thickBot="1" x14ac:dyDescent="0.2">
      <c r="A627" s="135"/>
      <c r="B627" s="451"/>
      <c r="C627" s="135" t="s">
        <v>1082</v>
      </c>
      <c r="D627" s="166">
        <f>SUM(D593:D626)</f>
        <v>0</v>
      </c>
      <c r="E627" s="166">
        <f>SUM(E593:E626)</f>
        <v>0</v>
      </c>
      <c r="F627" s="166">
        <f>SUM(F593:F626)</f>
        <v>0</v>
      </c>
      <c r="G627" s="166">
        <f>SUM(G593:G626)</f>
        <v>0</v>
      </c>
      <c r="H627" s="166">
        <f>SUM(H593:H626)</f>
        <v>0</v>
      </c>
      <c r="I627" s="166">
        <f t="shared" si="32"/>
        <v>0</v>
      </c>
    </row>
    <row r="628" spans="1:10" ht="11.25" thickTop="1" x14ac:dyDescent="0.15">
      <c r="A628" s="135"/>
      <c r="B628" s="135"/>
      <c r="C628" s="135"/>
      <c r="D628" s="14"/>
      <c r="E628" s="14"/>
      <c r="F628" s="14"/>
      <c r="G628" s="14"/>
      <c r="H628" s="14"/>
      <c r="I628" s="491"/>
    </row>
    <row r="629" spans="1:10" x14ac:dyDescent="0.15">
      <c r="A629" s="452" t="s">
        <v>1083</v>
      </c>
      <c r="B629" s="135"/>
      <c r="C629" s="135"/>
      <c r="D629" s="14"/>
      <c r="E629" s="14"/>
      <c r="F629" s="14"/>
      <c r="G629" s="14"/>
      <c r="H629" s="14"/>
      <c r="I629" s="491"/>
    </row>
    <row r="630" spans="1:10" s="416" customFormat="1" hidden="1" x14ac:dyDescent="0.15">
      <c r="B630" s="453" t="s">
        <v>880</v>
      </c>
      <c r="C630" s="454" t="s">
        <v>1164</v>
      </c>
      <c r="D630" s="308">
        <v>0</v>
      </c>
      <c r="E630" s="308">
        <v>0</v>
      </c>
      <c r="F630" s="308">
        <v>0</v>
      </c>
      <c r="G630" s="458"/>
      <c r="H630" s="457">
        <v>0</v>
      </c>
      <c r="I630" s="494">
        <f t="shared" ref="I630:I664" si="34">SUM(G630+H630)</f>
        <v>0</v>
      </c>
    </row>
    <row r="631" spans="1:10" s="416" customFormat="1" x14ac:dyDescent="0.15">
      <c r="B631" s="453" t="s">
        <v>880</v>
      </c>
      <c r="C631" s="454" t="s">
        <v>337</v>
      </c>
      <c r="D631" s="308">
        <v>0</v>
      </c>
      <c r="E631" s="308">
        <v>0</v>
      </c>
      <c r="F631" s="308">
        <v>0</v>
      </c>
      <c r="G631" s="308">
        <v>0</v>
      </c>
      <c r="H631" s="457">
        <v>0</v>
      </c>
      <c r="I631" s="494">
        <f t="shared" si="34"/>
        <v>0</v>
      </c>
    </row>
    <row r="632" spans="1:10" s="416" customFormat="1" hidden="1" x14ac:dyDescent="0.15">
      <c r="A632" s="454"/>
      <c r="B632" s="453" t="s">
        <v>881</v>
      </c>
      <c r="C632" s="454" t="s">
        <v>382</v>
      </c>
      <c r="D632" s="308">
        <v>0</v>
      </c>
      <c r="E632" s="308">
        <v>0</v>
      </c>
      <c r="F632" s="308">
        <v>0</v>
      </c>
      <c r="G632" s="459"/>
      <c r="H632" s="457">
        <v>0</v>
      </c>
      <c r="I632" s="494">
        <f t="shared" si="34"/>
        <v>0</v>
      </c>
    </row>
    <row r="633" spans="1:10" x14ac:dyDescent="0.15">
      <c r="A633" s="135"/>
      <c r="B633" s="451" t="s">
        <v>881</v>
      </c>
      <c r="C633" s="135" t="s">
        <v>338</v>
      </c>
      <c r="D633" s="144">
        <v>0</v>
      </c>
      <c r="E633" s="144">
        <v>0</v>
      </c>
      <c r="F633" s="144">
        <v>0</v>
      </c>
      <c r="G633" s="144">
        <v>0</v>
      </c>
      <c r="H633" s="147">
        <v>0</v>
      </c>
      <c r="I633" s="495">
        <f t="shared" si="34"/>
        <v>0</v>
      </c>
      <c r="J633" s="416"/>
    </row>
    <row r="634" spans="1:10" x14ac:dyDescent="0.15">
      <c r="A634" s="135"/>
      <c r="B634" s="451" t="s">
        <v>882</v>
      </c>
      <c r="C634" s="135" t="s">
        <v>1058</v>
      </c>
      <c r="D634" s="141">
        <v>0</v>
      </c>
      <c r="E634" s="141">
        <v>0</v>
      </c>
      <c r="F634" s="141">
        <v>0</v>
      </c>
      <c r="G634" s="285">
        <v>0</v>
      </c>
      <c r="H634" s="147">
        <v>0</v>
      </c>
      <c r="I634" s="495">
        <f t="shared" si="34"/>
        <v>0</v>
      </c>
    </row>
    <row r="635" spans="1:10" x14ac:dyDescent="0.15">
      <c r="A635" s="135"/>
      <c r="B635" s="451" t="s">
        <v>883</v>
      </c>
      <c r="C635" s="135" t="s">
        <v>1059</v>
      </c>
      <c r="D635" s="141">
        <v>0</v>
      </c>
      <c r="E635" s="141">
        <v>0</v>
      </c>
      <c r="F635" s="141">
        <v>0</v>
      </c>
      <c r="G635" s="285">
        <v>0</v>
      </c>
      <c r="H635" s="147">
        <v>0</v>
      </c>
      <c r="I635" s="495">
        <f t="shared" si="34"/>
        <v>0</v>
      </c>
    </row>
    <row r="636" spans="1:10" x14ac:dyDescent="0.15">
      <c r="A636" s="135"/>
      <c r="B636" s="451" t="s">
        <v>1060</v>
      </c>
      <c r="C636" s="135" t="s">
        <v>1061</v>
      </c>
      <c r="D636" s="141">
        <v>0</v>
      </c>
      <c r="E636" s="141">
        <v>0</v>
      </c>
      <c r="F636" s="141">
        <v>0</v>
      </c>
      <c r="G636" s="285">
        <v>0</v>
      </c>
      <c r="H636" s="147">
        <v>0</v>
      </c>
      <c r="I636" s="495">
        <f t="shared" si="34"/>
        <v>0</v>
      </c>
    </row>
    <row r="637" spans="1:10" x14ac:dyDescent="0.15">
      <c r="A637" s="135"/>
      <c r="B637" s="451" t="s">
        <v>1062</v>
      </c>
      <c r="C637" s="135" t="s">
        <v>1063</v>
      </c>
      <c r="D637" s="141">
        <v>0</v>
      </c>
      <c r="E637" s="141">
        <v>0</v>
      </c>
      <c r="F637" s="141">
        <v>0</v>
      </c>
      <c r="G637" s="285">
        <v>0</v>
      </c>
      <c r="H637" s="147">
        <v>0</v>
      </c>
      <c r="I637" s="495">
        <f t="shared" si="34"/>
        <v>0</v>
      </c>
    </row>
    <row r="638" spans="1:10" x14ac:dyDescent="0.15">
      <c r="A638" s="135"/>
      <c r="B638" s="451" t="s">
        <v>884</v>
      </c>
      <c r="C638" s="135" t="s">
        <v>1064</v>
      </c>
      <c r="D638" s="141">
        <v>0</v>
      </c>
      <c r="E638" s="141">
        <v>0</v>
      </c>
      <c r="F638" s="141">
        <v>0</v>
      </c>
      <c r="G638" s="285">
        <v>0</v>
      </c>
      <c r="H638" s="147">
        <v>0</v>
      </c>
      <c r="I638" s="495">
        <f t="shared" si="34"/>
        <v>0</v>
      </c>
    </row>
    <row r="639" spans="1:10" x14ac:dyDescent="0.15">
      <c r="A639" s="135"/>
      <c r="B639" s="451" t="s">
        <v>1067</v>
      </c>
      <c r="C639" s="135" t="s">
        <v>1074</v>
      </c>
      <c r="D639" s="141">
        <v>0</v>
      </c>
      <c r="E639" s="141">
        <v>0</v>
      </c>
      <c r="F639" s="141">
        <v>0</v>
      </c>
      <c r="G639" s="285">
        <v>0</v>
      </c>
      <c r="H639" s="147">
        <v>0</v>
      </c>
      <c r="I639" s="495">
        <f t="shared" si="34"/>
        <v>0</v>
      </c>
    </row>
    <row r="640" spans="1:10" x14ac:dyDescent="0.15">
      <c r="A640" s="135"/>
      <c r="B640" s="451" t="s">
        <v>1068</v>
      </c>
      <c r="C640" s="135" t="s">
        <v>1075</v>
      </c>
      <c r="D640" s="141">
        <v>0</v>
      </c>
      <c r="E640" s="141">
        <v>0</v>
      </c>
      <c r="F640" s="141">
        <v>0</v>
      </c>
      <c r="G640" s="285">
        <v>0</v>
      </c>
      <c r="H640" s="147">
        <v>0</v>
      </c>
      <c r="I640" s="495">
        <f t="shared" si="34"/>
        <v>0</v>
      </c>
    </row>
    <row r="641" spans="1:9" x14ac:dyDescent="0.15">
      <c r="A641" s="135"/>
      <c r="B641" s="451" t="s">
        <v>1072</v>
      </c>
      <c r="C641" s="135" t="s">
        <v>920</v>
      </c>
      <c r="D641" s="141">
        <v>0</v>
      </c>
      <c r="E641" s="141">
        <v>0</v>
      </c>
      <c r="F641" s="141">
        <v>0</v>
      </c>
      <c r="G641" s="285">
        <v>0</v>
      </c>
      <c r="H641" s="147">
        <v>0</v>
      </c>
      <c r="I641" s="495">
        <f t="shared" si="34"/>
        <v>0</v>
      </c>
    </row>
    <row r="642" spans="1:9" x14ac:dyDescent="0.15">
      <c r="A642" s="135"/>
      <c r="B642" s="716" t="s">
        <v>155</v>
      </c>
      <c r="C642" s="703" t="s">
        <v>178</v>
      </c>
      <c r="D642" s="141">
        <v>0</v>
      </c>
      <c r="E642" s="141">
        <v>0</v>
      </c>
      <c r="F642" s="141">
        <v>0</v>
      </c>
      <c r="G642" s="285">
        <v>0</v>
      </c>
      <c r="H642" s="147">
        <v>0</v>
      </c>
      <c r="I642" s="495">
        <f t="shared" ref="I642" si="35">SUM(G642+H642)</f>
        <v>0</v>
      </c>
    </row>
    <row r="643" spans="1:9" x14ac:dyDescent="0.15">
      <c r="A643" s="135"/>
      <c r="B643" s="451" t="s">
        <v>921</v>
      </c>
      <c r="C643" s="135" t="s">
        <v>955</v>
      </c>
      <c r="D643" s="141">
        <v>0</v>
      </c>
      <c r="E643" s="141">
        <v>0</v>
      </c>
      <c r="F643" s="141">
        <v>0</v>
      </c>
      <c r="G643" s="285">
        <v>0</v>
      </c>
      <c r="H643" s="147">
        <v>0</v>
      </c>
      <c r="I643" s="495">
        <f t="shared" si="34"/>
        <v>0</v>
      </c>
    </row>
    <row r="644" spans="1:9" x14ac:dyDescent="0.15">
      <c r="A644" s="135"/>
      <c r="B644" s="451" t="s">
        <v>922</v>
      </c>
      <c r="C644" s="135" t="s">
        <v>956</v>
      </c>
      <c r="D644" s="141">
        <v>0</v>
      </c>
      <c r="E644" s="141">
        <v>0</v>
      </c>
      <c r="F644" s="141">
        <v>0</v>
      </c>
      <c r="G644" s="285">
        <v>0</v>
      </c>
      <c r="H644" s="147">
        <v>0</v>
      </c>
      <c r="I644" s="495">
        <f t="shared" si="34"/>
        <v>0</v>
      </c>
    </row>
    <row r="645" spans="1:9" x14ac:dyDescent="0.15">
      <c r="A645" s="135"/>
      <c r="B645" s="451" t="s">
        <v>923</v>
      </c>
      <c r="C645" s="135" t="s">
        <v>957</v>
      </c>
      <c r="D645" s="141">
        <v>0</v>
      </c>
      <c r="E645" s="141">
        <v>0</v>
      </c>
      <c r="F645" s="141">
        <v>0</v>
      </c>
      <c r="G645" s="285">
        <v>0</v>
      </c>
      <c r="H645" s="147">
        <v>0</v>
      </c>
      <c r="I645" s="495">
        <f t="shared" si="34"/>
        <v>0</v>
      </c>
    </row>
    <row r="646" spans="1:9" x14ac:dyDescent="0.15">
      <c r="A646" s="135"/>
      <c r="B646" s="451" t="s">
        <v>924</v>
      </c>
      <c r="C646" s="135" t="s">
        <v>958</v>
      </c>
      <c r="D646" s="141">
        <v>0</v>
      </c>
      <c r="E646" s="141">
        <v>0</v>
      </c>
      <c r="F646" s="141">
        <v>0</v>
      </c>
      <c r="G646" s="285">
        <v>0</v>
      </c>
      <c r="H646" s="147">
        <v>0</v>
      </c>
      <c r="I646" s="495">
        <f t="shared" si="34"/>
        <v>0</v>
      </c>
    </row>
    <row r="647" spans="1:9" x14ac:dyDescent="0.15">
      <c r="A647" s="135"/>
      <c r="B647" s="451" t="s">
        <v>925</v>
      </c>
      <c r="C647" s="135" t="s">
        <v>1128</v>
      </c>
      <c r="D647" s="141">
        <v>0</v>
      </c>
      <c r="E647" s="141">
        <v>0</v>
      </c>
      <c r="F647" s="141">
        <v>0</v>
      </c>
      <c r="G647" s="285">
        <v>0</v>
      </c>
      <c r="H647" s="147">
        <v>0</v>
      </c>
      <c r="I647" s="495">
        <f t="shared" si="34"/>
        <v>0</v>
      </c>
    </row>
    <row r="648" spans="1:9" x14ac:dyDescent="0.15">
      <c r="A648" s="135"/>
      <c r="B648" s="451" t="s">
        <v>926</v>
      </c>
      <c r="C648" s="135" t="s">
        <v>1129</v>
      </c>
      <c r="D648" s="141">
        <v>0</v>
      </c>
      <c r="E648" s="141">
        <v>0</v>
      </c>
      <c r="F648" s="141">
        <v>0</v>
      </c>
      <c r="G648" s="285">
        <v>0</v>
      </c>
      <c r="H648" s="147">
        <v>0</v>
      </c>
      <c r="I648" s="495">
        <f t="shared" si="34"/>
        <v>0</v>
      </c>
    </row>
    <row r="649" spans="1:9" x14ac:dyDescent="0.15">
      <c r="A649" s="135"/>
      <c r="B649" s="451" t="s">
        <v>927</v>
      </c>
      <c r="C649" s="135" t="s">
        <v>959</v>
      </c>
      <c r="D649" s="141">
        <v>0</v>
      </c>
      <c r="E649" s="141">
        <v>0</v>
      </c>
      <c r="F649" s="141">
        <v>0</v>
      </c>
      <c r="G649" s="285">
        <v>0</v>
      </c>
      <c r="H649" s="147">
        <v>0</v>
      </c>
      <c r="I649" s="495">
        <f t="shared" si="34"/>
        <v>0</v>
      </c>
    </row>
    <row r="650" spans="1:9" x14ac:dyDescent="0.15">
      <c r="A650" s="135"/>
      <c r="B650" s="451" t="s">
        <v>928</v>
      </c>
      <c r="C650" s="135" t="s">
        <v>961</v>
      </c>
      <c r="D650" s="141">
        <v>0</v>
      </c>
      <c r="E650" s="141">
        <v>0</v>
      </c>
      <c r="F650" s="141">
        <v>0</v>
      </c>
      <c r="G650" s="285">
        <v>0</v>
      </c>
      <c r="H650" s="147">
        <v>0</v>
      </c>
      <c r="I650" s="495">
        <f t="shared" si="34"/>
        <v>0</v>
      </c>
    </row>
    <row r="651" spans="1:9" x14ac:dyDescent="0.15">
      <c r="A651" s="135"/>
      <c r="B651" s="451" t="s">
        <v>962</v>
      </c>
      <c r="C651" s="135" t="s">
        <v>967</v>
      </c>
      <c r="D651" s="141">
        <v>0</v>
      </c>
      <c r="E651" s="141">
        <v>0</v>
      </c>
      <c r="F651" s="141">
        <v>0</v>
      </c>
      <c r="G651" s="285">
        <v>0</v>
      </c>
      <c r="H651" s="147">
        <v>0</v>
      </c>
      <c r="I651" s="495">
        <f t="shared" si="34"/>
        <v>0</v>
      </c>
    </row>
    <row r="652" spans="1:9" x14ac:dyDescent="0.15">
      <c r="A652" s="135"/>
      <c r="B652" s="451" t="s">
        <v>963</v>
      </c>
      <c r="C652" s="135" t="s">
        <v>1093</v>
      </c>
      <c r="D652" s="141">
        <v>0</v>
      </c>
      <c r="E652" s="141">
        <v>0</v>
      </c>
      <c r="F652" s="141">
        <v>0</v>
      </c>
      <c r="G652" s="285">
        <v>0</v>
      </c>
      <c r="H652" s="147">
        <v>0</v>
      </c>
      <c r="I652" s="495">
        <f t="shared" si="34"/>
        <v>0</v>
      </c>
    </row>
    <row r="653" spans="1:9" x14ac:dyDescent="0.15">
      <c r="A653" s="135"/>
      <c r="B653" s="451" t="s">
        <v>964</v>
      </c>
      <c r="C653" s="135" t="s">
        <v>1094</v>
      </c>
      <c r="D653" s="141">
        <v>0</v>
      </c>
      <c r="E653" s="141">
        <v>0</v>
      </c>
      <c r="F653" s="141">
        <v>0</v>
      </c>
      <c r="G653" s="285">
        <v>0</v>
      </c>
      <c r="H653" s="147">
        <v>0</v>
      </c>
      <c r="I653" s="495">
        <f t="shared" si="34"/>
        <v>0</v>
      </c>
    </row>
    <row r="654" spans="1:9" x14ac:dyDescent="0.15">
      <c r="A654" s="135"/>
      <c r="B654" s="451" t="s">
        <v>965</v>
      </c>
      <c r="C654" s="135" t="s">
        <v>1095</v>
      </c>
      <c r="D654" s="141">
        <v>0</v>
      </c>
      <c r="E654" s="141">
        <v>0</v>
      </c>
      <c r="F654" s="141">
        <v>0</v>
      </c>
      <c r="G654" s="285">
        <v>0</v>
      </c>
      <c r="H654" s="147">
        <v>0</v>
      </c>
      <c r="I654" s="495">
        <f t="shared" si="34"/>
        <v>0</v>
      </c>
    </row>
    <row r="655" spans="1:9" x14ac:dyDescent="0.15">
      <c r="A655" s="135"/>
      <c r="B655" s="451" t="s">
        <v>885</v>
      </c>
      <c r="C655" s="135" t="s">
        <v>1096</v>
      </c>
      <c r="D655" s="141">
        <v>0</v>
      </c>
      <c r="E655" s="141">
        <v>0</v>
      </c>
      <c r="F655" s="141">
        <v>0</v>
      </c>
      <c r="G655" s="285">
        <v>0</v>
      </c>
      <c r="H655" s="147">
        <v>0</v>
      </c>
      <c r="I655" s="495">
        <f t="shared" si="34"/>
        <v>0</v>
      </c>
    </row>
    <row r="656" spans="1:9" x14ac:dyDescent="0.15">
      <c r="A656" s="135"/>
      <c r="B656" s="451" t="s">
        <v>966</v>
      </c>
      <c r="C656" s="135" t="s">
        <v>1097</v>
      </c>
      <c r="D656" s="141">
        <v>0</v>
      </c>
      <c r="E656" s="141">
        <v>0</v>
      </c>
      <c r="F656" s="141">
        <v>0</v>
      </c>
      <c r="G656" s="285">
        <v>0</v>
      </c>
      <c r="H656" s="147">
        <v>0</v>
      </c>
      <c r="I656" s="495">
        <f t="shared" si="34"/>
        <v>0</v>
      </c>
    </row>
    <row r="657" spans="1:10" x14ac:dyDescent="0.15">
      <c r="A657" s="135"/>
      <c r="B657" s="451" t="s">
        <v>886</v>
      </c>
      <c r="C657" s="135" t="s">
        <v>1100</v>
      </c>
      <c r="D657" s="141">
        <v>0</v>
      </c>
      <c r="E657" s="141">
        <v>0</v>
      </c>
      <c r="F657" s="141">
        <v>0</v>
      </c>
      <c r="G657" s="285">
        <v>0</v>
      </c>
      <c r="H657" s="147">
        <v>0</v>
      </c>
      <c r="I657" s="495">
        <f t="shared" si="34"/>
        <v>0</v>
      </c>
    </row>
    <row r="658" spans="1:10" x14ac:dyDescent="0.15">
      <c r="A658" s="135"/>
      <c r="B658" s="451" t="s">
        <v>116</v>
      </c>
      <c r="C658" s="135" t="s">
        <v>1105</v>
      </c>
      <c r="D658" s="141">
        <v>0</v>
      </c>
      <c r="E658" s="141">
        <v>0</v>
      </c>
      <c r="F658" s="141">
        <v>0</v>
      </c>
      <c r="G658" s="285">
        <v>0</v>
      </c>
      <c r="H658" s="147">
        <v>0</v>
      </c>
      <c r="I658" s="495">
        <f t="shared" si="34"/>
        <v>0</v>
      </c>
    </row>
    <row r="659" spans="1:10" x14ac:dyDescent="0.15">
      <c r="A659" s="135"/>
      <c r="B659" s="451" t="s">
        <v>1139</v>
      </c>
      <c r="C659" s="135" t="s">
        <v>209</v>
      </c>
      <c r="D659" s="141">
        <v>0</v>
      </c>
      <c r="E659" s="141">
        <v>0</v>
      </c>
      <c r="F659" s="141">
        <v>0</v>
      </c>
      <c r="G659" s="285">
        <v>0</v>
      </c>
      <c r="H659" s="147">
        <v>0</v>
      </c>
      <c r="I659" s="495">
        <f t="shared" si="34"/>
        <v>0</v>
      </c>
    </row>
    <row r="660" spans="1:10" x14ac:dyDescent="0.15">
      <c r="A660" s="135"/>
      <c r="B660" s="451" t="s">
        <v>112</v>
      </c>
      <c r="C660" s="135" t="s">
        <v>1110</v>
      </c>
      <c r="D660" s="141">
        <v>0</v>
      </c>
      <c r="E660" s="141">
        <v>0</v>
      </c>
      <c r="F660" s="141">
        <v>0</v>
      </c>
      <c r="G660" s="285">
        <v>0</v>
      </c>
      <c r="H660" s="147">
        <v>0</v>
      </c>
      <c r="I660" s="495">
        <f t="shared" si="34"/>
        <v>0</v>
      </c>
    </row>
    <row r="661" spans="1:10" x14ac:dyDescent="0.15">
      <c r="A661" s="135"/>
      <c r="B661" s="451" t="s">
        <v>887</v>
      </c>
      <c r="C661" s="135" t="s">
        <v>1116</v>
      </c>
      <c r="D661" s="141">
        <v>0</v>
      </c>
      <c r="E661" s="141">
        <v>0</v>
      </c>
      <c r="F661" s="141">
        <v>0</v>
      </c>
      <c r="G661" s="285">
        <v>0</v>
      </c>
      <c r="H661" s="147">
        <v>0</v>
      </c>
      <c r="I661" s="495">
        <f t="shared" si="34"/>
        <v>0</v>
      </c>
    </row>
    <row r="662" spans="1:10" x14ac:dyDescent="0.15">
      <c r="A662" s="135"/>
      <c r="B662" s="451" t="s">
        <v>1112</v>
      </c>
      <c r="C662" s="135" t="s">
        <v>1117</v>
      </c>
      <c r="D662" s="141">
        <v>0</v>
      </c>
      <c r="E662" s="141">
        <v>0</v>
      </c>
      <c r="F662" s="141">
        <v>0</v>
      </c>
      <c r="G662" s="285">
        <v>0</v>
      </c>
      <c r="H662" s="147">
        <v>0</v>
      </c>
      <c r="I662" s="495">
        <f t="shared" si="34"/>
        <v>0</v>
      </c>
    </row>
    <row r="663" spans="1:10" x14ac:dyDescent="0.15">
      <c r="A663" s="135"/>
      <c r="B663" s="451" t="s">
        <v>1113</v>
      </c>
      <c r="C663" s="135" t="s">
        <v>1118</v>
      </c>
      <c r="D663" s="141">
        <v>0</v>
      </c>
      <c r="E663" s="141">
        <v>0</v>
      </c>
      <c r="F663" s="141">
        <v>0</v>
      </c>
      <c r="G663" s="285">
        <v>0</v>
      </c>
      <c r="H663" s="147">
        <v>0</v>
      </c>
      <c r="I663" s="495">
        <f t="shared" si="34"/>
        <v>0</v>
      </c>
    </row>
    <row r="664" spans="1:10" ht="11.25" thickBot="1" x14ac:dyDescent="0.2">
      <c r="A664" s="135"/>
      <c r="B664" s="451" t="s">
        <v>1114</v>
      </c>
      <c r="C664" s="135" t="s">
        <v>1119</v>
      </c>
      <c r="D664" s="141">
        <v>0</v>
      </c>
      <c r="E664" s="141">
        <v>0</v>
      </c>
      <c r="F664" s="141">
        <v>0</v>
      </c>
      <c r="G664" s="285">
        <v>0</v>
      </c>
      <c r="H664" s="147">
        <v>0</v>
      </c>
      <c r="I664" s="495">
        <f t="shared" si="34"/>
        <v>0</v>
      </c>
    </row>
    <row r="665" spans="1:10" ht="12" thickTop="1" thickBot="1" x14ac:dyDescent="0.2">
      <c r="A665" s="135"/>
      <c r="B665" s="451"/>
      <c r="C665" s="135" t="s">
        <v>1084</v>
      </c>
      <c r="D665" s="166">
        <f>SUM(D630:D664)</f>
        <v>0</v>
      </c>
      <c r="E665" s="166">
        <f>SUM(E630:E664)</f>
        <v>0</v>
      </c>
      <c r="F665" s="166">
        <f>SUM(F630:F664)</f>
        <v>0</v>
      </c>
      <c r="G665" s="166">
        <f>SUM(G630:G664)</f>
        <v>0</v>
      </c>
      <c r="H665" s="166">
        <f>SUM(H630:H664)</f>
        <v>0</v>
      </c>
      <c r="I665" s="166">
        <f>SUM(G665+H665)</f>
        <v>0</v>
      </c>
    </row>
    <row r="666" spans="1:10" ht="11.25" thickTop="1" x14ac:dyDescent="0.15">
      <c r="A666" s="135"/>
      <c r="B666" s="135"/>
      <c r="C666" s="135"/>
      <c r="D666" s="14"/>
      <c r="E666" s="14"/>
      <c r="F666" s="14"/>
      <c r="G666" s="14"/>
      <c r="H666" s="14"/>
      <c r="I666" s="491"/>
    </row>
    <row r="667" spans="1:10" x14ac:dyDescent="0.15">
      <c r="A667" s="452" t="s">
        <v>1085</v>
      </c>
      <c r="B667" s="135"/>
      <c r="C667" s="135"/>
      <c r="D667" s="14"/>
      <c r="E667" s="14"/>
      <c r="F667" s="14"/>
      <c r="G667" s="14"/>
      <c r="H667" s="14"/>
      <c r="I667" s="491"/>
    </row>
    <row r="668" spans="1:10" s="416" customFormat="1" hidden="1" x14ac:dyDescent="0.15">
      <c r="B668" s="453" t="s">
        <v>880</v>
      </c>
      <c r="C668" s="454" t="s">
        <v>1164</v>
      </c>
      <c r="D668" s="308">
        <v>0</v>
      </c>
      <c r="E668" s="308">
        <v>0</v>
      </c>
      <c r="F668" s="308">
        <v>0</v>
      </c>
      <c r="G668" s="458"/>
      <c r="H668" s="457">
        <v>0</v>
      </c>
      <c r="I668" s="494">
        <f t="shared" ref="I668:I701" si="36">SUM(G668+H668)</f>
        <v>0</v>
      </c>
    </row>
    <row r="669" spans="1:10" s="416" customFormat="1" x14ac:dyDescent="0.15">
      <c r="B669" s="453" t="s">
        <v>880</v>
      </c>
      <c r="C669" s="454" t="s">
        <v>337</v>
      </c>
      <c r="D669" s="308">
        <v>0</v>
      </c>
      <c r="E669" s="308">
        <v>0</v>
      </c>
      <c r="F669" s="308">
        <v>0</v>
      </c>
      <c r="G669" s="308">
        <v>0</v>
      </c>
      <c r="H669" s="457">
        <v>0</v>
      </c>
      <c r="I669" s="494">
        <f t="shared" si="36"/>
        <v>0</v>
      </c>
    </row>
    <row r="670" spans="1:10" s="416" customFormat="1" hidden="1" x14ac:dyDescent="0.15">
      <c r="A670" s="454"/>
      <c r="B670" s="453" t="s">
        <v>881</v>
      </c>
      <c r="C670" s="454" t="s">
        <v>382</v>
      </c>
      <c r="D670" s="308">
        <v>0</v>
      </c>
      <c r="E670" s="308">
        <v>0</v>
      </c>
      <c r="F670" s="308">
        <v>0</v>
      </c>
      <c r="G670" s="459"/>
      <c r="H670" s="457">
        <v>0</v>
      </c>
      <c r="I670" s="494">
        <f t="shared" si="36"/>
        <v>0</v>
      </c>
    </row>
    <row r="671" spans="1:10" x14ac:dyDescent="0.15">
      <c r="A671" s="135"/>
      <c r="B671" s="451" t="s">
        <v>881</v>
      </c>
      <c r="C671" s="135" t="s">
        <v>338</v>
      </c>
      <c r="D671" s="144">
        <v>0</v>
      </c>
      <c r="E671" s="144">
        <v>0</v>
      </c>
      <c r="F671" s="144">
        <v>0</v>
      </c>
      <c r="G671" s="144">
        <v>0</v>
      </c>
      <c r="H671" s="147">
        <v>0</v>
      </c>
      <c r="I671" s="495">
        <f t="shared" si="36"/>
        <v>0</v>
      </c>
      <c r="J671" s="416"/>
    </row>
    <row r="672" spans="1:10" x14ac:dyDescent="0.15">
      <c r="A672" s="135"/>
      <c r="B672" s="451" t="s">
        <v>882</v>
      </c>
      <c r="C672" s="135" t="s">
        <v>1058</v>
      </c>
      <c r="D672" s="141">
        <v>0</v>
      </c>
      <c r="E672" s="141">
        <v>0</v>
      </c>
      <c r="F672" s="141">
        <v>0</v>
      </c>
      <c r="G672" s="285">
        <v>0</v>
      </c>
      <c r="H672" s="147">
        <v>0</v>
      </c>
      <c r="I672" s="495">
        <f t="shared" si="36"/>
        <v>0</v>
      </c>
    </row>
    <row r="673" spans="1:9" x14ac:dyDescent="0.15">
      <c r="A673" s="135"/>
      <c r="B673" s="451" t="s">
        <v>883</v>
      </c>
      <c r="C673" s="135" t="s">
        <v>1059</v>
      </c>
      <c r="D673" s="141">
        <v>0</v>
      </c>
      <c r="E673" s="141">
        <v>0</v>
      </c>
      <c r="F673" s="141">
        <v>0</v>
      </c>
      <c r="G673" s="285">
        <v>0</v>
      </c>
      <c r="H673" s="147">
        <v>0</v>
      </c>
      <c r="I673" s="495">
        <f t="shared" si="36"/>
        <v>0</v>
      </c>
    </row>
    <row r="674" spans="1:9" x14ac:dyDescent="0.15">
      <c r="A674" s="135"/>
      <c r="B674" s="451" t="s">
        <v>1060</v>
      </c>
      <c r="C674" s="135" t="s">
        <v>1061</v>
      </c>
      <c r="D674" s="141">
        <v>0</v>
      </c>
      <c r="E674" s="141">
        <v>0</v>
      </c>
      <c r="F674" s="141">
        <v>0</v>
      </c>
      <c r="G674" s="285">
        <v>0</v>
      </c>
      <c r="H674" s="147">
        <v>0</v>
      </c>
      <c r="I674" s="495">
        <f t="shared" si="36"/>
        <v>0</v>
      </c>
    </row>
    <row r="675" spans="1:9" x14ac:dyDescent="0.15">
      <c r="A675" s="135"/>
      <c r="B675" s="451" t="s">
        <v>1062</v>
      </c>
      <c r="C675" s="135" t="s">
        <v>1063</v>
      </c>
      <c r="D675" s="141">
        <v>0</v>
      </c>
      <c r="E675" s="141">
        <v>0</v>
      </c>
      <c r="F675" s="141">
        <v>0</v>
      </c>
      <c r="G675" s="285">
        <v>0</v>
      </c>
      <c r="H675" s="147">
        <v>0</v>
      </c>
      <c r="I675" s="495">
        <f t="shared" si="36"/>
        <v>0</v>
      </c>
    </row>
    <row r="676" spans="1:9" x14ac:dyDescent="0.15">
      <c r="A676" s="135"/>
      <c r="B676" s="451" t="s">
        <v>884</v>
      </c>
      <c r="C676" s="135" t="s">
        <v>1064</v>
      </c>
      <c r="D676" s="141">
        <v>0</v>
      </c>
      <c r="E676" s="141">
        <v>0</v>
      </c>
      <c r="F676" s="141">
        <v>0</v>
      </c>
      <c r="G676" s="285">
        <v>0</v>
      </c>
      <c r="H676" s="147">
        <v>0</v>
      </c>
      <c r="I676" s="495">
        <f t="shared" si="36"/>
        <v>0</v>
      </c>
    </row>
    <row r="677" spans="1:9" x14ac:dyDescent="0.15">
      <c r="A677" s="135"/>
      <c r="B677" s="451" t="s">
        <v>1067</v>
      </c>
      <c r="C677" s="135" t="s">
        <v>1074</v>
      </c>
      <c r="D677" s="141">
        <v>0</v>
      </c>
      <c r="E677" s="141">
        <v>0</v>
      </c>
      <c r="F677" s="141">
        <v>0</v>
      </c>
      <c r="G677" s="285">
        <v>0</v>
      </c>
      <c r="H677" s="147">
        <v>0</v>
      </c>
      <c r="I677" s="495">
        <f t="shared" si="36"/>
        <v>0</v>
      </c>
    </row>
    <row r="678" spans="1:9" x14ac:dyDescent="0.15">
      <c r="A678" s="135"/>
      <c r="B678" s="451" t="s">
        <v>1068</v>
      </c>
      <c r="C678" s="135" t="s">
        <v>1075</v>
      </c>
      <c r="D678" s="141">
        <v>0</v>
      </c>
      <c r="E678" s="141">
        <v>0</v>
      </c>
      <c r="F678" s="141">
        <v>0</v>
      </c>
      <c r="G678" s="285">
        <v>0</v>
      </c>
      <c r="H678" s="147">
        <v>0</v>
      </c>
      <c r="I678" s="495">
        <f t="shared" si="36"/>
        <v>0</v>
      </c>
    </row>
    <row r="679" spans="1:9" x14ac:dyDescent="0.15">
      <c r="A679" s="135"/>
      <c r="B679" s="451" t="s">
        <v>1072</v>
      </c>
      <c r="C679" s="135" t="s">
        <v>920</v>
      </c>
      <c r="D679" s="141">
        <v>0</v>
      </c>
      <c r="E679" s="141">
        <v>0</v>
      </c>
      <c r="F679" s="141">
        <v>0</v>
      </c>
      <c r="G679" s="285">
        <v>0</v>
      </c>
      <c r="H679" s="147">
        <v>0</v>
      </c>
      <c r="I679" s="495">
        <f t="shared" si="36"/>
        <v>0</v>
      </c>
    </row>
    <row r="680" spans="1:9" x14ac:dyDescent="0.15">
      <c r="A680" s="135"/>
      <c r="B680" s="716" t="s">
        <v>155</v>
      </c>
      <c r="C680" s="703" t="s">
        <v>178</v>
      </c>
      <c r="D680" s="141">
        <v>0</v>
      </c>
      <c r="E680" s="141">
        <v>0</v>
      </c>
      <c r="F680" s="141">
        <v>0</v>
      </c>
      <c r="G680" s="285">
        <v>0</v>
      </c>
      <c r="H680" s="147">
        <v>0</v>
      </c>
      <c r="I680" s="495">
        <f t="shared" ref="I680" si="37">SUM(G680+H680)</f>
        <v>0</v>
      </c>
    </row>
    <row r="681" spans="1:9" x14ac:dyDescent="0.15">
      <c r="A681" s="135"/>
      <c r="B681" s="451" t="s">
        <v>921</v>
      </c>
      <c r="C681" s="135" t="s">
        <v>955</v>
      </c>
      <c r="D681" s="141">
        <v>0</v>
      </c>
      <c r="E681" s="141">
        <v>0</v>
      </c>
      <c r="F681" s="141">
        <v>0</v>
      </c>
      <c r="G681" s="285">
        <v>0</v>
      </c>
      <c r="H681" s="147">
        <v>0</v>
      </c>
      <c r="I681" s="495">
        <f t="shared" si="36"/>
        <v>0</v>
      </c>
    </row>
    <row r="682" spans="1:9" x14ac:dyDescent="0.15">
      <c r="A682" s="135"/>
      <c r="B682" s="451" t="s">
        <v>922</v>
      </c>
      <c r="C682" s="135" t="s">
        <v>956</v>
      </c>
      <c r="D682" s="141">
        <v>0</v>
      </c>
      <c r="E682" s="141">
        <v>0</v>
      </c>
      <c r="F682" s="141">
        <v>0</v>
      </c>
      <c r="G682" s="285">
        <v>0</v>
      </c>
      <c r="H682" s="147">
        <v>0</v>
      </c>
      <c r="I682" s="495">
        <f t="shared" si="36"/>
        <v>0</v>
      </c>
    </row>
    <row r="683" spans="1:9" x14ac:dyDescent="0.15">
      <c r="A683" s="135"/>
      <c r="B683" s="451" t="s">
        <v>923</v>
      </c>
      <c r="C683" s="135" t="s">
        <v>957</v>
      </c>
      <c r="D683" s="141">
        <v>0</v>
      </c>
      <c r="E683" s="141">
        <v>0</v>
      </c>
      <c r="F683" s="141">
        <v>0</v>
      </c>
      <c r="G683" s="285">
        <v>0</v>
      </c>
      <c r="H683" s="147">
        <v>0</v>
      </c>
      <c r="I683" s="495">
        <f t="shared" si="36"/>
        <v>0</v>
      </c>
    </row>
    <row r="684" spans="1:9" x14ac:dyDescent="0.15">
      <c r="A684" s="135"/>
      <c r="B684" s="451" t="s">
        <v>924</v>
      </c>
      <c r="C684" s="135" t="s">
        <v>958</v>
      </c>
      <c r="D684" s="141">
        <v>0</v>
      </c>
      <c r="E684" s="141">
        <v>0</v>
      </c>
      <c r="F684" s="141">
        <v>0</v>
      </c>
      <c r="G684" s="285">
        <v>0</v>
      </c>
      <c r="H684" s="147">
        <v>0</v>
      </c>
      <c r="I684" s="495">
        <f t="shared" si="36"/>
        <v>0</v>
      </c>
    </row>
    <row r="685" spans="1:9" x14ac:dyDescent="0.15">
      <c r="A685" s="135"/>
      <c r="B685" s="451" t="s">
        <v>925</v>
      </c>
      <c r="C685" s="135" t="s">
        <v>1128</v>
      </c>
      <c r="D685" s="141">
        <v>0</v>
      </c>
      <c r="E685" s="141">
        <v>0</v>
      </c>
      <c r="F685" s="141">
        <v>0</v>
      </c>
      <c r="G685" s="285">
        <v>0</v>
      </c>
      <c r="H685" s="147">
        <v>0</v>
      </c>
      <c r="I685" s="495">
        <f t="shared" si="36"/>
        <v>0</v>
      </c>
    </row>
    <row r="686" spans="1:9" x14ac:dyDescent="0.15">
      <c r="A686" s="135"/>
      <c r="B686" s="451" t="s">
        <v>926</v>
      </c>
      <c r="C686" s="135" t="s">
        <v>1129</v>
      </c>
      <c r="D686" s="141">
        <v>0</v>
      </c>
      <c r="E686" s="141">
        <v>0</v>
      </c>
      <c r="F686" s="141">
        <v>0</v>
      </c>
      <c r="G686" s="285">
        <v>0</v>
      </c>
      <c r="H686" s="147">
        <v>0</v>
      </c>
      <c r="I686" s="495">
        <f t="shared" si="36"/>
        <v>0</v>
      </c>
    </row>
    <row r="687" spans="1:9" x14ac:dyDescent="0.15">
      <c r="A687" s="135"/>
      <c r="B687" s="451" t="s">
        <v>927</v>
      </c>
      <c r="C687" s="135" t="s">
        <v>959</v>
      </c>
      <c r="D687" s="141">
        <v>0</v>
      </c>
      <c r="E687" s="141">
        <v>0</v>
      </c>
      <c r="F687" s="141">
        <v>0</v>
      </c>
      <c r="G687" s="285">
        <v>0</v>
      </c>
      <c r="H687" s="147">
        <v>0</v>
      </c>
      <c r="I687" s="495">
        <f t="shared" si="36"/>
        <v>0</v>
      </c>
    </row>
    <row r="688" spans="1:9" x14ac:dyDescent="0.15">
      <c r="A688" s="135"/>
      <c r="B688" s="451" t="s">
        <v>928</v>
      </c>
      <c r="C688" s="135" t="s">
        <v>961</v>
      </c>
      <c r="D688" s="141">
        <v>0</v>
      </c>
      <c r="E688" s="141">
        <v>0</v>
      </c>
      <c r="F688" s="141">
        <v>0</v>
      </c>
      <c r="G688" s="285">
        <v>0</v>
      </c>
      <c r="H688" s="147">
        <v>0</v>
      </c>
      <c r="I688" s="495">
        <f t="shared" si="36"/>
        <v>0</v>
      </c>
    </row>
    <row r="689" spans="1:9" x14ac:dyDescent="0.15">
      <c r="A689" s="135"/>
      <c r="B689" s="451" t="s">
        <v>962</v>
      </c>
      <c r="C689" s="135" t="s">
        <v>967</v>
      </c>
      <c r="D689" s="141">
        <v>0</v>
      </c>
      <c r="E689" s="141">
        <v>0</v>
      </c>
      <c r="F689" s="141">
        <v>0</v>
      </c>
      <c r="G689" s="285">
        <v>0</v>
      </c>
      <c r="H689" s="147">
        <v>0</v>
      </c>
      <c r="I689" s="495">
        <f t="shared" si="36"/>
        <v>0</v>
      </c>
    </row>
    <row r="690" spans="1:9" x14ac:dyDescent="0.15">
      <c r="A690" s="135"/>
      <c r="B690" s="451" t="s">
        <v>963</v>
      </c>
      <c r="C690" s="135" t="s">
        <v>1093</v>
      </c>
      <c r="D690" s="141">
        <v>0</v>
      </c>
      <c r="E690" s="141">
        <v>0</v>
      </c>
      <c r="F690" s="141">
        <v>0</v>
      </c>
      <c r="G690" s="285">
        <v>0</v>
      </c>
      <c r="H690" s="147">
        <v>0</v>
      </c>
      <c r="I690" s="495">
        <f t="shared" si="36"/>
        <v>0</v>
      </c>
    </row>
    <row r="691" spans="1:9" x14ac:dyDescent="0.15">
      <c r="A691" s="135"/>
      <c r="B691" s="451" t="s">
        <v>964</v>
      </c>
      <c r="C691" s="135" t="s">
        <v>1094</v>
      </c>
      <c r="D691" s="141">
        <v>0</v>
      </c>
      <c r="E691" s="141">
        <v>0</v>
      </c>
      <c r="F691" s="141">
        <v>0</v>
      </c>
      <c r="G691" s="285">
        <v>0</v>
      </c>
      <c r="H691" s="147">
        <v>0</v>
      </c>
      <c r="I691" s="495">
        <f t="shared" si="36"/>
        <v>0</v>
      </c>
    </row>
    <row r="692" spans="1:9" x14ac:dyDescent="0.15">
      <c r="A692" s="135"/>
      <c r="B692" s="451" t="s">
        <v>965</v>
      </c>
      <c r="C692" s="135" t="s">
        <v>1095</v>
      </c>
      <c r="D692" s="141">
        <v>0</v>
      </c>
      <c r="E692" s="141">
        <v>0</v>
      </c>
      <c r="F692" s="141">
        <v>0</v>
      </c>
      <c r="G692" s="285">
        <v>0</v>
      </c>
      <c r="H692" s="147">
        <v>0</v>
      </c>
      <c r="I692" s="495">
        <f t="shared" si="36"/>
        <v>0</v>
      </c>
    </row>
    <row r="693" spans="1:9" x14ac:dyDescent="0.15">
      <c r="A693" s="135"/>
      <c r="B693" s="451" t="s">
        <v>885</v>
      </c>
      <c r="C693" s="135" t="s">
        <v>1096</v>
      </c>
      <c r="D693" s="141">
        <v>0</v>
      </c>
      <c r="E693" s="141">
        <v>0</v>
      </c>
      <c r="F693" s="141">
        <v>0</v>
      </c>
      <c r="G693" s="285">
        <v>0</v>
      </c>
      <c r="H693" s="147">
        <v>0</v>
      </c>
      <c r="I693" s="495">
        <f t="shared" si="36"/>
        <v>0</v>
      </c>
    </row>
    <row r="694" spans="1:9" x14ac:dyDescent="0.15">
      <c r="A694" s="135"/>
      <c r="B694" s="451" t="s">
        <v>966</v>
      </c>
      <c r="C694" s="135" t="s">
        <v>1097</v>
      </c>
      <c r="D694" s="141">
        <v>0</v>
      </c>
      <c r="E694" s="141">
        <v>0</v>
      </c>
      <c r="F694" s="141">
        <v>0</v>
      </c>
      <c r="G694" s="285">
        <v>0</v>
      </c>
      <c r="H694" s="147">
        <v>0</v>
      </c>
      <c r="I694" s="495">
        <f t="shared" si="36"/>
        <v>0</v>
      </c>
    </row>
    <row r="695" spans="1:9" x14ac:dyDescent="0.15">
      <c r="A695" s="135"/>
      <c r="B695" s="451" t="s">
        <v>886</v>
      </c>
      <c r="C695" s="135" t="s">
        <v>1100</v>
      </c>
      <c r="D695" s="141">
        <v>0</v>
      </c>
      <c r="E695" s="141">
        <v>0</v>
      </c>
      <c r="F695" s="141">
        <v>0</v>
      </c>
      <c r="G695" s="285">
        <v>0</v>
      </c>
      <c r="H695" s="147">
        <v>0</v>
      </c>
      <c r="I695" s="495">
        <f t="shared" si="36"/>
        <v>0</v>
      </c>
    </row>
    <row r="696" spans="1:9" x14ac:dyDescent="0.15">
      <c r="A696" s="135"/>
      <c r="B696" s="451" t="s">
        <v>116</v>
      </c>
      <c r="C696" s="135" t="s">
        <v>1105</v>
      </c>
      <c r="D696" s="141">
        <v>0</v>
      </c>
      <c r="E696" s="141">
        <v>0</v>
      </c>
      <c r="F696" s="141">
        <v>0</v>
      </c>
      <c r="G696" s="285">
        <v>0</v>
      </c>
      <c r="H696" s="147">
        <v>0</v>
      </c>
      <c r="I696" s="495">
        <f t="shared" si="36"/>
        <v>0</v>
      </c>
    </row>
    <row r="697" spans="1:9" x14ac:dyDescent="0.15">
      <c r="A697" s="135"/>
      <c r="B697" s="451" t="s">
        <v>112</v>
      </c>
      <c r="C697" s="135" t="s">
        <v>1110</v>
      </c>
      <c r="D697" s="141">
        <v>0</v>
      </c>
      <c r="E697" s="141">
        <v>0</v>
      </c>
      <c r="F697" s="141">
        <v>0</v>
      </c>
      <c r="G697" s="285">
        <v>0</v>
      </c>
      <c r="H697" s="147">
        <v>0</v>
      </c>
      <c r="I697" s="495">
        <f t="shared" si="36"/>
        <v>0</v>
      </c>
    </row>
    <row r="698" spans="1:9" x14ac:dyDescent="0.15">
      <c r="A698" s="135"/>
      <c r="B698" s="451" t="s">
        <v>887</v>
      </c>
      <c r="C698" s="135" t="s">
        <v>1116</v>
      </c>
      <c r="D698" s="141">
        <v>0</v>
      </c>
      <c r="E698" s="141">
        <v>0</v>
      </c>
      <c r="F698" s="141">
        <v>0</v>
      </c>
      <c r="G698" s="285">
        <v>0</v>
      </c>
      <c r="H698" s="147">
        <v>0</v>
      </c>
      <c r="I698" s="495">
        <f t="shared" si="36"/>
        <v>0</v>
      </c>
    </row>
    <row r="699" spans="1:9" x14ac:dyDescent="0.15">
      <c r="A699" s="135"/>
      <c r="B699" s="451" t="s">
        <v>1112</v>
      </c>
      <c r="C699" s="135" t="s">
        <v>1117</v>
      </c>
      <c r="D699" s="141">
        <v>0</v>
      </c>
      <c r="E699" s="141">
        <v>0</v>
      </c>
      <c r="F699" s="141">
        <v>0</v>
      </c>
      <c r="G699" s="285">
        <v>0</v>
      </c>
      <c r="H699" s="147">
        <v>0</v>
      </c>
      <c r="I699" s="495">
        <f t="shared" si="36"/>
        <v>0</v>
      </c>
    </row>
    <row r="700" spans="1:9" x14ac:dyDescent="0.15">
      <c r="A700" s="135"/>
      <c r="B700" s="451" t="s">
        <v>1113</v>
      </c>
      <c r="C700" s="135" t="s">
        <v>1118</v>
      </c>
      <c r="D700" s="141">
        <v>0</v>
      </c>
      <c r="E700" s="141">
        <v>0</v>
      </c>
      <c r="F700" s="141">
        <v>0</v>
      </c>
      <c r="G700" s="285">
        <v>0</v>
      </c>
      <c r="H700" s="147">
        <v>0</v>
      </c>
      <c r="I700" s="495">
        <f t="shared" si="36"/>
        <v>0</v>
      </c>
    </row>
    <row r="701" spans="1:9" ht="11.25" thickBot="1" x14ac:dyDescent="0.2">
      <c r="A701" s="135"/>
      <c r="B701" s="451" t="s">
        <v>1114</v>
      </c>
      <c r="C701" s="135" t="s">
        <v>1119</v>
      </c>
      <c r="D701" s="141">
        <v>0</v>
      </c>
      <c r="E701" s="141">
        <v>0</v>
      </c>
      <c r="F701" s="141">
        <v>0</v>
      </c>
      <c r="G701" s="285">
        <v>0</v>
      </c>
      <c r="H701" s="147">
        <v>0</v>
      </c>
      <c r="I701" s="495">
        <f t="shared" si="36"/>
        <v>0</v>
      </c>
    </row>
    <row r="702" spans="1:9" ht="12" thickTop="1" thickBot="1" x14ac:dyDescent="0.2">
      <c r="A702" s="135"/>
      <c r="B702" s="451"/>
      <c r="C702" s="135" t="s">
        <v>1086</v>
      </c>
      <c r="D702" s="166">
        <f>SUM(D668:D701)</f>
        <v>0</v>
      </c>
      <c r="E702" s="166">
        <f>SUM(E668:E701)</f>
        <v>0</v>
      </c>
      <c r="F702" s="166">
        <f>SUM(F668:F701)</f>
        <v>0</v>
      </c>
      <c r="G702" s="166">
        <f>SUM(G668:G701)</f>
        <v>0</v>
      </c>
      <c r="H702" s="166">
        <f>SUM(H668:H701)</f>
        <v>0</v>
      </c>
      <c r="I702" s="166">
        <f>SUM(G702+H702)</f>
        <v>0</v>
      </c>
    </row>
    <row r="703" spans="1:9" ht="11.25" thickTop="1" x14ac:dyDescent="0.15">
      <c r="A703" s="135"/>
      <c r="B703" s="135"/>
      <c r="C703" s="135"/>
      <c r="D703" s="14"/>
      <c r="E703" s="14"/>
      <c r="F703" s="14"/>
      <c r="G703" s="14"/>
      <c r="H703" s="14"/>
      <c r="I703" s="491"/>
    </row>
    <row r="704" spans="1:9" x14ac:dyDescent="0.15">
      <c r="A704" s="452" t="s">
        <v>1241</v>
      </c>
      <c r="B704" s="135"/>
      <c r="C704" s="135"/>
      <c r="D704" s="14"/>
      <c r="E704" s="14"/>
      <c r="F704" s="14"/>
      <c r="G704" s="14"/>
      <c r="H704" s="14"/>
      <c r="I704" s="491"/>
    </row>
    <row r="705" spans="1:10" s="416" customFormat="1" hidden="1" x14ac:dyDescent="0.15">
      <c r="B705" s="453" t="s">
        <v>880</v>
      </c>
      <c r="C705" s="454" t="s">
        <v>1164</v>
      </c>
      <c r="D705" s="308">
        <v>0</v>
      </c>
      <c r="E705" s="308">
        <v>0</v>
      </c>
      <c r="F705" s="308">
        <v>0</v>
      </c>
      <c r="G705" s="458"/>
      <c r="H705" s="457">
        <v>0</v>
      </c>
      <c r="I705" s="494">
        <f t="shared" ref="I705:I738" si="38">SUM(G705+H705)</f>
        <v>0</v>
      </c>
    </row>
    <row r="706" spans="1:10" s="416" customFormat="1" x14ac:dyDescent="0.15">
      <c r="B706" s="453" t="s">
        <v>880</v>
      </c>
      <c r="C706" s="454" t="s">
        <v>337</v>
      </c>
      <c r="D706" s="308">
        <v>0</v>
      </c>
      <c r="E706" s="308">
        <v>0</v>
      </c>
      <c r="F706" s="308">
        <v>0</v>
      </c>
      <c r="G706" s="308">
        <v>0</v>
      </c>
      <c r="H706" s="457">
        <v>0</v>
      </c>
      <c r="I706" s="494">
        <f t="shared" si="38"/>
        <v>0</v>
      </c>
    </row>
    <row r="707" spans="1:10" s="416" customFormat="1" hidden="1" x14ac:dyDescent="0.15">
      <c r="A707" s="454"/>
      <c r="B707" s="453" t="s">
        <v>881</v>
      </c>
      <c r="C707" s="454" t="s">
        <v>382</v>
      </c>
      <c r="D707" s="308">
        <v>0</v>
      </c>
      <c r="E707" s="308">
        <v>0</v>
      </c>
      <c r="F707" s="308">
        <v>0</v>
      </c>
      <c r="G707" s="459"/>
      <c r="H707" s="457">
        <v>0</v>
      </c>
      <c r="I707" s="494">
        <f t="shared" si="38"/>
        <v>0</v>
      </c>
    </row>
    <row r="708" spans="1:10" x14ac:dyDescent="0.15">
      <c r="A708" s="135"/>
      <c r="B708" s="451" t="s">
        <v>881</v>
      </c>
      <c r="C708" s="135" t="s">
        <v>338</v>
      </c>
      <c r="D708" s="144">
        <v>0</v>
      </c>
      <c r="E708" s="144">
        <v>0</v>
      </c>
      <c r="F708" s="144">
        <v>0</v>
      </c>
      <c r="G708" s="144">
        <v>0</v>
      </c>
      <c r="H708" s="147">
        <v>0</v>
      </c>
      <c r="I708" s="495">
        <f t="shared" si="38"/>
        <v>0</v>
      </c>
      <c r="J708" s="416"/>
    </row>
    <row r="709" spans="1:10" x14ac:dyDescent="0.15">
      <c r="A709" s="135"/>
      <c r="B709" s="451" t="s">
        <v>882</v>
      </c>
      <c r="C709" s="135" t="s">
        <v>1058</v>
      </c>
      <c r="D709" s="141">
        <v>0</v>
      </c>
      <c r="E709" s="141">
        <v>0</v>
      </c>
      <c r="F709" s="141">
        <v>0</v>
      </c>
      <c r="G709" s="285">
        <v>0</v>
      </c>
      <c r="H709" s="147">
        <v>0</v>
      </c>
      <c r="I709" s="495">
        <f t="shared" si="38"/>
        <v>0</v>
      </c>
    </row>
    <row r="710" spans="1:10" x14ac:dyDescent="0.15">
      <c r="A710" s="135"/>
      <c r="B710" s="451" t="s">
        <v>883</v>
      </c>
      <c r="C710" s="135" t="s">
        <v>1059</v>
      </c>
      <c r="D710" s="141">
        <v>0</v>
      </c>
      <c r="E710" s="141">
        <v>0</v>
      </c>
      <c r="F710" s="141">
        <v>0</v>
      </c>
      <c r="G710" s="285">
        <v>0</v>
      </c>
      <c r="H710" s="147">
        <v>0</v>
      </c>
      <c r="I710" s="495">
        <f t="shared" si="38"/>
        <v>0</v>
      </c>
    </row>
    <row r="711" spans="1:10" x14ac:dyDescent="0.15">
      <c r="A711" s="135"/>
      <c r="B711" s="451" t="s">
        <v>1060</v>
      </c>
      <c r="C711" s="135" t="s">
        <v>1061</v>
      </c>
      <c r="D711" s="141">
        <v>0</v>
      </c>
      <c r="E711" s="141">
        <v>0</v>
      </c>
      <c r="F711" s="141">
        <v>0</v>
      </c>
      <c r="G711" s="285">
        <v>0</v>
      </c>
      <c r="H711" s="147">
        <v>0</v>
      </c>
      <c r="I711" s="495">
        <f t="shared" si="38"/>
        <v>0</v>
      </c>
    </row>
    <row r="712" spans="1:10" x14ac:dyDescent="0.15">
      <c r="A712" s="135"/>
      <c r="B712" s="451" t="s">
        <v>1062</v>
      </c>
      <c r="C712" s="135" t="s">
        <v>1063</v>
      </c>
      <c r="D712" s="141">
        <v>0</v>
      </c>
      <c r="E712" s="141">
        <v>0</v>
      </c>
      <c r="F712" s="141">
        <v>0</v>
      </c>
      <c r="G712" s="285">
        <v>0</v>
      </c>
      <c r="H712" s="147">
        <v>0</v>
      </c>
      <c r="I712" s="495">
        <f t="shared" si="38"/>
        <v>0</v>
      </c>
    </row>
    <row r="713" spans="1:10" x14ac:dyDescent="0.15">
      <c r="A713" s="135"/>
      <c r="B713" s="451" t="s">
        <v>884</v>
      </c>
      <c r="C713" s="135" t="s">
        <v>1064</v>
      </c>
      <c r="D713" s="141">
        <v>0</v>
      </c>
      <c r="E713" s="141">
        <v>0</v>
      </c>
      <c r="F713" s="141">
        <v>0</v>
      </c>
      <c r="G713" s="285">
        <v>0</v>
      </c>
      <c r="H713" s="147">
        <v>0</v>
      </c>
      <c r="I713" s="495">
        <f t="shared" si="38"/>
        <v>0</v>
      </c>
    </row>
    <row r="714" spans="1:10" x14ac:dyDescent="0.15">
      <c r="A714" s="135"/>
      <c r="B714" s="451" t="s">
        <v>1067</v>
      </c>
      <c r="C714" s="135" t="s">
        <v>1074</v>
      </c>
      <c r="D714" s="141">
        <v>0</v>
      </c>
      <c r="E714" s="141">
        <v>0</v>
      </c>
      <c r="F714" s="141">
        <v>0</v>
      </c>
      <c r="G714" s="285">
        <v>0</v>
      </c>
      <c r="H714" s="147">
        <v>0</v>
      </c>
      <c r="I714" s="495">
        <f t="shared" si="38"/>
        <v>0</v>
      </c>
    </row>
    <row r="715" spans="1:10" x14ac:dyDescent="0.15">
      <c r="A715" s="135"/>
      <c r="B715" s="451" t="s">
        <v>1068</v>
      </c>
      <c r="C715" s="135" t="s">
        <v>1075</v>
      </c>
      <c r="D715" s="141">
        <v>0</v>
      </c>
      <c r="E715" s="141">
        <v>0</v>
      </c>
      <c r="F715" s="141">
        <v>0</v>
      </c>
      <c r="G715" s="285">
        <v>0</v>
      </c>
      <c r="H715" s="147">
        <v>0</v>
      </c>
      <c r="I715" s="495">
        <f t="shared" si="38"/>
        <v>0</v>
      </c>
    </row>
    <row r="716" spans="1:10" x14ac:dyDescent="0.15">
      <c r="A716" s="135"/>
      <c r="B716" s="451" t="s">
        <v>1072</v>
      </c>
      <c r="C716" s="135" t="s">
        <v>920</v>
      </c>
      <c r="D716" s="141">
        <v>0</v>
      </c>
      <c r="E716" s="141">
        <v>0</v>
      </c>
      <c r="F716" s="141">
        <v>0</v>
      </c>
      <c r="G716" s="285">
        <v>0</v>
      </c>
      <c r="H716" s="147">
        <v>0</v>
      </c>
      <c r="I716" s="495">
        <f t="shared" si="38"/>
        <v>0</v>
      </c>
    </row>
    <row r="717" spans="1:10" x14ac:dyDescent="0.15">
      <c r="A717" s="135"/>
      <c r="B717" s="716" t="s">
        <v>155</v>
      </c>
      <c r="C717" s="703" t="s">
        <v>178</v>
      </c>
      <c r="D717" s="141">
        <v>0</v>
      </c>
      <c r="E717" s="141">
        <v>0</v>
      </c>
      <c r="F717" s="141">
        <v>0</v>
      </c>
      <c r="G717" s="285">
        <v>0</v>
      </c>
      <c r="H717" s="147">
        <v>0</v>
      </c>
      <c r="I717" s="495">
        <f t="shared" ref="I717" si="39">SUM(G717+H717)</f>
        <v>0</v>
      </c>
    </row>
    <row r="718" spans="1:10" x14ac:dyDescent="0.15">
      <c r="A718" s="135"/>
      <c r="B718" s="451" t="s">
        <v>921</v>
      </c>
      <c r="C718" s="135" t="s">
        <v>955</v>
      </c>
      <c r="D718" s="141">
        <v>0</v>
      </c>
      <c r="E718" s="141">
        <v>0</v>
      </c>
      <c r="F718" s="141">
        <v>0</v>
      </c>
      <c r="G718" s="285">
        <v>0</v>
      </c>
      <c r="H718" s="147">
        <v>0</v>
      </c>
      <c r="I718" s="495">
        <f t="shared" si="38"/>
        <v>0</v>
      </c>
    </row>
    <row r="719" spans="1:10" x14ac:dyDescent="0.15">
      <c r="A719" s="135"/>
      <c r="B719" s="451" t="s">
        <v>922</v>
      </c>
      <c r="C719" s="135" t="s">
        <v>956</v>
      </c>
      <c r="D719" s="141">
        <v>0</v>
      </c>
      <c r="E719" s="141">
        <v>0</v>
      </c>
      <c r="F719" s="141">
        <v>0</v>
      </c>
      <c r="G719" s="285">
        <v>0</v>
      </c>
      <c r="H719" s="147">
        <v>0</v>
      </c>
      <c r="I719" s="495">
        <f t="shared" si="38"/>
        <v>0</v>
      </c>
    </row>
    <row r="720" spans="1:10" x14ac:dyDescent="0.15">
      <c r="A720" s="135"/>
      <c r="B720" s="451" t="s">
        <v>923</v>
      </c>
      <c r="C720" s="135" t="s">
        <v>957</v>
      </c>
      <c r="D720" s="141">
        <v>0</v>
      </c>
      <c r="E720" s="141">
        <v>0</v>
      </c>
      <c r="F720" s="141">
        <v>0</v>
      </c>
      <c r="G720" s="285">
        <v>0</v>
      </c>
      <c r="H720" s="147">
        <v>0</v>
      </c>
      <c r="I720" s="495">
        <f t="shared" si="38"/>
        <v>0</v>
      </c>
    </row>
    <row r="721" spans="1:9" x14ac:dyDescent="0.15">
      <c r="A721" s="135"/>
      <c r="B721" s="451" t="s">
        <v>924</v>
      </c>
      <c r="C721" s="135" t="s">
        <v>958</v>
      </c>
      <c r="D721" s="141">
        <v>0</v>
      </c>
      <c r="E721" s="141">
        <v>0</v>
      </c>
      <c r="F721" s="141">
        <v>0</v>
      </c>
      <c r="G721" s="285">
        <v>0</v>
      </c>
      <c r="H721" s="147">
        <v>0</v>
      </c>
      <c r="I721" s="495">
        <f t="shared" si="38"/>
        <v>0</v>
      </c>
    </row>
    <row r="722" spans="1:9" x14ac:dyDescent="0.15">
      <c r="A722" s="135"/>
      <c r="B722" s="451" t="s">
        <v>925</v>
      </c>
      <c r="C722" s="135" t="s">
        <v>1128</v>
      </c>
      <c r="D722" s="141">
        <v>0</v>
      </c>
      <c r="E722" s="141">
        <v>0</v>
      </c>
      <c r="F722" s="141">
        <v>0</v>
      </c>
      <c r="G722" s="285">
        <v>0</v>
      </c>
      <c r="H722" s="147">
        <v>0</v>
      </c>
      <c r="I722" s="495">
        <f t="shared" si="38"/>
        <v>0</v>
      </c>
    </row>
    <row r="723" spans="1:9" x14ac:dyDescent="0.15">
      <c r="A723" s="135"/>
      <c r="B723" s="451" t="s">
        <v>926</v>
      </c>
      <c r="C723" s="135" t="s">
        <v>1129</v>
      </c>
      <c r="D723" s="141">
        <v>0</v>
      </c>
      <c r="E723" s="141">
        <v>0</v>
      </c>
      <c r="F723" s="141">
        <v>0</v>
      </c>
      <c r="G723" s="285">
        <v>0</v>
      </c>
      <c r="H723" s="147">
        <v>0</v>
      </c>
      <c r="I723" s="495">
        <f t="shared" si="38"/>
        <v>0</v>
      </c>
    </row>
    <row r="724" spans="1:9" x14ac:dyDescent="0.15">
      <c r="A724" s="135"/>
      <c r="B724" s="451" t="s">
        <v>927</v>
      </c>
      <c r="C724" s="135" t="s">
        <v>959</v>
      </c>
      <c r="D724" s="141">
        <v>0</v>
      </c>
      <c r="E724" s="141">
        <v>0</v>
      </c>
      <c r="F724" s="141">
        <v>0</v>
      </c>
      <c r="G724" s="285">
        <v>0</v>
      </c>
      <c r="H724" s="147">
        <v>0</v>
      </c>
      <c r="I724" s="495">
        <f t="shared" si="38"/>
        <v>0</v>
      </c>
    </row>
    <row r="725" spans="1:9" x14ac:dyDescent="0.15">
      <c r="A725" s="135"/>
      <c r="B725" s="451" t="s">
        <v>928</v>
      </c>
      <c r="C725" s="135" t="s">
        <v>961</v>
      </c>
      <c r="D725" s="141">
        <v>0</v>
      </c>
      <c r="E725" s="141">
        <v>0</v>
      </c>
      <c r="F725" s="141">
        <v>0</v>
      </c>
      <c r="G725" s="285">
        <v>0</v>
      </c>
      <c r="H725" s="147">
        <v>0</v>
      </c>
      <c r="I725" s="495">
        <f t="shared" si="38"/>
        <v>0</v>
      </c>
    </row>
    <row r="726" spans="1:9" x14ac:dyDescent="0.15">
      <c r="A726" s="135"/>
      <c r="B726" s="451" t="s">
        <v>962</v>
      </c>
      <c r="C726" s="135" t="s">
        <v>967</v>
      </c>
      <c r="D726" s="141">
        <v>0</v>
      </c>
      <c r="E726" s="141">
        <v>0</v>
      </c>
      <c r="F726" s="141">
        <v>0</v>
      </c>
      <c r="G726" s="285">
        <v>0</v>
      </c>
      <c r="H726" s="147">
        <v>0</v>
      </c>
      <c r="I726" s="495">
        <f t="shared" si="38"/>
        <v>0</v>
      </c>
    </row>
    <row r="727" spans="1:9" x14ac:dyDescent="0.15">
      <c r="A727" s="135"/>
      <c r="B727" s="451" t="s">
        <v>963</v>
      </c>
      <c r="C727" s="135" t="s">
        <v>1093</v>
      </c>
      <c r="D727" s="141">
        <v>0</v>
      </c>
      <c r="E727" s="141">
        <v>0</v>
      </c>
      <c r="F727" s="141">
        <v>0</v>
      </c>
      <c r="G727" s="285">
        <v>0</v>
      </c>
      <c r="H727" s="147">
        <v>0</v>
      </c>
      <c r="I727" s="495">
        <f t="shared" si="38"/>
        <v>0</v>
      </c>
    </row>
    <row r="728" spans="1:9" x14ac:dyDescent="0.15">
      <c r="A728" s="135"/>
      <c r="B728" s="451" t="s">
        <v>964</v>
      </c>
      <c r="C728" s="135" t="s">
        <v>1094</v>
      </c>
      <c r="D728" s="141">
        <v>0</v>
      </c>
      <c r="E728" s="141">
        <v>0</v>
      </c>
      <c r="F728" s="141">
        <v>0</v>
      </c>
      <c r="G728" s="285">
        <v>0</v>
      </c>
      <c r="H728" s="147">
        <v>0</v>
      </c>
      <c r="I728" s="495">
        <f t="shared" si="38"/>
        <v>0</v>
      </c>
    </row>
    <row r="729" spans="1:9" x14ac:dyDescent="0.15">
      <c r="A729" s="135"/>
      <c r="B729" s="451" t="s">
        <v>965</v>
      </c>
      <c r="C729" s="135" t="s">
        <v>1095</v>
      </c>
      <c r="D729" s="141">
        <v>0</v>
      </c>
      <c r="E729" s="141">
        <v>0</v>
      </c>
      <c r="F729" s="141">
        <v>0</v>
      </c>
      <c r="G729" s="285">
        <v>0</v>
      </c>
      <c r="H729" s="147">
        <v>0</v>
      </c>
      <c r="I729" s="495">
        <f t="shared" si="38"/>
        <v>0</v>
      </c>
    </row>
    <row r="730" spans="1:9" x14ac:dyDescent="0.15">
      <c r="A730" s="135"/>
      <c r="B730" s="451" t="s">
        <v>885</v>
      </c>
      <c r="C730" s="135" t="s">
        <v>1096</v>
      </c>
      <c r="D730" s="141">
        <v>0</v>
      </c>
      <c r="E730" s="141">
        <v>0</v>
      </c>
      <c r="F730" s="141">
        <v>0</v>
      </c>
      <c r="G730" s="285">
        <v>0</v>
      </c>
      <c r="H730" s="147">
        <v>0</v>
      </c>
      <c r="I730" s="495">
        <f t="shared" si="38"/>
        <v>0</v>
      </c>
    </row>
    <row r="731" spans="1:9" x14ac:dyDescent="0.15">
      <c r="A731" s="135"/>
      <c r="B731" s="451" t="s">
        <v>966</v>
      </c>
      <c r="C731" s="135" t="s">
        <v>1097</v>
      </c>
      <c r="D731" s="141">
        <v>0</v>
      </c>
      <c r="E731" s="141">
        <v>0</v>
      </c>
      <c r="F731" s="141">
        <v>0</v>
      </c>
      <c r="G731" s="285">
        <v>0</v>
      </c>
      <c r="H731" s="147">
        <v>0</v>
      </c>
      <c r="I731" s="495">
        <f t="shared" si="38"/>
        <v>0</v>
      </c>
    </row>
    <row r="732" spans="1:9" x14ac:dyDescent="0.15">
      <c r="A732" s="135"/>
      <c r="B732" s="451" t="s">
        <v>886</v>
      </c>
      <c r="C732" s="135" t="s">
        <v>1100</v>
      </c>
      <c r="D732" s="141">
        <v>0</v>
      </c>
      <c r="E732" s="141">
        <v>0</v>
      </c>
      <c r="F732" s="141">
        <v>0</v>
      </c>
      <c r="G732" s="285">
        <v>0</v>
      </c>
      <c r="H732" s="147">
        <v>0</v>
      </c>
      <c r="I732" s="495">
        <f t="shared" si="38"/>
        <v>0</v>
      </c>
    </row>
    <row r="733" spans="1:9" x14ac:dyDescent="0.15">
      <c r="A733" s="135"/>
      <c r="B733" s="451" t="s">
        <v>116</v>
      </c>
      <c r="C733" s="135" t="s">
        <v>1105</v>
      </c>
      <c r="D733" s="141">
        <v>0</v>
      </c>
      <c r="E733" s="141">
        <v>0</v>
      </c>
      <c r="F733" s="141">
        <v>0</v>
      </c>
      <c r="G733" s="285">
        <v>0</v>
      </c>
      <c r="H733" s="147">
        <v>0</v>
      </c>
      <c r="I733" s="495">
        <f t="shared" si="38"/>
        <v>0</v>
      </c>
    </row>
    <row r="734" spans="1:9" x14ac:dyDescent="0.15">
      <c r="A734" s="135"/>
      <c r="B734" s="451" t="s">
        <v>112</v>
      </c>
      <c r="C734" s="135" t="s">
        <v>1110</v>
      </c>
      <c r="D734" s="141">
        <v>0</v>
      </c>
      <c r="E734" s="141">
        <v>0</v>
      </c>
      <c r="F734" s="141">
        <v>0</v>
      </c>
      <c r="G734" s="285">
        <v>0</v>
      </c>
      <c r="H734" s="147">
        <v>0</v>
      </c>
      <c r="I734" s="495">
        <f t="shared" si="38"/>
        <v>0</v>
      </c>
    </row>
    <row r="735" spans="1:9" x14ac:dyDescent="0.15">
      <c r="A735" s="135"/>
      <c r="B735" s="451" t="s">
        <v>887</v>
      </c>
      <c r="C735" s="135" t="s">
        <v>1116</v>
      </c>
      <c r="D735" s="141">
        <v>0</v>
      </c>
      <c r="E735" s="141">
        <v>0</v>
      </c>
      <c r="F735" s="141">
        <v>0</v>
      </c>
      <c r="G735" s="285">
        <v>0</v>
      </c>
      <c r="H735" s="147">
        <v>0</v>
      </c>
      <c r="I735" s="495">
        <f t="shared" si="38"/>
        <v>0</v>
      </c>
    </row>
    <row r="736" spans="1:9" x14ac:dyDescent="0.15">
      <c r="A736" s="135"/>
      <c r="B736" s="451" t="s">
        <v>1112</v>
      </c>
      <c r="C736" s="135" t="s">
        <v>1117</v>
      </c>
      <c r="D736" s="141">
        <v>0</v>
      </c>
      <c r="E736" s="141">
        <v>0</v>
      </c>
      <c r="F736" s="141">
        <v>0</v>
      </c>
      <c r="G736" s="285">
        <v>0</v>
      </c>
      <c r="H736" s="147">
        <v>0</v>
      </c>
      <c r="I736" s="495">
        <f t="shared" si="38"/>
        <v>0</v>
      </c>
    </row>
    <row r="737" spans="1:10" x14ac:dyDescent="0.15">
      <c r="A737" s="135"/>
      <c r="B737" s="451" t="s">
        <v>1113</v>
      </c>
      <c r="C737" s="135" t="s">
        <v>1118</v>
      </c>
      <c r="D737" s="141">
        <v>0</v>
      </c>
      <c r="E737" s="141">
        <v>0</v>
      </c>
      <c r="F737" s="141">
        <v>0</v>
      </c>
      <c r="G737" s="285">
        <v>0</v>
      </c>
      <c r="H737" s="147">
        <v>0</v>
      </c>
      <c r="I737" s="495">
        <f t="shared" si="38"/>
        <v>0</v>
      </c>
    </row>
    <row r="738" spans="1:10" ht="11.25" thickBot="1" x14ac:dyDescent="0.2">
      <c r="A738" s="135"/>
      <c r="B738" s="451" t="s">
        <v>1114</v>
      </c>
      <c r="C738" s="135" t="s">
        <v>1119</v>
      </c>
      <c r="D738" s="141">
        <v>0</v>
      </c>
      <c r="E738" s="141">
        <v>0</v>
      </c>
      <c r="F738" s="141">
        <v>0</v>
      </c>
      <c r="G738" s="285">
        <v>0</v>
      </c>
      <c r="H738" s="147">
        <v>0</v>
      </c>
      <c r="I738" s="495">
        <f t="shared" si="38"/>
        <v>0</v>
      </c>
    </row>
    <row r="739" spans="1:10" ht="12" thickTop="1" thickBot="1" x14ac:dyDescent="0.2">
      <c r="A739" s="135"/>
      <c r="B739" s="451"/>
      <c r="C739" s="135" t="s">
        <v>1276</v>
      </c>
      <c r="D739" s="166">
        <f>SUM(D705:D738)</f>
        <v>0</v>
      </c>
      <c r="E739" s="166">
        <f>SUM(E705:E738)</f>
        <v>0</v>
      </c>
      <c r="F739" s="166">
        <f>SUM(F705:F738)</f>
        <v>0</v>
      </c>
      <c r="G739" s="166">
        <f>SUM(G705:G738)</f>
        <v>0</v>
      </c>
      <c r="H739" s="166">
        <f>SUM(H705:H738)</f>
        <v>0</v>
      </c>
      <c r="I739" s="166">
        <f>SUM(G739+H739)</f>
        <v>0</v>
      </c>
    </row>
    <row r="740" spans="1:10" ht="11.25" thickTop="1" x14ac:dyDescent="0.15">
      <c r="A740" s="135"/>
      <c r="B740" s="135"/>
      <c r="C740" s="135"/>
      <c r="D740" s="14"/>
      <c r="E740" s="14"/>
      <c r="F740" s="14"/>
      <c r="G740" s="14"/>
      <c r="H740" s="14"/>
      <c r="I740" s="491"/>
    </row>
    <row r="741" spans="1:10" x14ac:dyDescent="0.15">
      <c r="A741" s="452" t="s">
        <v>1277</v>
      </c>
      <c r="B741" s="135"/>
      <c r="C741" s="135"/>
      <c r="D741" s="14"/>
      <c r="E741" s="14"/>
      <c r="F741" s="14"/>
      <c r="G741" s="14"/>
      <c r="H741" s="14"/>
      <c r="I741" s="491"/>
    </row>
    <row r="742" spans="1:10" s="416" customFormat="1" hidden="1" x14ac:dyDescent="0.15">
      <c r="B742" s="453" t="s">
        <v>880</v>
      </c>
      <c r="C742" s="454" t="s">
        <v>1164</v>
      </c>
      <c r="D742" s="308">
        <v>0</v>
      </c>
      <c r="E742" s="308">
        <v>0</v>
      </c>
      <c r="F742" s="308">
        <v>0</v>
      </c>
      <c r="G742" s="458"/>
      <c r="H742" s="457">
        <v>0</v>
      </c>
      <c r="I742" s="494">
        <f t="shared" ref="I742:I775" si="40">SUM(G742+H742)</f>
        <v>0</v>
      </c>
    </row>
    <row r="743" spans="1:10" s="416" customFormat="1" x14ac:dyDescent="0.15">
      <c r="B743" s="453" t="s">
        <v>880</v>
      </c>
      <c r="C743" s="454" t="s">
        <v>337</v>
      </c>
      <c r="D743" s="308">
        <v>0</v>
      </c>
      <c r="E743" s="308">
        <v>0</v>
      </c>
      <c r="F743" s="308">
        <v>0</v>
      </c>
      <c r="G743" s="308">
        <v>0</v>
      </c>
      <c r="H743" s="457">
        <v>0</v>
      </c>
      <c r="I743" s="494">
        <f t="shared" si="40"/>
        <v>0</v>
      </c>
    </row>
    <row r="744" spans="1:10" s="416" customFormat="1" hidden="1" x14ac:dyDescent="0.15">
      <c r="A744" s="454"/>
      <c r="B744" s="453" t="s">
        <v>881</v>
      </c>
      <c r="C744" s="454" t="s">
        <v>382</v>
      </c>
      <c r="D744" s="308">
        <v>0</v>
      </c>
      <c r="E744" s="308">
        <v>0</v>
      </c>
      <c r="F744" s="308">
        <v>0</v>
      </c>
      <c r="G744" s="459"/>
      <c r="H744" s="457">
        <v>0</v>
      </c>
      <c r="I744" s="494">
        <f t="shared" si="40"/>
        <v>0</v>
      </c>
    </row>
    <row r="745" spans="1:10" x14ac:dyDescent="0.15">
      <c r="A745" s="135"/>
      <c r="B745" s="451" t="s">
        <v>881</v>
      </c>
      <c r="C745" s="135" t="s">
        <v>338</v>
      </c>
      <c r="D745" s="144">
        <v>0</v>
      </c>
      <c r="E745" s="144">
        <v>0</v>
      </c>
      <c r="F745" s="144">
        <v>0</v>
      </c>
      <c r="G745" s="144">
        <v>0</v>
      </c>
      <c r="H745" s="147">
        <v>0</v>
      </c>
      <c r="I745" s="495">
        <f t="shared" si="40"/>
        <v>0</v>
      </c>
      <c r="J745" s="416"/>
    </row>
    <row r="746" spans="1:10" x14ac:dyDescent="0.15">
      <c r="A746" s="135"/>
      <c r="B746" s="451" t="s">
        <v>882</v>
      </c>
      <c r="C746" s="135" t="s">
        <v>1058</v>
      </c>
      <c r="D746" s="141">
        <v>0</v>
      </c>
      <c r="E746" s="141">
        <v>0</v>
      </c>
      <c r="F746" s="141">
        <v>0</v>
      </c>
      <c r="G746" s="285">
        <v>0</v>
      </c>
      <c r="H746" s="147">
        <v>0</v>
      </c>
      <c r="I746" s="495">
        <f t="shared" si="40"/>
        <v>0</v>
      </c>
    </row>
    <row r="747" spans="1:10" x14ac:dyDescent="0.15">
      <c r="A747" s="135"/>
      <c r="B747" s="451" t="s">
        <v>883</v>
      </c>
      <c r="C747" s="135" t="s">
        <v>1059</v>
      </c>
      <c r="D747" s="141">
        <v>0</v>
      </c>
      <c r="E747" s="141">
        <v>0</v>
      </c>
      <c r="F747" s="141">
        <v>0</v>
      </c>
      <c r="G747" s="285">
        <v>0</v>
      </c>
      <c r="H747" s="147">
        <v>0</v>
      </c>
      <c r="I747" s="495">
        <f t="shared" si="40"/>
        <v>0</v>
      </c>
    </row>
    <row r="748" spans="1:10" x14ac:dyDescent="0.15">
      <c r="A748" s="135"/>
      <c r="B748" s="451" t="s">
        <v>1060</v>
      </c>
      <c r="C748" s="135" t="s">
        <v>1061</v>
      </c>
      <c r="D748" s="141">
        <v>0</v>
      </c>
      <c r="E748" s="141">
        <v>0</v>
      </c>
      <c r="F748" s="141">
        <v>0</v>
      </c>
      <c r="G748" s="285">
        <v>0</v>
      </c>
      <c r="H748" s="147">
        <v>0</v>
      </c>
      <c r="I748" s="495">
        <f t="shared" si="40"/>
        <v>0</v>
      </c>
    </row>
    <row r="749" spans="1:10" x14ac:dyDescent="0.15">
      <c r="A749" s="135"/>
      <c r="B749" s="451" t="s">
        <v>1062</v>
      </c>
      <c r="C749" s="135" t="s">
        <v>1063</v>
      </c>
      <c r="D749" s="141">
        <v>0</v>
      </c>
      <c r="E749" s="141">
        <v>0</v>
      </c>
      <c r="F749" s="141">
        <v>0</v>
      </c>
      <c r="G749" s="285">
        <v>0</v>
      </c>
      <c r="H749" s="147">
        <v>0</v>
      </c>
      <c r="I749" s="495">
        <f t="shared" si="40"/>
        <v>0</v>
      </c>
    </row>
    <row r="750" spans="1:10" x14ac:dyDescent="0.15">
      <c r="A750" s="135"/>
      <c r="B750" s="451" t="s">
        <v>884</v>
      </c>
      <c r="C750" s="135" t="s">
        <v>1064</v>
      </c>
      <c r="D750" s="141">
        <v>0</v>
      </c>
      <c r="E750" s="141">
        <v>0</v>
      </c>
      <c r="F750" s="141">
        <v>0</v>
      </c>
      <c r="G750" s="285">
        <v>0</v>
      </c>
      <c r="H750" s="147">
        <v>0</v>
      </c>
      <c r="I750" s="495">
        <f t="shared" si="40"/>
        <v>0</v>
      </c>
    </row>
    <row r="751" spans="1:10" x14ac:dyDescent="0.15">
      <c r="A751" s="135"/>
      <c r="B751" s="451" t="s">
        <v>1067</v>
      </c>
      <c r="C751" s="135" t="s">
        <v>1074</v>
      </c>
      <c r="D751" s="141">
        <v>0</v>
      </c>
      <c r="E751" s="141">
        <v>0</v>
      </c>
      <c r="F751" s="141">
        <v>0</v>
      </c>
      <c r="G751" s="285">
        <v>0</v>
      </c>
      <c r="H751" s="147">
        <v>0</v>
      </c>
      <c r="I751" s="495">
        <f t="shared" si="40"/>
        <v>0</v>
      </c>
    </row>
    <row r="752" spans="1:10" x14ac:dyDescent="0.15">
      <c r="A752" s="135"/>
      <c r="B752" s="451" t="s">
        <v>1068</v>
      </c>
      <c r="C752" s="135" t="s">
        <v>1075</v>
      </c>
      <c r="D752" s="141">
        <v>0</v>
      </c>
      <c r="E752" s="141">
        <v>0</v>
      </c>
      <c r="F752" s="141">
        <v>0</v>
      </c>
      <c r="G752" s="285">
        <v>0</v>
      </c>
      <c r="H752" s="147">
        <v>0</v>
      </c>
      <c r="I752" s="495">
        <f t="shared" si="40"/>
        <v>0</v>
      </c>
    </row>
    <row r="753" spans="1:9" x14ac:dyDescent="0.15">
      <c r="A753" s="135"/>
      <c r="B753" s="451" t="s">
        <v>1072</v>
      </c>
      <c r="C753" s="135" t="s">
        <v>920</v>
      </c>
      <c r="D753" s="141">
        <v>0</v>
      </c>
      <c r="E753" s="141">
        <v>0</v>
      </c>
      <c r="F753" s="141">
        <v>0</v>
      </c>
      <c r="G753" s="285">
        <v>0</v>
      </c>
      <c r="H753" s="147">
        <v>0</v>
      </c>
      <c r="I753" s="495">
        <f t="shared" si="40"/>
        <v>0</v>
      </c>
    </row>
    <row r="754" spans="1:9" x14ac:dyDescent="0.15">
      <c r="A754" s="135"/>
      <c r="B754" s="716" t="s">
        <v>155</v>
      </c>
      <c r="C754" s="703" t="s">
        <v>178</v>
      </c>
      <c r="D754" s="141">
        <v>0</v>
      </c>
      <c r="E754" s="141">
        <v>0</v>
      </c>
      <c r="F754" s="141">
        <v>0</v>
      </c>
      <c r="G754" s="285">
        <v>0</v>
      </c>
      <c r="H754" s="147">
        <v>0</v>
      </c>
      <c r="I754" s="495">
        <f t="shared" ref="I754" si="41">SUM(G754+H754)</f>
        <v>0</v>
      </c>
    </row>
    <row r="755" spans="1:9" x14ac:dyDescent="0.15">
      <c r="A755" s="135"/>
      <c r="B755" s="451" t="s">
        <v>921</v>
      </c>
      <c r="C755" s="135" t="s">
        <v>955</v>
      </c>
      <c r="D755" s="141">
        <v>0</v>
      </c>
      <c r="E755" s="141">
        <v>0</v>
      </c>
      <c r="F755" s="141">
        <v>0</v>
      </c>
      <c r="G755" s="285">
        <v>0</v>
      </c>
      <c r="H755" s="147">
        <v>0</v>
      </c>
      <c r="I755" s="495">
        <f t="shared" si="40"/>
        <v>0</v>
      </c>
    </row>
    <row r="756" spans="1:9" x14ac:dyDescent="0.15">
      <c r="A756" s="135"/>
      <c r="B756" s="451" t="s">
        <v>922</v>
      </c>
      <c r="C756" s="135" t="s">
        <v>956</v>
      </c>
      <c r="D756" s="141">
        <v>0</v>
      </c>
      <c r="E756" s="141">
        <v>0</v>
      </c>
      <c r="F756" s="141">
        <v>0</v>
      </c>
      <c r="G756" s="285">
        <v>0</v>
      </c>
      <c r="H756" s="147">
        <v>0</v>
      </c>
      <c r="I756" s="495">
        <f t="shared" si="40"/>
        <v>0</v>
      </c>
    </row>
    <row r="757" spans="1:9" x14ac:dyDescent="0.15">
      <c r="A757" s="135"/>
      <c r="B757" s="451" t="s">
        <v>923</v>
      </c>
      <c r="C757" s="135" t="s">
        <v>957</v>
      </c>
      <c r="D757" s="141">
        <v>0</v>
      </c>
      <c r="E757" s="141">
        <v>0</v>
      </c>
      <c r="F757" s="141">
        <v>0</v>
      </c>
      <c r="G757" s="285">
        <v>0</v>
      </c>
      <c r="H757" s="147">
        <v>0</v>
      </c>
      <c r="I757" s="495">
        <f t="shared" si="40"/>
        <v>0</v>
      </c>
    </row>
    <row r="758" spans="1:9" x14ac:dyDescent="0.15">
      <c r="A758" s="135"/>
      <c r="B758" s="451" t="s">
        <v>924</v>
      </c>
      <c r="C758" s="135" t="s">
        <v>958</v>
      </c>
      <c r="D758" s="141">
        <v>0</v>
      </c>
      <c r="E758" s="141">
        <v>0</v>
      </c>
      <c r="F758" s="141">
        <v>0</v>
      </c>
      <c r="G758" s="285">
        <v>0</v>
      </c>
      <c r="H758" s="147">
        <v>0</v>
      </c>
      <c r="I758" s="495">
        <f t="shared" si="40"/>
        <v>0</v>
      </c>
    </row>
    <row r="759" spans="1:9" x14ac:dyDescent="0.15">
      <c r="A759" s="135"/>
      <c r="B759" s="451" t="s">
        <v>925</v>
      </c>
      <c r="C759" s="135" t="s">
        <v>1128</v>
      </c>
      <c r="D759" s="141">
        <v>0</v>
      </c>
      <c r="E759" s="141">
        <v>0</v>
      </c>
      <c r="F759" s="141">
        <v>0</v>
      </c>
      <c r="G759" s="285">
        <v>0</v>
      </c>
      <c r="H759" s="147">
        <v>0</v>
      </c>
      <c r="I759" s="495">
        <f t="shared" si="40"/>
        <v>0</v>
      </c>
    </row>
    <row r="760" spans="1:9" x14ac:dyDescent="0.15">
      <c r="A760" s="135"/>
      <c r="B760" s="451" t="s">
        <v>926</v>
      </c>
      <c r="C760" s="135" t="s">
        <v>1129</v>
      </c>
      <c r="D760" s="141">
        <v>0</v>
      </c>
      <c r="E760" s="141">
        <v>0</v>
      </c>
      <c r="F760" s="141">
        <v>0</v>
      </c>
      <c r="G760" s="285">
        <v>0</v>
      </c>
      <c r="H760" s="147">
        <v>0</v>
      </c>
      <c r="I760" s="495">
        <f t="shared" si="40"/>
        <v>0</v>
      </c>
    </row>
    <row r="761" spans="1:9" x14ac:dyDescent="0.15">
      <c r="A761" s="135"/>
      <c r="B761" s="451" t="s">
        <v>927</v>
      </c>
      <c r="C761" s="135" t="s">
        <v>959</v>
      </c>
      <c r="D761" s="141">
        <v>0</v>
      </c>
      <c r="E761" s="141">
        <v>0</v>
      </c>
      <c r="F761" s="141">
        <v>0</v>
      </c>
      <c r="G761" s="285">
        <v>0</v>
      </c>
      <c r="H761" s="147">
        <v>0</v>
      </c>
      <c r="I761" s="495">
        <f t="shared" si="40"/>
        <v>0</v>
      </c>
    </row>
    <row r="762" spans="1:9" x14ac:dyDescent="0.15">
      <c r="A762" s="135"/>
      <c r="B762" s="451" t="s">
        <v>928</v>
      </c>
      <c r="C762" s="135" t="s">
        <v>961</v>
      </c>
      <c r="D762" s="141">
        <v>0</v>
      </c>
      <c r="E762" s="141">
        <v>0</v>
      </c>
      <c r="F762" s="141">
        <v>0</v>
      </c>
      <c r="G762" s="285">
        <v>0</v>
      </c>
      <c r="H762" s="147">
        <v>0</v>
      </c>
      <c r="I762" s="495">
        <f t="shared" si="40"/>
        <v>0</v>
      </c>
    </row>
    <row r="763" spans="1:9" x14ac:dyDescent="0.15">
      <c r="A763" s="135"/>
      <c r="B763" s="451" t="s">
        <v>962</v>
      </c>
      <c r="C763" s="135" t="s">
        <v>967</v>
      </c>
      <c r="D763" s="141">
        <v>0</v>
      </c>
      <c r="E763" s="141">
        <v>0</v>
      </c>
      <c r="F763" s="141">
        <v>0</v>
      </c>
      <c r="G763" s="285">
        <v>0</v>
      </c>
      <c r="H763" s="147">
        <v>0</v>
      </c>
      <c r="I763" s="495">
        <f t="shared" si="40"/>
        <v>0</v>
      </c>
    </row>
    <row r="764" spans="1:9" x14ac:dyDescent="0.15">
      <c r="A764" s="135"/>
      <c r="B764" s="451" t="s">
        <v>963</v>
      </c>
      <c r="C764" s="135" t="s">
        <v>1093</v>
      </c>
      <c r="D764" s="141">
        <v>0</v>
      </c>
      <c r="E764" s="141">
        <v>0</v>
      </c>
      <c r="F764" s="141">
        <v>0</v>
      </c>
      <c r="G764" s="285">
        <v>0</v>
      </c>
      <c r="H764" s="147">
        <v>0</v>
      </c>
      <c r="I764" s="495">
        <f t="shared" si="40"/>
        <v>0</v>
      </c>
    </row>
    <row r="765" spans="1:9" x14ac:dyDescent="0.15">
      <c r="A765" s="135"/>
      <c r="B765" s="451" t="s">
        <v>964</v>
      </c>
      <c r="C765" s="135" t="s">
        <v>1094</v>
      </c>
      <c r="D765" s="141">
        <v>0</v>
      </c>
      <c r="E765" s="141">
        <v>0</v>
      </c>
      <c r="F765" s="141">
        <v>0</v>
      </c>
      <c r="G765" s="285">
        <v>0</v>
      </c>
      <c r="H765" s="147">
        <v>0</v>
      </c>
      <c r="I765" s="495">
        <f t="shared" si="40"/>
        <v>0</v>
      </c>
    </row>
    <row r="766" spans="1:9" x14ac:dyDescent="0.15">
      <c r="A766" s="135"/>
      <c r="B766" s="451" t="s">
        <v>965</v>
      </c>
      <c r="C766" s="135" t="s">
        <v>1095</v>
      </c>
      <c r="D766" s="141">
        <v>0</v>
      </c>
      <c r="E766" s="141">
        <v>0</v>
      </c>
      <c r="F766" s="141">
        <v>0</v>
      </c>
      <c r="G766" s="285">
        <v>0</v>
      </c>
      <c r="H766" s="147">
        <v>0</v>
      </c>
      <c r="I766" s="495">
        <f t="shared" si="40"/>
        <v>0</v>
      </c>
    </row>
    <row r="767" spans="1:9" x14ac:dyDescent="0.15">
      <c r="A767" s="135"/>
      <c r="B767" s="451" t="s">
        <v>885</v>
      </c>
      <c r="C767" s="135" t="s">
        <v>1096</v>
      </c>
      <c r="D767" s="141">
        <v>0</v>
      </c>
      <c r="E767" s="141">
        <v>0</v>
      </c>
      <c r="F767" s="141">
        <v>0</v>
      </c>
      <c r="G767" s="285">
        <v>0</v>
      </c>
      <c r="H767" s="147">
        <v>0</v>
      </c>
      <c r="I767" s="495">
        <f t="shared" si="40"/>
        <v>0</v>
      </c>
    </row>
    <row r="768" spans="1:9" x14ac:dyDescent="0.15">
      <c r="A768" s="135"/>
      <c r="B768" s="451" t="s">
        <v>966</v>
      </c>
      <c r="C768" s="135" t="s">
        <v>1097</v>
      </c>
      <c r="D768" s="141">
        <v>0</v>
      </c>
      <c r="E768" s="141">
        <v>0</v>
      </c>
      <c r="F768" s="141">
        <v>0</v>
      </c>
      <c r="G768" s="285">
        <v>0</v>
      </c>
      <c r="H768" s="147">
        <v>0</v>
      </c>
      <c r="I768" s="495">
        <f t="shared" si="40"/>
        <v>0</v>
      </c>
    </row>
    <row r="769" spans="1:10" x14ac:dyDescent="0.15">
      <c r="A769" s="135"/>
      <c r="B769" s="451" t="s">
        <v>886</v>
      </c>
      <c r="C769" s="135" t="s">
        <v>1100</v>
      </c>
      <c r="D769" s="141">
        <v>0</v>
      </c>
      <c r="E769" s="141">
        <v>0</v>
      </c>
      <c r="F769" s="141">
        <v>0</v>
      </c>
      <c r="G769" s="285">
        <v>0</v>
      </c>
      <c r="H769" s="147">
        <v>0</v>
      </c>
      <c r="I769" s="495">
        <f t="shared" si="40"/>
        <v>0</v>
      </c>
    </row>
    <row r="770" spans="1:10" x14ac:dyDescent="0.15">
      <c r="A770" s="135"/>
      <c r="B770" s="451" t="s">
        <v>116</v>
      </c>
      <c r="C770" s="135" t="s">
        <v>1105</v>
      </c>
      <c r="D770" s="141">
        <v>0</v>
      </c>
      <c r="E770" s="141">
        <v>0</v>
      </c>
      <c r="F770" s="141">
        <v>0</v>
      </c>
      <c r="G770" s="285">
        <v>0</v>
      </c>
      <c r="H770" s="147">
        <v>0</v>
      </c>
      <c r="I770" s="495">
        <f t="shared" si="40"/>
        <v>0</v>
      </c>
    </row>
    <row r="771" spans="1:10" x14ac:dyDescent="0.15">
      <c r="A771" s="135"/>
      <c r="B771" s="451" t="s">
        <v>112</v>
      </c>
      <c r="C771" s="135" t="s">
        <v>1110</v>
      </c>
      <c r="D771" s="141">
        <v>0</v>
      </c>
      <c r="E771" s="141">
        <v>0</v>
      </c>
      <c r="F771" s="141">
        <v>0</v>
      </c>
      <c r="G771" s="285">
        <v>0</v>
      </c>
      <c r="H771" s="147">
        <v>0</v>
      </c>
      <c r="I771" s="495">
        <f t="shared" si="40"/>
        <v>0</v>
      </c>
    </row>
    <row r="772" spans="1:10" x14ac:dyDescent="0.15">
      <c r="A772" s="135"/>
      <c r="B772" s="451" t="s">
        <v>887</v>
      </c>
      <c r="C772" s="135" t="s">
        <v>1116</v>
      </c>
      <c r="D772" s="141">
        <v>0</v>
      </c>
      <c r="E772" s="141">
        <v>0</v>
      </c>
      <c r="F772" s="141">
        <v>0</v>
      </c>
      <c r="G772" s="285">
        <v>0</v>
      </c>
      <c r="H772" s="147">
        <v>0</v>
      </c>
      <c r="I772" s="495">
        <f t="shared" si="40"/>
        <v>0</v>
      </c>
    </row>
    <row r="773" spans="1:10" x14ac:dyDescent="0.15">
      <c r="A773" s="135"/>
      <c r="B773" s="451" t="s">
        <v>1112</v>
      </c>
      <c r="C773" s="135" t="s">
        <v>1117</v>
      </c>
      <c r="D773" s="141">
        <v>0</v>
      </c>
      <c r="E773" s="141">
        <v>0</v>
      </c>
      <c r="F773" s="141">
        <v>0</v>
      </c>
      <c r="G773" s="285">
        <v>0</v>
      </c>
      <c r="H773" s="147">
        <v>0</v>
      </c>
      <c r="I773" s="495">
        <f t="shared" si="40"/>
        <v>0</v>
      </c>
    </row>
    <row r="774" spans="1:10" x14ac:dyDescent="0.15">
      <c r="A774" s="135"/>
      <c r="B774" s="451" t="s">
        <v>1113</v>
      </c>
      <c r="C774" s="135" t="s">
        <v>1118</v>
      </c>
      <c r="D774" s="141">
        <v>0</v>
      </c>
      <c r="E774" s="141">
        <v>0</v>
      </c>
      <c r="F774" s="141">
        <v>0</v>
      </c>
      <c r="G774" s="285">
        <v>0</v>
      </c>
      <c r="H774" s="147">
        <v>0</v>
      </c>
      <c r="I774" s="495">
        <f t="shared" si="40"/>
        <v>0</v>
      </c>
    </row>
    <row r="775" spans="1:10" ht="11.25" thickBot="1" x14ac:dyDescent="0.2">
      <c r="A775" s="135"/>
      <c r="B775" s="451" t="s">
        <v>1114</v>
      </c>
      <c r="C775" s="135" t="s">
        <v>1119</v>
      </c>
      <c r="D775" s="141">
        <v>0</v>
      </c>
      <c r="E775" s="141">
        <v>0</v>
      </c>
      <c r="F775" s="141">
        <v>0</v>
      </c>
      <c r="G775" s="285">
        <v>0</v>
      </c>
      <c r="H775" s="147">
        <v>0</v>
      </c>
      <c r="I775" s="495">
        <f t="shared" si="40"/>
        <v>0</v>
      </c>
    </row>
    <row r="776" spans="1:10" ht="12" thickTop="1" thickBot="1" x14ac:dyDescent="0.2">
      <c r="A776" s="135"/>
      <c r="B776" s="451"/>
      <c r="C776" s="135" t="s">
        <v>1278</v>
      </c>
      <c r="D776" s="166">
        <f>SUM(D742:D775)</f>
        <v>0</v>
      </c>
      <c r="E776" s="166">
        <f>SUM(E742:E775)</f>
        <v>0</v>
      </c>
      <c r="F776" s="166">
        <f>SUM(F742:F775)</f>
        <v>0</v>
      </c>
      <c r="G776" s="166">
        <f>SUM(G742:G775)</f>
        <v>0</v>
      </c>
      <c r="H776" s="166">
        <f>SUM(H742:H775)</f>
        <v>0</v>
      </c>
      <c r="I776" s="166">
        <f>SUM(G776+H776)</f>
        <v>0</v>
      </c>
    </row>
    <row r="777" spans="1:10" ht="11.25" thickTop="1" x14ac:dyDescent="0.15">
      <c r="A777" s="135"/>
      <c r="B777" s="135"/>
      <c r="C777" s="135"/>
      <c r="D777" s="14"/>
      <c r="E777" s="14"/>
      <c r="F777" s="14"/>
      <c r="G777" s="14"/>
      <c r="H777" s="14"/>
      <c r="I777" s="491"/>
    </row>
    <row r="778" spans="1:10" x14ac:dyDescent="0.15">
      <c r="A778" s="452" t="s">
        <v>1279</v>
      </c>
      <c r="B778" s="135"/>
      <c r="C778" s="135"/>
      <c r="D778" s="14"/>
      <c r="E778" s="14"/>
      <c r="F778" s="14"/>
      <c r="G778" s="14"/>
      <c r="H778" s="14"/>
      <c r="I778" s="491"/>
    </row>
    <row r="779" spans="1:10" s="416" customFormat="1" hidden="1" x14ac:dyDescent="0.15">
      <c r="B779" s="453" t="s">
        <v>880</v>
      </c>
      <c r="C779" s="454" t="s">
        <v>1164</v>
      </c>
      <c r="D779" s="308">
        <v>0</v>
      </c>
      <c r="E779" s="308">
        <v>0</v>
      </c>
      <c r="F779" s="308">
        <v>0</v>
      </c>
      <c r="G779" s="458"/>
      <c r="H779" s="457">
        <v>0</v>
      </c>
      <c r="I779" s="494">
        <f t="shared" ref="I779:I813" si="42">SUM(G779+H779)</f>
        <v>0</v>
      </c>
    </row>
    <row r="780" spans="1:10" s="416" customFormat="1" x14ac:dyDescent="0.15">
      <c r="B780" s="453" t="s">
        <v>880</v>
      </c>
      <c r="C780" s="454" t="s">
        <v>337</v>
      </c>
      <c r="D780" s="308">
        <v>0</v>
      </c>
      <c r="E780" s="308">
        <v>0</v>
      </c>
      <c r="F780" s="308">
        <v>0</v>
      </c>
      <c r="G780" s="308">
        <v>0</v>
      </c>
      <c r="H780" s="457">
        <v>0</v>
      </c>
      <c r="I780" s="494">
        <f t="shared" si="42"/>
        <v>0</v>
      </c>
    </row>
    <row r="781" spans="1:10" s="416" customFormat="1" hidden="1" x14ac:dyDescent="0.15">
      <c r="A781" s="454"/>
      <c r="B781" s="453" t="s">
        <v>881</v>
      </c>
      <c r="C781" s="454" t="s">
        <v>382</v>
      </c>
      <c r="D781" s="308">
        <v>0</v>
      </c>
      <c r="E781" s="308">
        <v>0</v>
      </c>
      <c r="F781" s="308">
        <v>0</v>
      </c>
      <c r="G781" s="459"/>
      <c r="H781" s="457">
        <v>0</v>
      </c>
      <c r="I781" s="494">
        <f t="shared" si="42"/>
        <v>0</v>
      </c>
    </row>
    <row r="782" spans="1:10" x14ac:dyDescent="0.15">
      <c r="A782" s="135"/>
      <c r="B782" s="451" t="s">
        <v>881</v>
      </c>
      <c r="C782" s="135" t="s">
        <v>338</v>
      </c>
      <c r="D782" s="144">
        <v>0</v>
      </c>
      <c r="E782" s="144">
        <v>0</v>
      </c>
      <c r="F782" s="144">
        <v>0</v>
      </c>
      <c r="G782" s="144">
        <v>0</v>
      </c>
      <c r="H782" s="147">
        <v>0</v>
      </c>
      <c r="I782" s="495">
        <f t="shared" si="42"/>
        <v>0</v>
      </c>
      <c r="J782" s="416"/>
    </row>
    <row r="783" spans="1:10" x14ac:dyDescent="0.15">
      <c r="A783" s="135"/>
      <c r="B783" s="451" t="s">
        <v>882</v>
      </c>
      <c r="C783" s="135" t="s">
        <v>1058</v>
      </c>
      <c r="D783" s="141">
        <v>0</v>
      </c>
      <c r="E783" s="141">
        <v>0</v>
      </c>
      <c r="F783" s="141">
        <v>0</v>
      </c>
      <c r="G783" s="285">
        <v>0</v>
      </c>
      <c r="H783" s="147">
        <v>0</v>
      </c>
      <c r="I783" s="495">
        <f t="shared" si="42"/>
        <v>0</v>
      </c>
    </row>
    <row r="784" spans="1:10" x14ac:dyDescent="0.15">
      <c r="A784" s="135"/>
      <c r="B784" s="451" t="s">
        <v>883</v>
      </c>
      <c r="C784" s="135" t="s">
        <v>1059</v>
      </c>
      <c r="D784" s="141">
        <v>0</v>
      </c>
      <c r="E784" s="141">
        <v>0</v>
      </c>
      <c r="F784" s="141">
        <v>0</v>
      </c>
      <c r="G784" s="285">
        <v>0</v>
      </c>
      <c r="H784" s="147">
        <v>0</v>
      </c>
      <c r="I784" s="495">
        <f t="shared" si="42"/>
        <v>0</v>
      </c>
    </row>
    <row r="785" spans="1:9" x14ac:dyDescent="0.15">
      <c r="A785" s="135"/>
      <c r="B785" s="451" t="s">
        <v>1060</v>
      </c>
      <c r="C785" s="135" t="s">
        <v>1061</v>
      </c>
      <c r="D785" s="141">
        <v>0</v>
      </c>
      <c r="E785" s="141">
        <v>0</v>
      </c>
      <c r="F785" s="141">
        <v>0</v>
      </c>
      <c r="G785" s="285">
        <v>0</v>
      </c>
      <c r="H785" s="147">
        <v>0</v>
      </c>
      <c r="I785" s="495">
        <f t="shared" si="42"/>
        <v>0</v>
      </c>
    </row>
    <row r="786" spans="1:9" x14ac:dyDescent="0.15">
      <c r="A786" s="135"/>
      <c r="B786" s="451" t="s">
        <v>1062</v>
      </c>
      <c r="C786" s="135" t="s">
        <v>1063</v>
      </c>
      <c r="D786" s="141">
        <v>0</v>
      </c>
      <c r="E786" s="141">
        <v>0</v>
      </c>
      <c r="F786" s="141">
        <v>0</v>
      </c>
      <c r="G786" s="285">
        <v>0</v>
      </c>
      <c r="H786" s="147">
        <v>0</v>
      </c>
      <c r="I786" s="495">
        <f t="shared" si="42"/>
        <v>0</v>
      </c>
    </row>
    <row r="787" spans="1:9" x14ac:dyDescent="0.15">
      <c r="A787" s="135"/>
      <c r="B787" s="451" t="s">
        <v>884</v>
      </c>
      <c r="C787" s="135" t="s">
        <v>1064</v>
      </c>
      <c r="D787" s="141">
        <v>0</v>
      </c>
      <c r="E787" s="141">
        <v>0</v>
      </c>
      <c r="F787" s="141">
        <v>0</v>
      </c>
      <c r="G787" s="285">
        <v>0</v>
      </c>
      <c r="H787" s="147">
        <v>0</v>
      </c>
      <c r="I787" s="495">
        <f t="shared" si="42"/>
        <v>0</v>
      </c>
    </row>
    <row r="788" spans="1:9" x14ac:dyDescent="0.15">
      <c r="A788" s="135"/>
      <c r="B788" s="451" t="s">
        <v>1067</v>
      </c>
      <c r="C788" s="135" t="s">
        <v>1074</v>
      </c>
      <c r="D788" s="141">
        <v>0</v>
      </c>
      <c r="E788" s="141">
        <v>0</v>
      </c>
      <c r="F788" s="141">
        <v>0</v>
      </c>
      <c r="G788" s="285">
        <v>0</v>
      </c>
      <c r="H788" s="147">
        <v>0</v>
      </c>
      <c r="I788" s="495">
        <f t="shared" si="42"/>
        <v>0</v>
      </c>
    </row>
    <row r="789" spans="1:9" x14ac:dyDescent="0.15">
      <c r="A789" s="135"/>
      <c r="B789" s="451" t="s">
        <v>1068</v>
      </c>
      <c r="C789" s="135" t="s">
        <v>1075</v>
      </c>
      <c r="D789" s="141">
        <v>0</v>
      </c>
      <c r="E789" s="141">
        <v>0</v>
      </c>
      <c r="F789" s="141">
        <v>0</v>
      </c>
      <c r="G789" s="285">
        <v>0</v>
      </c>
      <c r="H789" s="147">
        <v>0</v>
      </c>
      <c r="I789" s="495">
        <f t="shared" si="42"/>
        <v>0</v>
      </c>
    </row>
    <row r="790" spans="1:9" x14ac:dyDescent="0.15">
      <c r="A790" s="135"/>
      <c r="B790" s="451" t="s">
        <v>1072</v>
      </c>
      <c r="C790" s="135" t="s">
        <v>920</v>
      </c>
      <c r="D790" s="141">
        <v>0</v>
      </c>
      <c r="E790" s="141">
        <v>0</v>
      </c>
      <c r="F790" s="141">
        <v>0</v>
      </c>
      <c r="G790" s="285">
        <v>0</v>
      </c>
      <c r="H790" s="147">
        <v>0</v>
      </c>
      <c r="I790" s="495">
        <f t="shared" si="42"/>
        <v>0</v>
      </c>
    </row>
    <row r="791" spans="1:9" x14ac:dyDescent="0.15">
      <c r="A791" s="135"/>
      <c r="B791" s="716" t="s">
        <v>155</v>
      </c>
      <c r="C791" s="703" t="s">
        <v>178</v>
      </c>
      <c r="D791" s="141">
        <v>0</v>
      </c>
      <c r="E791" s="141">
        <v>0</v>
      </c>
      <c r="F791" s="141">
        <v>0</v>
      </c>
      <c r="G791" s="285">
        <v>0</v>
      </c>
      <c r="H791" s="147">
        <v>0</v>
      </c>
      <c r="I791" s="495">
        <f t="shared" ref="I791" si="43">SUM(G791+H791)</f>
        <v>0</v>
      </c>
    </row>
    <row r="792" spans="1:9" x14ac:dyDescent="0.15">
      <c r="A792" s="135"/>
      <c r="B792" s="451" t="s">
        <v>921</v>
      </c>
      <c r="C792" s="135" t="s">
        <v>955</v>
      </c>
      <c r="D792" s="141">
        <v>0</v>
      </c>
      <c r="E792" s="141">
        <v>0</v>
      </c>
      <c r="F792" s="141">
        <v>0</v>
      </c>
      <c r="G792" s="285">
        <v>0</v>
      </c>
      <c r="H792" s="147">
        <v>0</v>
      </c>
      <c r="I792" s="495">
        <f t="shared" si="42"/>
        <v>0</v>
      </c>
    </row>
    <row r="793" spans="1:9" x14ac:dyDescent="0.15">
      <c r="A793" s="135"/>
      <c r="B793" s="451" t="s">
        <v>922</v>
      </c>
      <c r="C793" s="135" t="s">
        <v>956</v>
      </c>
      <c r="D793" s="141">
        <v>0</v>
      </c>
      <c r="E793" s="141">
        <v>0</v>
      </c>
      <c r="F793" s="141">
        <v>0</v>
      </c>
      <c r="G793" s="285">
        <v>0</v>
      </c>
      <c r="H793" s="147">
        <v>0</v>
      </c>
      <c r="I793" s="495">
        <f t="shared" si="42"/>
        <v>0</v>
      </c>
    </row>
    <row r="794" spans="1:9" x14ac:dyDescent="0.15">
      <c r="A794" s="135"/>
      <c r="B794" s="451" t="s">
        <v>923</v>
      </c>
      <c r="C794" s="135" t="s">
        <v>957</v>
      </c>
      <c r="D794" s="141">
        <v>0</v>
      </c>
      <c r="E794" s="141">
        <v>0</v>
      </c>
      <c r="F794" s="141">
        <v>0</v>
      </c>
      <c r="G794" s="285">
        <v>0</v>
      </c>
      <c r="H794" s="147">
        <v>0</v>
      </c>
      <c r="I794" s="495">
        <f t="shared" si="42"/>
        <v>0</v>
      </c>
    </row>
    <row r="795" spans="1:9" x14ac:dyDescent="0.15">
      <c r="A795" s="135"/>
      <c r="B795" s="451" t="s">
        <v>924</v>
      </c>
      <c r="C795" s="135" t="s">
        <v>958</v>
      </c>
      <c r="D795" s="141">
        <v>0</v>
      </c>
      <c r="E795" s="141">
        <v>0</v>
      </c>
      <c r="F795" s="141">
        <v>0</v>
      </c>
      <c r="G795" s="285">
        <v>0</v>
      </c>
      <c r="H795" s="147">
        <v>0</v>
      </c>
      <c r="I795" s="495">
        <f t="shared" si="42"/>
        <v>0</v>
      </c>
    </row>
    <row r="796" spans="1:9" x14ac:dyDescent="0.15">
      <c r="A796" s="135"/>
      <c r="B796" s="451" t="s">
        <v>925</v>
      </c>
      <c r="C796" s="135" t="s">
        <v>1128</v>
      </c>
      <c r="D796" s="141">
        <v>0</v>
      </c>
      <c r="E796" s="141">
        <v>0</v>
      </c>
      <c r="F796" s="141">
        <v>0</v>
      </c>
      <c r="G796" s="285">
        <v>0</v>
      </c>
      <c r="H796" s="147">
        <v>0</v>
      </c>
      <c r="I796" s="495">
        <f t="shared" si="42"/>
        <v>0</v>
      </c>
    </row>
    <row r="797" spans="1:9" x14ac:dyDescent="0.15">
      <c r="A797" s="135"/>
      <c r="B797" s="451" t="s">
        <v>926</v>
      </c>
      <c r="C797" s="135" t="s">
        <v>1129</v>
      </c>
      <c r="D797" s="141">
        <v>0</v>
      </c>
      <c r="E797" s="141">
        <v>0</v>
      </c>
      <c r="F797" s="141">
        <v>0</v>
      </c>
      <c r="G797" s="285">
        <v>0</v>
      </c>
      <c r="H797" s="147">
        <v>0</v>
      </c>
      <c r="I797" s="495">
        <f t="shared" si="42"/>
        <v>0</v>
      </c>
    </row>
    <row r="798" spans="1:9" x14ac:dyDescent="0.15">
      <c r="A798" s="135"/>
      <c r="B798" s="451" t="s">
        <v>927</v>
      </c>
      <c r="C798" s="135" t="s">
        <v>959</v>
      </c>
      <c r="D798" s="141">
        <v>0</v>
      </c>
      <c r="E798" s="141">
        <v>0</v>
      </c>
      <c r="F798" s="141">
        <v>0</v>
      </c>
      <c r="G798" s="285">
        <v>0</v>
      </c>
      <c r="H798" s="147">
        <v>0</v>
      </c>
      <c r="I798" s="495">
        <f t="shared" si="42"/>
        <v>0</v>
      </c>
    </row>
    <row r="799" spans="1:9" x14ac:dyDescent="0.15">
      <c r="A799" s="135"/>
      <c r="B799" s="451" t="s">
        <v>928</v>
      </c>
      <c r="C799" s="135" t="s">
        <v>961</v>
      </c>
      <c r="D799" s="141">
        <v>0</v>
      </c>
      <c r="E799" s="141">
        <v>0</v>
      </c>
      <c r="F799" s="141">
        <v>0</v>
      </c>
      <c r="G799" s="285">
        <v>0</v>
      </c>
      <c r="H799" s="147">
        <v>0</v>
      </c>
      <c r="I799" s="495">
        <f t="shared" si="42"/>
        <v>0</v>
      </c>
    </row>
    <row r="800" spans="1:9" x14ac:dyDescent="0.15">
      <c r="A800" s="135"/>
      <c r="B800" s="451" t="s">
        <v>962</v>
      </c>
      <c r="C800" s="135" t="s">
        <v>967</v>
      </c>
      <c r="D800" s="141">
        <v>0</v>
      </c>
      <c r="E800" s="141">
        <v>0</v>
      </c>
      <c r="F800" s="141">
        <v>0</v>
      </c>
      <c r="G800" s="285">
        <v>0</v>
      </c>
      <c r="H800" s="147">
        <v>0</v>
      </c>
      <c r="I800" s="495">
        <f t="shared" si="42"/>
        <v>0</v>
      </c>
    </row>
    <row r="801" spans="1:9" x14ac:dyDescent="0.15">
      <c r="A801" s="135"/>
      <c r="B801" s="451" t="s">
        <v>963</v>
      </c>
      <c r="C801" s="135" t="s">
        <v>1093</v>
      </c>
      <c r="D801" s="141">
        <v>0</v>
      </c>
      <c r="E801" s="141">
        <v>0</v>
      </c>
      <c r="F801" s="141">
        <v>0</v>
      </c>
      <c r="G801" s="285">
        <v>0</v>
      </c>
      <c r="H801" s="147">
        <v>0</v>
      </c>
      <c r="I801" s="495">
        <f t="shared" si="42"/>
        <v>0</v>
      </c>
    </row>
    <row r="802" spans="1:9" x14ac:dyDescent="0.15">
      <c r="A802" s="135"/>
      <c r="B802" s="451" t="s">
        <v>964</v>
      </c>
      <c r="C802" s="135" t="s">
        <v>1094</v>
      </c>
      <c r="D802" s="141">
        <v>0</v>
      </c>
      <c r="E802" s="141">
        <v>0</v>
      </c>
      <c r="F802" s="141">
        <v>0</v>
      </c>
      <c r="G802" s="285">
        <v>0</v>
      </c>
      <c r="H802" s="147">
        <v>0</v>
      </c>
      <c r="I802" s="495">
        <f t="shared" si="42"/>
        <v>0</v>
      </c>
    </row>
    <row r="803" spans="1:9" x14ac:dyDescent="0.15">
      <c r="A803" s="135"/>
      <c r="B803" s="451" t="s">
        <v>965</v>
      </c>
      <c r="C803" s="135" t="s">
        <v>1095</v>
      </c>
      <c r="D803" s="141">
        <v>0</v>
      </c>
      <c r="E803" s="141">
        <v>0</v>
      </c>
      <c r="F803" s="141">
        <v>0</v>
      </c>
      <c r="G803" s="285">
        <v>0</v>
      </c>
      <c r="H803" s="147">
        <v>0</v>
      </c>
      <c r="I803" s="495">
        <f t="shared" si="42"/>
        <v>0</v>
      </c>
    </row>
    <row r="804" spans="1:9" x14ac:dyDescent="0.15">
      <c r="A804" s="135"/>
      <c r="B804" s="451" t="s">
        <v>885</v>
      </c>
      <c r="C804" s="135" t="s">
        <v>1096</v>
      </c>
      <c r="D804" s="141">
        <v>0</v>
      </c>
      <c r="E804" s="141">
        <v>0</v>
      </c>
      <c r="F804" s="141">
        <v>0</v>
      </c>
      <c r="G804" s="285">
        <v>0</v>
      </c>
      <c r="H804" s="147">
        <v>0</v>
      </c>
      <c r="I804" s="495">
        <f t="shared" si="42"/>
        <v>0</v>
      </c>
    </row>
    <row r="805" spans="1:9" x14ac:dyDescent="0.15">
      <c r="A805" s="135"/>
      <c r="B805" s="451" t="s">
        <v>966</v>
      </c>
      <c r="C805" s="135" t="s">
        <v>1097</v>
      </c>
      <c r="D805" s="141">
        <v>0</v>
      </c>
      <c r="E805" s="141">
        <v>0</v>
      </c>
      <c r="F805" s="141">
        <v>0</v>
      </c>
      <c r="G805" s="285">
        <v>0</v>
      </c>
      <c r="H805" s="147">
        <v>0</v>
      </c>
      <c r="I805" s="495">
        <f t="shared" si="42"/>
        <v>0</v>
      </c>
    </row>
    <row r="806" spans="1:9" x14ac:dyDescent="0.15">
      <c r="A806" s="135"/>
      <c r="B806" s="451" t="s">
        <v>886</v>
      </c>
      <c r="C806" s="135" t="s">
        <v>1100</v>
      </c>
      <c r="D806" s="141">
        <v>0</v>
      </c>
      <c r="E806" s="141">
        <v>0</v>
      </c>
      <c r="F806" s="141">
        <v>0</v>
      </c>
      <c r="G806" s="285">
        <v>0</v>
      </c>
      <c r="H806" s="147">
        <v>0</v>
      </c>
      <c r="I806" s="495">
        <f t="shared" si="42"/>
        <v>0</v>
      </c>
    </row>
    <row r="807" spans="1:9" x14ac:dyDescent="0.15">
      <c r="A807" s="135"/>
      <c r="B807" s="451" t="s">
        <v>116</v>
      </c>
      <c r="C807" s="135" t="s">
        <v>1105</v>
      </c>
      <c r="D807" s="141">
        <v>0</v>
      </c>
      <c r="E807" s="141">
        <v>0</v>
      </c>
      <c r="F807" s="141">
        <v>0</v>
      </c>
      <c r="G807" s="285">
        <v>0</v>
      </c>
      <c r="H807" s="147">
        <v>0</v>
      </c>
      <c r="I807" s="495">
        <f t="shared" si="42"/>
        <v>0</v>
      </c>
    </row>
    <row r="808" spans="1:9" x14ac:dyDescent="0.15">
      <c r="A808" s="135"/>
      <c r="B808" s="451" t="s">
        <v>112</v>
      </c>
      <c r="C808" s="135" t="s">
        <v>1110</v>
      </c>
      <c r="D808" s="141">
        <v>0</v>
      </c>
      <c r="E808" s="141">
        <v>0</v>
      </c>
      <c r="F808" s="141">
        <v>0</v>
      </c>
      <c r="G808" s="285">
        <v>0</v>
      </c>
      <c r="H808" s="147">
        <v>0</v>
      </c>
      <c r="I808" s="495">
        <f t="shared" si="42"/>
        <v>0</v>
      </c>
    </row>
    <row r="809" spans="1:9" x14ac:dyDescent="0.15">
      <c r="A809" s="135"/>
      <c r="B809" s="451" t="s">
        <v>887</v>
      </c>
      <c r="C809" s="135" t="s">
        <v>1116</v>
      </c>
      <c r="D809" s="141">
        <v>0</v>
      </c>
      <c r="E809" s="141">
        <v>0</v>
      </c>
      <c r="F809" s="141">
        <v>0</v>
      </c>
      <c r="G809" s="285">
        <v>0</v>
      </c>
      <c r="H809" s="147">
        <v>0</v>
      </c>
      <c r="I809" s="495">
        <f t="shared" si="42"/>
        <v>0</v>
      </c>
    </row>
    <row r="810" spans="1:9" x14ac:dyDescent="0.15">
      <c r="A810" s="135"/>
      <c r="B810" s="451" t="s">
        <v>1112</v>
      </c>
      <c r="C810" s="135" t="s">
        <v>1117</v>
      </c>
      <c r="D810" s="141">
        <v>0</v>
      </c>
      <c r="E810" s="141">
        <v>0</v>
      </c>
      <c r="F810" s="141">
        <v>0</v>
      </c>
      <c r="G810" s="285">
        <v>0</v>
      </c>
      <c r="H810" s="147">
        <v>0</v>
      </c>
      <c r="I810" s="495">
        <f t="shared" si="42"/>
        <v>0</v>
      </c>
    </row>
    <row r="811" spans="1:9" x14ac:dyDescent="0.15">
      <c r="A811" s="135"/>
      <c r="B811" s="451" t="s">
        <v>1113</v>
      </c>
      <c r="C811" s="135" t="s">
        <v>1118</v>
      </c>
      <c r="D811" s="141">
        <v>0</v>
      </c>
      <c r="E811" s="141">
        <v>0</v>
      </c>
      <c r="F811" s="141">
        <v>0</v>
      </c>
      <c r="G811" s="285">
        <v>0</v>
      </c>
      <c r="H811" s="147">
        <v>0</v>
      </c>
      <c r="I811" s="495">
        <f t="shared" si="42"/>
        <v>0</v>
      </c>
    </row>
    <row r="812" spans="1:9" ht="11.25" thickBot="1" x14ac:dyDescent="0.2">
      <c r="A812" s="135"/>
      <c r="B812" s="451" t="s">
        <v>1114</v>
      </c>
      <c r="C812" s="135" t="s">
        <v>1119</v>
      </c>
      <c r="D812" s="141">
        <v>0</v>
      </c>
      <c r="E812" s="141">
        <v>0</v>
      </c>
      <c r="F812" s="141">
        <v>0</v>
      </c>
      <c r="G812" s="285">
        <v>0</v>
      </c>
      <c r="H812" s="147">
        <v>0</v>
      </c>
      <c r="I812" s="495">
        <f t="shared" si="42"/>
        <v>0</v>
      </c>
    </row>
    <row r="813" spans="1:9" ht="12" thickTop="1" thickBot="1" x14ac:dyDescent="0.2">
      <c r="A813" s="135"/>
      <c r="B813" s="451"/>
      <c r="C813" s="135" t="s">
        <v>1280</v>
      </c>
      <c r="D813" s="166">
        <f>SUM(D779:D812)</f>
        <v>0</v>
      </c>
      <c r="E813" s="166">
        <f>SUM(E779:E812)</f>
        <v>0</v>
      </c>
      <c r="F813" s="166">
        <f>SUM(F779:F812)</f>
        <v>0</v>
      </c>
      <c r="G813" s="166">
        <f>SUM(G779:G812)</f>
        <v>0</v>
      </c>
      <c r="H813" s="166">
        <f>SUM(H779:H812)</f>
        <v>0</v>
      </c>
      <c r="I813" s="166">
        <f t="shared" si="42"/>
        <v>0</v>
      </c>
    </row>
    <row r="814" spans="1:9" ht="11.25" thickTop="1" x14ac:dyDescent="0.15">
      <c r="A814" s="135"/>
      <c r="B814" s="135"/>
      <c r="C814" s="135"/>
      <c r="D814" s="14"/>
      <c r="E814" s="14"/>
      <c r="F814" s="14"/>
      <c r="G814" s="14"/>
      <c r="H814" s="14"/>
      <c r="I814" s="491"/>
    </row>
    <row r="815" spans="1:9" x14ac:dyDescent="0.15">
      <c r="A815" s="452" t="s">
        <v>1282</v>
      </c>
      <c r="B815" s="135"/>
      <c r="C815" s="135"/>
      <c r="D815" s="14"/>
      <c r="E815" s="14"/>
      <c r="F815" s="14"/>
      <c r="G815" s="14"/>
      <c r="H815" s="14"/>
      <c r="I815" s="491"/>
    </row>
    <row r="816" spans="1:9" s="416" customFormat="1" hidden="1" x14ac:dyDescent="0.15">
      <c r="B816" s="453" t="s">
        <v>880</v>
      </c>
      <c r="C816" s="454" t="s">
        <v>1164</v>
      </c>
      <c r="D816" s="308">
        <v>0</v>
      </c>
      <c r="E816" s="308">
        <v>0</v>
      </c>
      <c r="F816" s="308">
        <v>0</v>
      </c>
      <c r="G816" s="458"/>
      <c r="H816" s="457">
        <v>0</v>
      </c>
      <c r="I816" s="494">
        <f t="shared" ref="I816:I849" si="44">SUM(G816+H816)</f>
        <v>0</v>
      </c>
    </row>
    <row r="817" spans="1:10" s="416" customFormat="1" x14ac:dyDescent="0.15">
      <c r="B817" s="453" t="s">
        <v>880</v>
      </c>
      <c r="C817" s="454" t="s">
        <v>337</v>
      </c>
      <c r="D817" s="308">
        <v>0</v>
      </c>
      <c r="E817" s="308">
        <v>0</v>
      </c>
      <c r="F817" s="308">
        <v>0</v>
      </c>
      <c r="G817" s="308">
        <v>0</v>
      </c>
      <c r="H817" s="457">
        <v>0</v>
      </c>
      <c r="I817" s="494">
        <f t="shared" si="44"/>
        <v>0</v>
      </c>
    </row>
    <row r="818" spans="1:10" s="416" customFormat="1" hidden="1" x14ac:dyDescent="0.15">
      <c r="A818" s="454"/>
      <c r="B818" s="453" t="s">
        <v>881</v>
      </c>
      <c r="C818" s="454" t="s">
        <v>382</v>
      </c>
      <c r="D818" s="308">
        <v>0</v>
      </c>
      <c r="E818" s="308">
        <v>0</v>
      </c>
      <c r="F818" s="308">
        <v>0</v>
      </c>
      <c r="G818" s="459"/>
      <c r="H818" s="457">
        <v>0</v>
      </c>
      <c r="I818" s="494">
        <f t="shared" si="44"/>
        <v>0</v>
      </c>
    </row>
    <row r="819" spans="1:10" x14ac:dyDescent="0.15">
      <c r="A819" s="135"/>
      <c r="B819" s="451" t="s">
        <v>881</v>
      </c>
      <c r="C819" s="135" t="s">
        <v>338</v>
      </c>
      <c r="D819" s="144">
        <v>0</v>
      </c>
      <c r="E819" s="144">
        <v>0</v>
      </c>
      <c r="F819" s="144">
        <v>0</v>
      </c>
      <c r="G819" s="144">
        <v>0</v>
      </c>
      <c r="H819" s="147">
        <v>0</v>
      </c>
      <c r="I819" s="495">
        <f t="shared" si="44"/>
        <v>0</v>
      </c>
      <c r="J819" s="416"/>
    </row>
    <row r="820" spans="1:10" x14ac:dyDescent="0.15">
      <c r="A820" s="135"/>
      <c r="B820" s="451" t="s">
        <v>882</v>
      </c>
      <c r="C820" s="135" t="s">
        <v>1058</v>
      </c>
      <c r="D820" s="141">
        <v>0</v>
      </c>
      <c r="E820" s="141">
        <v>0</v>
      </c>
      <c r="F820" s="141">
        <v>0</v>
      </c>
      <c r="G820" s="285">
        <v>0</v>
      </c>
      <c r="H820" s="147">
        <v>0</v>
      </c>
      <c r="I820" s="495">
        <f t="shared" si="44"/>
        <v>0</v>
      </c>
    </row>
    <row r="821" spans="1:10" x14ac:dyDescent="0.15">
      <c r="A821" s="135"/>
      <c r="B821" s="451" t="s">
        <v>883</v>
      </c>
      <c r="C821" s="135" t="s">
        <v>1059</v>
      </c>
      <c r="D821" s="141">
        <v>0</v>
      </c>
      <c r="E821" s="141">
        <v>0</v>
      </c>
      <c r="F821" s="141">
        <v>0</v>
      </c>
      <c r="G821" s="285">
        <v>0</v>
      </c>
      <c r="H821" s="147">
        <v>0</v>
      </c>
      <c r="I821" s="495">
        <f t="shared" si="44"/>
        <v>0</v>
      </c>
    </row>
    <row r="822" spans="1:10" x14ac:dyDescent="0.15">
      <c r="A822" s="135"/>
      <c r="B822" s="451" t="s">
        <v>1060</v>
      </c>
      <c r="C822" s="135" t="s">
        <v>1061</v>
      </c>
      <c r="D822" s="141">
        <v>0</v>
      </c>
      <c r="E822" s="141">
        <v>0</v>
      </c>
      <c r="F822" s="141">
        <v>0</v>
      </c>
      <c r="G822" s="285">
        <v>0</v>
      </c>
      <c r="H822" s="147">
        <v>0</v>
      </c>
      <c r="I822" s="495">
        <f t="shared" si="44"/>
        <v>0</v>
      </c>
    </row>
    <row r="823" spans="1:10" x14ac:dyDescent="0.15">
      <c r="A823" s="135"/>
      <c r="B823" s="451" t="s">
        <v>1062</v>
      </c>
      <c r="C823" s="135" t="s">
        <v>1063</v>
      </c>
      <c r="D823" s="141">
        <v>0</v>
      </c>
      <c r="E823" s="141">
        <v>0</v>
      </c>
      <c r="F823" s="141">
        <v>0</v>
      </c>
      <c r="G823" s="285">
        <v>0</v>
      </c>
      <c r="H823" s="147">
        <v>0</v>
      </c>
      <c r="I823" s="495">
        <f t="shared" si="44"/>
        <v>0</v>
      </c>
    </row>
    <row r="824" spans="1:10" x14ac:dyDescent="0.15">
      <c r="A824" s="135"/>
      <c r="B824" s="451" t="s">
        <v>884</v>
      </c>
      <c r="C824" s="135" t="s">
        <v>1064</v>
      </c>
      <c r="D824" s="141">
        <v>0</v>
      </c>
      <c r="E824" s="141">
        <v>0</v>
      </c>
      <c r="F824" s="141">
        <v>0</v>
      </c>
      <c r="G824" s="285">
        <v>0</v>
      </c>
      <c r="H824" s="147">
        <v>0</v>
      </c>
      <c r="I824" s="495">
        <f t="shared" si="44"/>
        <v>0</v>
      </c>
    </row>
    <row r="825" spans="1:10" x14ac:dyDescent="0.15">
      <c r="A825" s="135"/>
      <c r="B825" s="451" t="s">
        <v>1067</v>
      </c>
      <c r="C825" s="135" t="s">
        <v>1074</v>
      </c>
      <c r="D825" s="141">
        <v>0</v>
      </c>
      <c r="E825" s="141">
        <v>0</v>
      </c>
      <c r="F825" s="141">
        <v>0</v>
      </c>
      <c r="G825" s="285">
        <v>0</v>
      </c>
      <c r="H825" s="147">
        <v>0</v>
      </c>
      <c r="I825" s="495">
        <f t="shared" si="44"/>
        <v>0</v>
      </c>
    </row>
    <row r="826" spans="1:10" x14ac:dyDescent="0.15">
      <c r="A826" s="135"/>
      <c r="B826" s="451" t="s">
        <v>1068</v>
      </c>
      <c r="C826" s="135" t="s">
        <v>1075</v>
      </c>
      <c r="D826" s="141">
        <v>0</v>
      </c>
      <c r="E826" s="141">
        <v>0</v>
      </c>
      <c r="F826" s="141">
        <v>0</v>
      </c>
      <c r="G826" s="285">
        <v>0</v>
      </c>
      <c r="H826" s="147">
        <v>0</v>
      </c>
      <c r="I826" s="495">
        <f t="shared" si="44"/>
        <v>0</v>
      </c>
    </row>
    <row r="827" spans="1:10" x14ac:dyDescent="0.15">
      <c r="A827" s="135"/>
      <c r="B827" s="451" t="s">
        <v>1072</v>
      </c>
      <c r="C827" s="135" t="s">
        <v>920</v>
      </c>
      <c r="D827" s="141">
        <v>0</v>
      </c>
      <c r="E827" s="141">
        <v>0</v>
      </c>
      <c r="F827" s="141">
        <v>0</v>
      </c>
      <c r="G827" s="285">
        <v>0</v>
      </c>
      <c r="H827" s="147">
        <v>0</v>
      </c>
      <c r="I827" s="495">
        <f t="shared" si="44"/>
        <v>0</v>
      </c>
    </row>
    <row r="828" spans="1:10" x14ac:dyDescent="0.15">
      <c r="A828" s="135"/>
      <c r="B828" s="716" t="s">
        <v>155</v>
      </c>
      <c r="C828" s="703" t="s">
        <v>178</v>
      </c>
      <c r="D828" s="141">
        <v>0</v>
      </c>
      <c r="E828" s="141">
        <v>0</v>
      </c>
      <c r="F828" s="141">
        <v>0</v>
      </c>
      <c r="G828" s="285">
        <v>0</v>
      </c>
      <c r="H828" s="147">
        <v>0</v>
      </c>
      <c r="I828" s="495">
        <f t="shared" ref="I828" si="45">SUM(G828+H828)</f>
        <v>0</v>
      </c>
    </row>
    <row r="829" spans="1:10" x14ac:dyDescent="0.15">
      <c r="A829" s="135"/>
      <c r="B829" s="451" t="s">
        <v>921</v>
      </c>
      <c r="C829" s="135" t="s">
        <v>955</v>
      </c>
      <c r="D829" s="141">
        <v>0</v>
      </c>
      <c r="E829" s="141">
        <v>0</v>
      </c>
      <c r="F829" s="141">
        <v>0</v>
      </c>
      <c r="G829" s="285">
        <v>0</v>
      </c>
      <c r="H829" s="147">
        <v>0</v>
      </c>
      <c r="I829" s="495">
        <f t="shared" si="44"/>
        <v>0</v>
      </c>
    </row>
    <row r="830" spans="1:10" x14ac:dyDescent="0.15">
      <c r="A830" s="135"/>
      <c r="B830" s="451" t="s">
        <v>922</v>
      </c>
      <c r="C830" s="135" t="s">
        <v>956</v>
      </c>
      <c r="D830" s="141">
        <v>0</v>
      </c>
      <c r="E830" s="141">
        <v>0</v>
      </c>
      <c r="F830" s="141">
        <v>0</v>
      </c>
      <c r="G830" s="285">
        <v>0</v>
      </c>
      <c r="H830" s="147">
        <v>0</v>
      </c>
      <c r="I830" s="495">
        <f t="shared" si="44"/>
        <v>0</v>
      </c>
    </row>
    <row r="831" spans="1:10" x14ac:dyDescent="0.15">
      <c r="A831" s="135"/>
      <c r="B831" s="451" t="s">
        <v>923</v>
      </c>
      <c r="C831" s="135" t="s">
        <v>957</v>
      </c>
      <c r="D831" s="141">
        <v>0</v>
      </c>
      <c r="E831" s="141">
        <v>0</v>
      </c>
      <c r="F831" s="141">
        <v>0</v>
      </c>
      <c r="G831" s="285">
        <v>0</v>
      </c>
      <c r="H831" s="147">
        <v>0</v>
      </c>
      <c r="I831" s="495">
        <f t="shared" si="44"/>
        <v>0</v>
      </c>
    </row>
    <row r="832" spans="1:10" x14ac:dyDescent="0.15">
      <c r="A832" s="135"/>
      <c r="B832" s="451" t="s">
        <v>924</v>
      </c>
      <c r="C832" s="135" t="s">
        <v>958</v>
      </c>
      <c r="D832" s="141">
        <v>0</v>
      </c>
      <c r="E832" s="141">
        <v>0</v>
      </c>
      <c r="F832" s="141">
        <v>0</v>
      </c>
      <c r="G832" s="285">
        <v>0</v>
      </c>
      <c r="H832" s="147">
        <v>0</v>
      </c>
      <c r="I832" s="495">
        <f t="shared" si="44"/>
        <v>0</v>
      </c>
    </row>
    <row r="833" spans="1:9" x14ac:dyDescent="0.15">
      <c r="A833" s="135"/>
      <c r="B833" s="451" t="s">
        <v>925</v>
      </c>
      <c r="C833" s="135" t="s">
        <v>1128</v>
      </c>
      <c r="D833" s="141">
        <v>0</v>
      </c>
      <c r="E833" s="141">
        <v>0</v>
      </c>
      <c r="F833" s="141">
        <v>0</v>
      </c>
      <c r="G833" s="285">
        <v>0</v>
      </c>
      <c r="H833" s="147">
        <v>0</v>
      </c>
      <c r="I833" s="495">
        <f t="shared" si="44"/>
        <v>0</v>
      </c>
    </row>
    <row r="834" spans="1:9" x14ac:dyDescent="0.15">
      <c r="A834" s="135"/>
      <c r="B834" s="451" t="s">
        <v>926</v>
      </c>
      <c r="C834" s="135" t="s">
        <v>1129</v>
      </c>
      <c r="D834" s="141">
        <v>0</v>
      </c>
      <c r="E834" s="141">
        <v>0</v>
      </c>
      <c r="F834" s="141">
        <v>0</v>
      </c>
      <c r="G834" s="285">
        <v>0</v>
      </c>
      <c r="H834" s="147">
        <v>0</v>
      </c>
      <c r="I834" s="495">
        <f t="shared" si="44"/>
        <v>0</v>
      </c>
    </row>
    <row r="835" spans="1:9" x14ac:dyDescent="0.15">
      <c r="A835" s="135"/>
      <c r="B835" s="451" t="s">
        <v>927</v>
      </c>
      <c r="C835" s="135" t="s">
        <v>959</v>
      </c>
      <c r="D835" s="141">
        <v>0</v>
      </c>
      <c r="E835" s="141">
        <v>0</v>
      </c>
      <c r="F835" s="141">
        <v>0</v>
      </c>
      <c r="G835" s="285">
        <v>0</v>
      </c>
      <c r="H835" s="147">
        <v>0</v>
      </c>
      <c r="I835" s="495">
        <f t="shared" si="44"/>
        <v>0</v>
      </c>
    </row>
    <row r="836" spans="1:9" x14ac:dyDescent="0.15">
      <c r="A836" s="135"/>
      <c r="B836" s="451" t="s">
        <v>928</v>
      </c>
      <c r="C836" s="135" t="s">
        <v>961</v>
      </c>
      <c r="D836" s="141">
        <v>0</v>
      </c>
      <c r="E836" s="141">
        <v>0</v>
      </c>
      <c r="F836" s="141">
        <v>0</v>
      </c>
      <c r="G836" s="285">
        <v>0</v>
      </c>
      <c r="H836" s="147">
        <v>0</v>
      </c>
      <c r="I836" s="495">
        <f t="shared" si="44"/>
        <v>0</v>
      </c>
    </row>
    <row r="837" spans="1:9" x14ac:dyDescent="0.15">
      <c r="A837" s="135"/>
      <c r="B837" s="451" t="s">
        <v>962</v>
      </c>
      <c r="C837" s="135" t="s">
        <v>967</v>
      </c>
      <c r="D837" s="141">
        <v>0</v>
      </c>
      <c r="E837" s="141">
        <v>0</v>
      </c>
      <c r="F837" s="141">
        <v>0</v>
      </c>
      <c r="G837" s="285">
        <v>0</v>
      </c>
      <c r="H837" s="147">
        <v>0</v>
      </c>
      <c r="I837" s="495">
        <f t="shared" si="44"/>
        <v>0</v>
      </c>
    </row>
    <row r="838" spans="1:9" x14ac:dyDescent="0.15">
      <c r="A838" s="135"/>
      <c r="B838" s="451" t="s">
        <v>963</v>
      </c>
      <c r="C838" s="135" t="s">
        <v>1093</v>
      </c>
      <c r="D838" s="141">
        <v>0</v>
      </c>
      <c r="E838" s="141">
        <v>0</v>
      </c>
      <c r="F838" s="141">
        <v>0</v>
      </c>
      <c r="G838" s="285">
        <v>0</v>
      </c>
      <c r="H838" s="147">
        <v>0</v>
      </c>
      <c r="I838" s="495">
        <f t="shared" si="44"/>
        <v>0</v>
      </c>
    </row>
    <row r="839" spans="1:9" x14ac:dyDescent="0.15">
      <c r="A839" s="135"/>
      <c r="B839" s="451" t="s">
        <v>964</v>
      </c>
      <c r="C839" s="135" t="s">
        <v>1094</v>
      </c>
      <c r="D839" s="141">
        <v>0</v>
      </c>
      <c r="E839" s="141">
        <v>0</v>
      </c>
      <c r="F839" s="141">
        <v>0</v>
      </c>
      <c r="G839" s="285">
        <v>0</v>
      </c>
      <c r="H839" s="147">
        <v>0</v>
      </c>
      <c r="I839" s="495">
        <f t="shared" si="44"/>
        <v>0</v>
      </c>
    </row>
    <row r="840" spans="1:9" x14ac:dyDescent="0.15">
      <c r="A840" s="135"/>
      <c r="B840" s="451" t="s">
        <v>965</v>
      </c>
      <c r="C840" s="135" t="s">
        <v>1095</v>
      </c>
      <c r="D840" s="141">
        <v>0</v>
      </c>
      <c r="E840" s="141">
        <v>0</v>
      </c>
      <c r="F840" s="141">
        <v>0</v>
      </c>
      <c r="G840" s="285">
        <v>0</v>
      </c>
      <c r="H840" s="147">
        <v>0</v>
      </c>
      <c r="I840" s="495">
        <f t="shared" si="44"/>
        <v>0</v>
      </c>
    </row>
    <row r="841" spans="1:9" x14ac:dyDescent="0.15">
      <c r="A841" s="135"/>
      <c r="B841" s="451" t="s">
        <v>885</v>
      </c>
      <c r="C841" s="135" t="s">
        <v>1096</v>
      </c>
      <c r="D841" s="141">
        <v>0</v>
      </c>
      <c r="E841" s="141">
        <v>0</v>
      </c>
      <c r="F841" s="141">
        <v>0</v>
      </c>
      <c r="G841" s="285">
        <v>0</v>
      </c>
      <c r="H841" s="147">
        <v>0</v>
      </c>
      <c r="I841" s="495">
        <f t="shared" si="44"/>
        <v>0</v>
      </c>
    </row>
    <row r="842" spans="1:9" x14ac:dyDescent="0.15">
      <c r="A842" s="135"/>
      <c r="B842" s="451" t="s">
        <v>966</v>
      </c>
      <c r="C842" s="135" t="s">
        <v>1097</v>
      </c>
      <c r="D842" s="141">
        <v>0</v>
      </c>
      <c r="E842" s="141">
        <v>0</v>
      </c>
      <c r="F842" s="141">
        <v>0</v>
      </c>
      <c r="G842" s="285">
        <v>0</v>
      </c>
      <c r="H842" s="147">
        <v>0</v>
      </c>
      <c r="I842" s="495">
        <f t="shared" si="44"/>
        <v>0</v>
      </c>
    </row>
    <row r="843" spans="1:9" x14ac:dyDescent="0.15">
      <c r="A843" s="135"/>
      <c r="B843" s="451" t="s">
        <v>886</v>
      </c>
      <c r="C843" s="135" t="s">
        <v>1100</v>
      </c>
      <c r="D843" s="141">
        <v>0</v>
      </c>
      <c r="E843" s="141">
        <v>0</v>
      </c>
      <c r="F843" s="141">
        <v>0</v>
      </c>
      <c r="G843" s="285">
        <v>0</v>
      </c>
      <c r="H843" s="147">
        <v>0</v>
      </c>
      <c r="I843" s="495">
        <f t="shared" si="44"/>
        <v>0</v>
      </c>
    </row>
    <row r="844" spans="1:9" x14ac:dyDescent="0.15">
      <c r="A844" s="135"/>
      <c r="B844" s="451" t="s">
        <v>116</v>
      </c>
      <c r="C844" s="135" t="s">
        <v>1105</v>
      </c>
      <c r="D844" s="141">
        <v>0</v>
      </c>
      <c r="E844" s="141">
        <v>0</v>
      </c>
      <c r="F844" s="141">
        <v>0</v>
      </c>
      <c r="G844" s="285">
        <v>0</v>
      </c>
      <c r="H844" s="147">
        <v>0</v>
      </c>
      <c r="I844" s="495">
        <f t="shared" si="44"/>
        <v>0</v>
      </c>
    </row>
    <row r="845" spans="1:9" x14ac:dyDescent="0.15">
      <c r="A845" s="135"/>
      <c r="B845" s="451" t="s">
        <v>112</v>
      </c>
      <c r="C845" s="135" t="s">
        <v>1110</v>
      </c>
      <c r="D845" s="141">
        <v>0</v>
      </c>
      <c r="E845" s="141">
        <v>0</v>
      </c>
      <c r="F845" s="141">
        <v>0</v>
      </c>
      <c r="G845" s="285">
        <v>0</v>
      </c>
      <c r="H845" s="147">
        <v>0</v>
      </c>
      <c r="I845" s="495">
        <f t="shared" si="44"/>
        <v>0</v>
      </c>
    </row>
    <row r="846" spans="1:9" x14ac:dyDescent="0.15">
      <c r="A846" s="135"/>
      <c r="B846" s="451" t="s">
        <v>887</v>
      </c>
      <c r="C846" s="135" t="s">
        <v>1116</v>
      </c>
      <c r="D846" s="141">
        <v>0</v>
      </c>
      <c r="E846" s="141">
        <v>0</v>
      </c>
      <c r="F846" s="141">
        <v>0</v>
      </c>
      <c r="G846" s="285">
        <v>0</v>
      </c>
      <c r="H846" s="147">
        <v>0</v>
      </c>
      <c r="I846" s="495">
        <f t="shared" si="44"/>
        <v>0</v>
      </c>
    </row>
    <row r="847" spans="1:9" x14ac:dyDescent="0.15">
      <c r="A847" s="135"/>
      <c r="B847" s="451" t="s">
        <v>1112</v>
      </c>
      <c r="C847" s="135" t="s">
        <v>1117</v>
      </c>
      <c r="D847" s="141">
        <v>0</v>
      </c>
      <c r="E847" s="141">
        <v>0</v>
      </c>
      <c r="F847" s="141">
        <v>0</v>
      </c>
      <c r="G847" s="285">
        <v>0</v>
      </c>
      <c r="H847" s="147">
        <v>0</v>
      </c>
      <c r="I847" s="495">
        <f t="shared" si="44"/>
        <v>0</v>
      </c>
    </row>
    <row r="848" spans="1:9" x14ac:dyDescent="0.15">
      <c r="A848" s="135"/>
      <c r="B848" s="451" t="s">
        <v>1113</v>
      </c>
      <c r="C848" s="135" t="s">
        <v>1118</v>
      </c>
      <c r="D848" s="141">
        <v>0</v>
      </c>
      <c r="E848" s="141">
        <v>0</v>
      </c>
      <c r="F848" s="141">
        <v>0</v>
      </c>
      <c r="G848" s="285">
        <v>0</v>
      </c>
      <c r="H848" s="147">
        <v>0</v>
      </c>
      <c r="I848" s="495">
        <f t="shared" si="44"/>
        <v>0</v>
      </c>
    </row>
    <row r="849" spans="1:9" ht="11.25" thickBot="1" x14ac:dyDescent="0.2">
      <c r="A849" s="135"/>
      <c r="B849" s="451" t="s">
        <v>1114</v>
      </c>
      <c r="C849" s="135" t="s">
        <v>1119</v>
      </c>
      <c r="D849" s="141">
        <v>0</v>
      </c>
      <c r="E849" s="141">
        <v>0</v>
      </c>
      <c r="F849" s="141">
        <v>0</v>
      </c>
      <c r="G849" s="285">
        <v>0</v>
      </c>
      <c r="H849" s="147">
        <v>0</v>
      </c>
      <c r="I849" s="495">
        <f t="shared" si="44"/>
        <v>0</v>
      </c>
    </row>
    <row r="850" spans="1:9" ht="12" thickTop="1" thickBot="1" x14ac:dyDescent="0.2">
      <c r="A850" s="135"/>
      <c r="B850" s="451"/>
      <c r="C850" s="135" t="s">
        <v>1281</v>
      </c>
      <c r="D850" s="166">
        <f>SUM(D816:D849)</f>
        <v>0</v>
      </c>
      <c r="E850" s="166">
        <f>SUM(E816:E849)</f>
        <v>0</v>
      </c>
      <c r="F850" s="166">
        <f>SUM(F816:F849)</f>
        <v>0</v>
      </c>
      <c r="G850" s="166">
        <f>SUM(G816:G849)</f>
        <v>0</v>
      </c>
      <c r="H850" s="166">
        <f>SUM(H816:H849)</f>
        <v>0</v>
      </c>
      <c r="I850" s="166">
        <f>SUM(G850+H850)</f>
        <v>0</v>
      </c>
    </row>
    <row r="851" spans="1:9" ht="11.25" thickTop="1" x14ac:dyDescent="0.15">
      <c r="A851" s="135"/>
      <c r="B851" s="135"/>
      <c r="C851" s="135"/>
      <c r="D851" s="14"/>
      <c r="E851" s="14"/>
      <c r="F851" s="14"/>
      <c r="G851" s="14"/>
      <c r="H851" s="14"/>
      <c r="I851" s="491"/>
    </row>
    <row r="852" spans="1:9" x14ac:dyDescent="0.15">
      <c r="A852" s="452" t="s">
        <v>1283</v>
      </c>
      <c r="B852" s="135"/>
      <c r="C852" s="135"/>
      <c r="D852" s="14"/>
      <c r="E852" s="14"/>
      <c r="F852" s="14"/>
      <c r="G852" s="14"/>
      <c r="H852" s="14"/>
      <c r="I852" s="491"/>
    </row>
    <row r="853" spans="1:9" s="416" customFormat="1" hidden="1" x14ac:dyDescent="0.15">
      <c r="B853" s="453" t="s">
        <v>880</v>
      </c>
      <c r="C853" s="454" t="s">
        <v>1164</v>
      </c>
      <c r="D853" s="308">
        <v>0</v>
      </c>
      <c r="E853" s="308">
        <v>0</v>
      </c>
      <c r="F853" s="308">
        <v>0</v>
      </c>
      <c r="G853" s="458"/>
      <c r="H853" s="457">
        <v>0</v>
      </c>
      <c r="I853" s="494">
        <f t="shared" ref="I853:I886" si="46">SUM(G853+H853)</f>
        <v>0</v>
      </c>
    </row>
    <row r="854" spans="1:9" s="416" customFormat="1" x14ac:dyDescent="0.15">
      <c r="B854" s="453" t="s">
        <v>880</v>
      </c>
      <c r="C854" s="454" t="s">
        <v>337</v>
      </c>
      <c r="D854" s="308">
        <v>0</v>
      </c>
      <c r="E854" s="308">
        <v>0</v>
      </c>
      <c r="F854" s="308">
        <v>0</v>
      </c>
      <c r="G854" s="308">
        <v>0</v>
      </c>
      <c r="H854" s="457">
        <v>0</v>
      </c>
      <c r="I854" s="494">
        <f t="shared" si="46"/>
        <v>0</v>
      </c>
    </row>
    <row r="855" spans="1:9" s="416" customFormat="1" hidden="1" x14ac:dyDescent="0.15">
      <c r="A855" s="454"/>
      <c r="B855" s="453" t="s">
        <v>881</v>
      </c>
      <c r="C855" s="454" t="s">
        <v>382</v>
      </c>
      <c r="D855" s="308">
        <v>0</v>
      </c>
      <c r="E855" s="308">
        <v>0</v>
      </c>
      <c r="F855" s="308">
        <v>0</v>
      </c>
      <c r="G855" s="459"/>
      <c r="H855" s="457">
        <v>0</v>
      </c>
      <c r="I855" s="494">
        <f t="shared" si="46"/>
        <v>0</v>
      </c>
    </row>
    <row r="856" spans="1:9" s="416" customFormat="1" x14ac:dyDescent="0.15">
      <c r="A856" s="454"/>
      <c r="B856" s="453" t="s">
        <v>881</v>
      </c>
      <c r="C856" s="454" t="s">
        <v>338</v>
      </c>
      <c r="D856" s="308">
        <v>0</v>
      </c>
      <c r="E856" s="308">
        <v>0</v>
      </c>
      <c r="F856" s="308">
        <v>0</v>
      </c>
      <c r="G856" s="308">
        <v>0</v>
      </c>
      <c r="H856" s="457">
        <v>0</v>
      </c>
      <c r="I856" s="494">
        <f t="shared" si="46"/>
        <v>0</v>
      </c>
    </row>
    <row r="857" spans="1:9" x14ac:dyDescent="0.15">
      <c r="A857" s="135"/>
      <c r="B857" s="451" t="s">
        <v>882</v>
      </c>
      <c r="C857" s="135" t="s">
        <v>1058</v>
      </c>
      <c r="D857" s="141">
        <v>0</v>
      </c>
      <c r="E857" s="141">
        <v>0</v>
      </c>
      <c r="F857" s="141">
        <v>0</v>
      </c>
      <c r="G857" s="285">
        <v>0</v>
      </c>
      <c r="H857" s="147">
        <v>0</v>
      </c>
      <c r="I857" s="495">
        <f t="shared" si="46"/>
        <v>0</v>
      </c>
    </row>
    <row r="858" spans="1:9" x14ac:dyDescent="0.15">
      <c r="A858" s="135"/>
      <c r="B858" s="451" t="s">
        <v>883</v>
      </c>
      <c r="C858" s="135" t="s">
        <v>1059</v>
      </c>
      <c r="D858" s="141">
        <v>0</v>
      </c>
      <c r="E858" s="141">
        <v>0</v>
      </c>
      <c r="F858" s="141">
        <v>0</v>
      </c>
      <c r="G858" s="285">
        <v>0</v>
      </c>
      <c r="H858" s="147">
        <v>0</v>
      </c>
      <c r="I858" s="495">
        <f t="shared" si="46"/>
        <v>0</v>
      </c>
    </row>
    <row r="859" spans="1:9" x14ac:dyDescent="0.15">
      <c r="A859" s="135"/>
      <c r="B859" s="451" t="s">
        <v>1060</v>
      </c>
      <c r="C859" s="135" t="s">
        <v>1061</v>
      </c>
      <c r="D859" s="141">
        <v>0</v>
      </c>
      <c r="E859" s="141">
        <v>0</v>
      </c>
      <c r="F859" s="141">
        <v>0</v>
      </c>
      <c r="G859" s="285">
        <v>0</v>
      </c>
      <c r="H859" s="147">
        <v>0</v>
      </c>
      <c r="I859" s="495">
        <f t="shared" si="46"/>
        <v>0</v>
      </c>
    </row>
    <row r="860" spans="1:9" x14ac:dyDescent="0.15">
      <c r="A860" s="135"/>
      <c r="B860" s="451" t="s">
        <v>1062</v>
      </c>
      <c r="C860" s="135" t="s">
        <v>1063</v>
      </c>
      <c r="D860" s="141">
        <v>0</v>
      </c>
      <c r="E860" s="141">
        <v>0</v>
      </c>
      <c r="F860" s="141">
        <v>0</v>
      </c>
      <c r="G860" s="285">
        <v>0</v>
      </c>
      <c r="H860" s="147">
        <v>0</v>
      </c>
      <c r="I860" s="495">
        <f t="shared" si="46"/>
        <v>0</v>
      </c>
    </row>
    <row r="861" spans="1:9" x14ac:dyDescent="0.15">
      <c r="A861" s="135"/>
      <c r="B861" s="451" t="s">
        <v>884</v>
      </c>
      <c r="C861" s="135" t="s">
        <v>1064</v>
      </c>
      <c r="D861" s="141">
        <v>0</v>
      </c>
      <c r="E861" s="141">
        <v>0</v>
      </c>
      <c r="F861" s="141">
        <v>0</v>
      </c>
      <c r="G861" s="285">
        <v>0</v>
      </c>
      <c r="H861" s="147">
        <v>0</v>
      </c>
      <c r="I861" s="495">
        <f t="shared" si="46"/>
        <v>0</v>
      </c>
    </row>
    <row r="862" spans="1:9" x14ac:dyDescent="0.15">
      <c r="A862" s="135"/>
      <c r="B862" s="451" t="s">
        <v>1067</v>
      </c>
      <c r="C862" s="135" t="s">
        <v>1074</v>
      </c>
      <c r="D862" s="141">
        <v>0</v>
      </c>
      <c r="E862" s="141">
        <v>0</v>
      </c>
      <c r="F862" s="141">
        <v>0</v>
      </c>
      <c r="G862" s="285">
        <v>0</v>
      </c>
      <c r="H862" s="147">
        <v>0</v>
      </c>
      <c r="I862" s="495">
        <f t="shared" si="46"/>
        <v>0</v>
      </c>
    </row>
    <row r="863" spans="1:9" x14ac:dyDescent="0.15">
      <c r="A863" s="135"/>
      <c r="B863" s="451" t="s">
        <v>1068</v>
      </c>
      <c r="C863" s="135" t="s">
        <v>1075</v>
      </c>
      <c r="D863" s="141">
        <v>0</v>
      </c>
      <c r="E863" s="141">
        <v>0</v>
      </c>
      <c r="F863" s="141">
        <v>0</v>
      </c>
      <c r="G863" s="285">
        <v>0</v>
      </c>
      <c r="H863" s="147">
        <v>0</v>
      </c>
      <c r="I863" s="495">
        <f t="shared" si="46"/>
        <v>0</v>
      </c>
    </row>
    <row r="864" spans="1:9" x14ac:dyDescent="0.15">
      <c r="A864" s="135"/>
      <c r="B864" s="451" t="s">
        <v>1072</v>
      </c>
      <c r="C864" s="135" t="s">
        <v>920</v>
      </c>
      <c r="D864" s="141">
        <v>0</v>
      </c>
      <c r="E864" s="141">
        <v>0</v>
      </c>
      <c r="F864" s="141">
        <v>0</v>
      </c>
      <c r="G864" s="285">
        <v>0</v>
      </c>
      <c r="H864" s="147">
        <v>0</v>
      </c>
      <c r="I864" s="495">
        <f t="shared" si="46"/>
        <v>0</v>
      </c>
    </row>
    <row r="865" spans="1:9" x14ac:dyDescent="0.15">
      <c r="A865" s="135"/>
      <c r="B865" s="716" t="s">
        <v>155</v>
      </c>
      <c r="C865" s="703" t="s">
        <v>178</v>
      </c>
      <c r="D865" s="141">
        <v>0</v>
      </c>
      <c r="E865" s="141">
        <v>0</v>
      </c>
      <c r="F865" s="141">
        <v>0</v>
      </c>
      <c r="G865" s="285">
        <v>0</v>
      </c>
      <c r="H865" s="147">
        <v>0</v>
      </c>
      <c r="I865" s="495">
        <f t="shared" ref="I865" si="47">SUM(G865+H865)</f>
        <v>0</v>
      </c>
    </row>
    <row r="866" spans="1:9" x14ac:dyDescent="0.15">
      <c r="A866" s="135"/>
      <c r="B866" s="451" t="s">
        <v>921</v>
      </c>
      <c r="C866" s="135" t="s">
        <v>955</v>
      </c>
      <c r="D866" s="141">
        <v>0</v>
      </c>
      <c r="E866" s="141">
        <v>0</v>
      </c>
      <c r="F866" s="141">
        <v>0</v>
      </c>
      <c r="G866" s="285">
        <v>0</v>
      </c>
      <c r="H866" s="147">
        <v>0</v>
      </c>
      <c r="I866" s="495">
        <f t="shared" si="46"/>
        <v>0</v>
      </c>
    </row>
    <row r="867" spans="1:9" x14ac:dyDescent="0.15">
      <c r="A867" s="135"/>
      <c r="B867" s="451" t="s">
        <v>922</v>
      </c>
      <c r="C867" s="135" t="s">
        <v>956</v>
      </c>
      <c r="D867" s="141">
        <v>0</v>
      </c>
      <c r="E867" s="141">
        <v>0</v>
      </c>
      <c r="F867" s="141">
        <v>0</v>
      </c>
      <c r="G867" s="285">
        <v>0</v>
      </c>
      <c r="H867" s="147">
        <v>0</v>
      </c>
      <c r="I867" s="495">
        <f t="shared" si="46"/>
        <v>0</v>
      </c>
    </row>
    <row r="868" spans="1:9" x14ac:dyDescent="0.15">
      <c r="A868" s="135"/>
      <c r="B868" s="451" t="s">
        <v>923</v>
      </c>
      <c r="C868" s="135" t="s">
        <v>957</v>
      </c>
      <c r="D868" s="141">
        <v>0</v>
      </c>
      <c r="E868" s="141">
        <v>0</v>
      </c>
      <c r="F868" s="141">
        <v>0</v>
      </c>
      <c r="G868" s="285">
        <v>0</v>
      </c>
      <c r="H868" s="147">
        <v>0</v>
      </c>
      <c r="I868" s="495">
        <f t="shared" si="46"/>
        <v>0</v>
      </c>
    </row>
    <row r="869" spans="1:9" x14ac:dyDescent="0.15">
      <c r="A869" s="135"/>
      <c r="B869" s="451" t="s">
        <v>924</v>
      </c>
      <c r="C869" s="135" t="s">
        <v>958</v>
      </c>
      <c r="D869" s="141">
        <v>0</v>
      </c>
      <c r="E869" s="141">
        <v>0</v>
      </c>
      <c r="F869" s="141">
        <v>0</v>
      </c>
      <c r="G869" s="285">
        <v>0</v>
      </c>
      <c r="H869" s="147">
        <v>0</v>
      </c>
      <c r="I869" s="495">
        <f t="shared" si="46"/>
        <v>0</v>
      </c>
    </row>
    <row r="870" spans="1:9" x14ac:dyDescent="0.15">
      <c r="A870" s="135"/>
      <c r="B870" s="451" t="s">
        <v>925</v>
      </c>
      <c r="C870" s="135" t="s">
        <v>1128</v>
      </c>
      <c r="D870" s="141">
        <v>0</v>
      </c>
      <c r="E870" s="141">
        <v>0</v>
      </c>
      <c r="F870" s="141">
        <v>0</v>
      </c>
      <c r="G870" s="285">
        <v>0</v>
      </c>
      <c r="H870" s="147">
        <v>0</v>
      </c>
      <c r="I870" s="495">
        <f t="shared" si="46"/>
        <v>0</v>
      </c>
    </row>
    <row r="871" spans="1:9" x14ac:dyDescent="0.15">
      <c r="A871" s="135"/>
      <c r="B871" s="451" t="s">
        <v>926</v>
      </c>
      <c r="C871" s="135" t="s">
        <v>1129</v>
      </c>
      <c r="D871" s="141">
        <v>0</v>
      </c>
      <c r="E871" s="141">
        <v>0</v>
      </c>
      <c r="F871" s="141">
        <v>0</v>
      </c>
      <c r="G871" s="285">
        <v>0</v>
      </c>
      <c r="H871" s="147">
        <v>0</v>
      </c>
      <c r="I871" s="495">
        <f t="shared" si="46"/>
        <v>0</v>
      </c>
    </row>
    <row r="872" spans="1:9" x14ac:dyDescent="0.15">
      <c r="A872" s="135"/>
      <c r="B872" s="451" t="s">
        <v>927</v>
      </c>
      <c r="C872" s="135" t="s">
        <v>959</v>
      </c>
      <c r="D872" s="141">
        <v>0</v>
      </c>
      <c r="E872" s="141">
        <v>0</v>
      </c>
      <c r="F872" s="141">
        <v>0</v>
      </c>
      <c r="G872" s="285">
        <v>0</v>
      </c>
      <c r="H872" s="147">
        <v>0</v>
      </c>
      <c r="I872" s="495">
        <f t="shared" si="46"/>
        <v>0</v>
      </c>
    </row>
    <row r="873" spans="1:9" x14ac:dyDescent="0.15">
      <c r="A873" s="135"/>
      <c r="B873" s="451" t="s">
        <v>928</v>
      </c>
      <c r="C873" s="135" t="s">
        <v>961</v>
      </c>
      <c r="D873" s="141">
        <v>0</v>
      </c>
      <c r="E873" s="141">
        <v>0</v>
      </c>
      <c r="F873" s="141">
        <v>0</v>
      </c>
      <c r="G873" s="285">
        <v>0</v>
      </c>
      <c r="H873" s="147">
        <v>0</v>
      </c>
      <c r="I873" s="495">
        <f t="shared" si="46"/>
        <v>0</v>
      </c>
    </row>
    <row r="874" spans="1:9" x14ac:dyDescent="0.15">
      <c r="A874" s="135"/>
      <c r="B874" s="451" t="s">
        <v>962</v>
      </c>
      <c r="C874" s="135" t="s">
        <v>967</v>
      </c>
      <c r="D874" s="141">
        <v>0</v>
      </c>
      <c r="E874" s="141">
        <v>0</v>
      </c>
      <c r="F874" s="141">
        <v>0</v>
      </c>
      <c r="G874" s="285">
        <v>0</v>
      </c>
      <c r="H874" s="147">
        <v>0</v>
      </c>
      <c r="I874" s="495">
        <f t="shared" si="46"/>
        <v>0</v>
      </c>
    </row>
    <row r="875" spans="1:9" x14ac:dyDescent="0.15">
      <c r="A875" s="135"/>
      <c r="B875" s="451" t="s">
        <v>963</v>
      </c>
      <c r="C875" s="135" t="s">
        <v>1093</v>
      </c>
      <c r="D875" s="141">
        <v>0</v>
      </c>
      <c r="E875" s="141">
        <v>0</v>
      </c>
      <c r="F875" s="141">
        <v>0</v>
      </c>
      <c r="G875" s="285">
        <v>0</v>
      </c>
      <c r="H875" s="147">
        <v>0</v>
      </c>
      <c r="I875" s="495">
        <f t="shared" si="46"/>
        <v>0</v>
      </c>
    </row>
    <row r="876" spans="1:9" x14ac:dyDescent="0.15">
      <c r="A876" s="135"/>
      <c r="B876" s="451" t="s">
        <v>964</v>
      </c>
      <c r="C876" s="135" t="s">
        <v>1094</v>
      </c>
      <c r="D876" s="141">
        <v>0</v>
      </c>
      <c r="E876" s="141">
        <v>0</v>
      </c>
      <c r="F876" s="141">
        <v>0</v>
      </c>
      <c r="G876" s="285">
        <v>0</v>
      </c>
      <c r="H876" s="147">
        <v>0</v>
      </c>
      <c r="I876" s="495">
        <f t="shared" si="46"/>
        <v>0</v>
      </c>
    </row>
    <row r="877" spans="1:9" x14ac:dyDescent="0.15">
      <c r="A877" s="135"/>
      <c r="B877" s="451" t="s">
        <v>965</v>
      </c>
      <c r="C877" s="135" t="s">
        <v>1095</v>
      </c>
      <c r="D877" s="141">
        <v>0</v>
      </c>
      <c r="E877" s="141">
        <v>0</v>
      </c>
      <c r="F877" s="141">
        <v>0</v>
      </c>
      <c r="G877" s="285">
        <v>0</v>
      </c>
      <c r="H877" s="147">
        <v>0</v>
      </c>
      <c r="I877" s="495">
        <f t="shared" si="46"/>
        <v>0</v>
      </c>
    </row>
    <row r="878" spans="1:9" x14ac:dyDescent="0.15">
      <c r="A878" s="135"/>
      <c r="B878" s="451" t="s">
        <v>885</v>
      </c>
      <c r="C878" s="135" t="s">
        <v>1096</v>
      </c>
      <c r="D878" s="141">
        <v>0</v>
      </c>
      <c r="E878" s="141">
        <v>0</v>
      </c>
      <c r="F878" s="141">
        <v>0</v>
      </c>
      <c r="G878" s="285">
        <v>0</v>
      </c>
      <c r="H878" s="147">
        <v>0</v>
      </c>
      <c r="I878" s="495">
        <f t="shared" si="46"/>
        <v>0</v>
      </c>
    </row>
    <row r="879" spans="1:9" x14ac:dyDescent="0.15">
      <c r="A879" s="135"/>
      <c r="B879" s="451" t="s">
        <v>966</v>
      </c>
      <c r="C879" s="135" t="s">
        <v>1097</v>
      </c>
      <c r="D879" s="141">
        <v>0</v>
      </c>
      <c r="E879" s="141">
        <v>0</v>
      </c>
      <c r="F879" s="141">
        <v>0</v>
      </c>
      <c r="G879" s="285">
        <v>0</v>
      </c>
      <c r="H879" s="147">
        <v>0</v>
      </c>
      <c r="I879" s="495">
        <f t="shared" si="46"/>
        <v>0</v>
      </c>
    </row>
    <row r="880" spans="1:9" x14ac:dyDescent="0.15">
      <c r="A880" s="135"/>
      <c r="B880" s="451" t="s">
        <v>886</v>
      </c>
      <c r="C880" s="135" t="s">
        <v>1100</v>
      </c>
      <c r="D880" s="141">
        <v>0</v>
      </c>
      <c r="E880" s="141">
        <v>0</v>
      </c>
      <c r="F880" s="141">
        <v>0</v>
      </c>
      <c r="G880" s="285">
        <v>0</v>
      </c>
      <c r="H880" s="147">
        <v>0</v>
      </c>
      <c r="I880" s="495">
        <f t="shared" si="46"/>
        <v>0</v>
      </c>
    </row>
    <row r="881" spans="1:10" x14ac:dyDescent="0.15">
      <c r="A881" s="135"/>
      <c r="B881" s="451" t="s">
        <v>116</v>
      </c>
      <c r="C881" s="135" t="s">
        <v>1105</v>
      </c>
      <c r="D881" s="141">
        <v>0</v>
      </c>
      <c r="E881" s="141">
        <v>0</v>
      </c>
      <c r="F881" s="141">
        <v>0</v>
      </c>
      <c r="G881" s="285">
        <v>0</v>
      </c>
      <c r="H881" s="147">
        <v>0</v>
      </c>
      <c r="I881" s="495">
        <f t="shared" si="46"/>
        <v>0</v>
      </c>
    </row>
    <row r="882" spans="1:10" x14ac:dyDescent="0.15">
      <c r="A882" s="135"/>
      <c r="B882" s="451" t="s">
        <v>112</v>
      </c>
      <c r="C882" s="135" t="s">
        <v>1110</v>
      </c>
      <c r="D882" s="141">
        <v>0</v>
      </c>
      <c r="E882" s="141">
        <v>0</v>
      </c>
      <c r="F882" s="141">
        <v>0</v>
      </c>
      <c r="G882" s="285">
        <v>0</v>
      </c>
      <c r="H882" s="147">
        <v>0</v>
      </c>
      <c r="I882" s="495">
        <f t="shared" si="46"/>
        <v>0</v>
      </c>
    </row>
    <row r="883" spans="1:10" x14ac:dyDescent="0.15">
      <c r="A883" s="135"/>
      <c r="B883" s="451" t="s">
        <v>887</v>
      </c>
      <c r="C883" s="135" t="s">
        <v>1116</v>
      </c>
      <c r="D883" s="141">
        <v>0</v>
      </c>
      <c r="E883" s="141">
        <v>0</v>
      </c>
      <c r="F883" s="141">
        <v>0</v>
      </c>
      <c r="G883" s="285">
        <v>0</v>
      </c>
      <c r="H883" s="147">
        <v>0</v>
      </c>
      <c r="I883" s="495">
        <f t="shared" si="46"/>
        <v>0</v>
      </c>
    </row>
    <row r="884" spans="1:10" x14ac:dyDescent="0.15">
      <c r="A884" s="135"/>
      <c r="B884" s="451" t="s">
        <v>1112</v>
      </c>
      <c r="C884" s="135" t="s">
        <v>1117</v>
      </c>
      <c r="D884" s="141">
        <v>0</v>
      </c>
      <c r="E884" s="141">
        <v>0</v>
      </c>
      <c r="F884" s="141">
        <v>0</v>
      </c>
      <c r="G884" s="285">
        <v>0</v>
      </c>
      <c r="H884" s="147">
        <v>0</v>
      </c>
      <c r="I884" s="495">
        <f t="shared" si="46"/>
        <v>0</v>
      </c>
    </row>
    <row r="885" spans="1:10" x14ac:dyDescent="0.15">
      <c r="A885" s="135"/>
      <c r="B885" s="451" t="s">
        <v>1113</v>
      </c>
      <c r="C885" s="135" t="s">
        <v>1118</v>
      </c>
      <c r="D885" s="141">
        <v>0</v>
      </c>
      <c r="E885" s="141">
        <v>0</v>
      </c>
      <c r="F885" s="141">
        <v>0</v>
      </c>
      <c r="G885" s="285">
        <v>0</v>
      </c>
      <c r="H885" s="147">
        <v>0</v>
      </c>
      <c r="I885" s="495">
        <f t="shared" si="46"/>
        <v>0</v>
      </c>
    </row>
    <row r="886" spans="1:10" ht="11.25" thickBot="1" x14ac:dyDescent="0.2">
      <c r="A886" s="135"/>
      <c r="B886" s="451" t="s">
        <v>1114</v>
      </c>
      <c r="C886" s="135" t="s">
        <v>1119</v>
      </c>
      <c r="D886" s="141">
        <v>0</v>
      </c>
      <c r="E886" s="141">
        <v>0</v>
      </c>
      <c r="F886" s="141">
        <v>0</v>
      </c>
      <c r="G886" s="285">
        <v>0</v>
      </c>
      <c r="H886" s="147">
        <v>0</v>
      </c>
      <c r="I886" s="495">
        <f t="shared" si="46"/>
        <v>0</v>
      </c>
    </row>
    <row r="887" spans="1:10" ht="12" thickTop="1" thickBot="1" x14ac:dyDescent="0.2">
      <c r="A887" s="135"/>
      <c r="B887" s="451"/>
      <c r="C887" s="135" t="s">
        <v>1284</v>
      </c>
      <c r="D887" s="166">
        <f>SUM(D853:D886)</f>
        <v>0</v>
      </c>
      <c r="E887" s="166">
        <f>SUM(E853:E886)</f>
        <v>0</v>
      </c>
      <c r="F887" s="166">
        <f>SUM(F853:F886)</f>
        <v>0</v>
      </c>
      <c r="G887" s="166">
        <f>SUM(G853:G886)</f>
        <v>0</v>
      </c>
      <c r="H887" s="166">
        <f>SUM(H853:H886)</f>
        <v>0</v>
      </c>
      <c r="I887" s="166">
        <f>SUM(G887+H887)</f>
        <v>0</v>
      </c>
    </row>
    <row r="888" spans="1:10" ht="11.25" thickTop="1" x14ac:dyDescent="0.15">
      <c r="A888" s="135"/>
      <c r="B888" s="135"/>
      <c r="C888" s="135"/>
      <c r="D888" s="14"/>
      <c r="E888" s="14"/>
      <c r="F888" s="14"/>
      <c r="G888" s="14"/>
      <c r="H888" s="14"/>
      <c r="I888" s="491"/>
    </row>
    <row r="889" spans="1:10" x14ac:dyDescent="0.15">
      <c r="A889" s="452" t="s">
        <v>1285</v>
      </c>
      <c r="B889" s="135"/>
      <c r="C889" s="135"/>
      <c r="D889" s="14"/>
      <c r="E889" s="14"/>
      <c r="F889" s="14"/>
      <c r="G889" s="14"/>
      <c r="H889" s="14"/>
      <c r="I889" s="491"/>
    </row>
    <row r="890" spans="1:10" s="416" customFormat="1" hidden="1" x14ac:dyDescent="0.15">
      <c r="B890" s="453" t="s">
        <v>880</v>
      </c>
      <c r="C890" s="454" t="s">
        <v>1164</v>
      </c>
      <c r="D890" s="308">
        <v>0</v>
      </c>
      <c r="E890" s="308">
        <v>0</v>
      </c>
      <c r="F890" s="308">
        <v>0</v>
      </c>
      <c r="G890" s="458"/>
      <c r="H890" s="457">
        <v>0</v>
      </c>
      <c r="I890" s="494">
        <f t="shared" ref="I890:I924" si="48">SUM(G890+H890)</f>
        <v>0</v>
      </c>
    </row>
    <row r="891" spans="1:10" s="416" customFormat="1" x14ac:dyDescent="0.15">
      <c r="B891" s="453" t="s">
        <v>880</v>
      </c>
      <c r="C891" s="454" t="s">
        <v>337</v>
      </c>
      <c r="D891" s="308">
        <v>0</v>
      </c>
      <c r="E891" s="308">
        <v>0</v>
      </c>
      <c r="F891" s="308">
        <v>0</v>
      </c>
      <c r="G891" s="308">
        <v>0</v>
      </c>
      <c r="H891" s="457">
        <v>0</v>
      </c>
      <c r="I891" s="494">
        <f t="shared" si="48"/>
        <v>0</v>
      </c>
    </row>
    <row r="892" spans="1:10" s="416" customFormat="1" hidden="1" x14ac:dyDescent="0.15">
      <c r="A892" s="454"/>
      <c r="B892" s="453" t="s">
        <v>881</v>
      </c>
      <c r="C892" s="454" t="s">
        <v>382</v>
      </c>
      <c r="D892" s="308">
        <v>0</v>
      </c>
      <c r="E892" s="308">
        <v>0</v>
      </c>
      <c r="F892" s="308">
        <v>0</v>
      </c>
      <c r="G892" s="459"/>
      <c r="H892" s="457">
        <v>0</v>
      </c>
      <c r="I892" s="494">
        <f t="shared" si="48"/>
        <v>0</v>
      </c>
    </row>
    <row r="893" spans="1:10" x14ac:dyDescent="0.15">
      <c r="A893" s="135"/>
      <c r="B893" s="451" t="s">
        <v>881</v>
      </c>
      <c r="C893" s="135" t="s">
        <v>338</v>
      </c>
      <c r="D893" s="144">
        <v>0</v>
      </c>
      <c r="E893" s="144">
        <v>0</v>
      </c>
      <c r="F893" s="144">
        <v>0</v>
      </c>
      <c r="G893" s="144">
        <v>0</v>
      </c>
      <c r="H893" s="147">
        <v>0</v>
      </c>
      <c r="I893" s="495">
        <f t="shared" si="48"/>
        <v>0</v>
      </c>
      <c r="J893" s="416"/>
    </row>
    <row r="894" spans="1:10" x14ac:dyDescent="0.15">
      <c r="A894" s="135"/>
      <c r="B894" s="451" t="s">
        <v>882</v>
      </c>
      <c r="C894" s="135" t="s">
        <v>1058</v>
      </c>
      <c r="D894" s="141">
        <v>0</v>
      </c>
      <c r="E894" s="141">
        <v>0</v>
      </c>
      <c r="F894" s="141">
        <v>0</v>
      </c>
      <c r="G894" s="285">
        <v>0</v>
      </c>
      <c r="H894" s="147">
        <v>0</v>
      </c>
      <c r="I894" s="495">
        <f t="shared" si="48"/>
        <v>0</v>
      </c>
    </row>
    <row r="895" spans="1:10" x14ac:dyDescent="0.15">
      <c r="A895" s="135"/>
      <c r="B895" s="451" t="s">
        <v>883</v>
      </c>
      <c r="C895" s="135" t="s">
        <v>1059</v>
      </c>
      <c r="D895" s="141">
        <v>0</v>
      </c>
      <c r="E895" s="141">
        <v>0</v>
      </c>
      <c r="F895" s="141">
        <v>0</v>
      </c>
      <c r="G895" s="285">
        <v>0</v>
      </c>
      <c r="H895" s="147">
        <v>0</v>
      </c>
      <c r="I895" s="495">
        <f t="shared" si="48"/>
        <v>0</v>
      </c>
    </row>
    <row r="896" spans="1:10" x14ac:dyDescent="0.15">
      <c r="A896" s="135"/>
      <c r="B896" s="451" t="s">
        <v>1060</v>
      </c>
      <c r="C896" s="135" t="s">
        <v>1061</v>
      </c>
      <c r="D896" s="141">
        <v>0</v>
      </c>
      <c r="E896" s="141">
        <v>0</v>
      </c>
      <c r="F896" s="141">
        <v>0</v>
      </c>
      <c r="G896" s="285">
        <v>0</v>
      </c>
      <c r="H896" s="147">
        <v>0</v>
      </c>
      <c r="I896" s="495">
        <f t="shared" si="48"/>
        <v>0</v>
      </c>
    </row>
    <row r="897" spans="1:9" x14ac:dyDescent="0.15">
      <c r="A897" s="135"/>
      <c r="B897" s="451" t="s">
        <v>1062</v>
      </c>
      <c r="C897" s="135" t="s">
        <v>1063</v>
      </c>
      <c r="D897" s="141">
        <v>0</v>
      </c>
      <c r="E897" s="141">
        <v>0</v>
      </c>
      <c r="F897" s="141">
        <v>0</v>
      </c>
      <c r="G897" s="285">
        <v>0</v>
      </c>
      <c r="H897" s="147">
        <v>0</v>
      </c>
      <c r="I897" s="495">
        <f t="shared" si="48"/>
        <v>0</v>
      </c>
    </row>
    <row r="898" spans="1:9" x14ac:dyDescent="0.15">
      <c r="A898" s="135"/>
      <c r="B898" s="451" t="s">
        <v>884</v>
      </c>
      <c r="C898" s="135" t="s">
        <v>1064</v>
      </c>
      <c r="D898" s="141">
        <v>0</v>
      </c>
      <c r="E898" s="141">
        <v>0</v>
      </c>
      <c r="F898" s="141">
        <v>0</v>
      </c>
      <c r="G898" s="285">
        <v>0</v>
      </c>
      <c r="H898" s="147">
        <v>0</v>
      </c>
      <c r="I898" s="495">
        <f t="shared" si="48"/>
        <v>0</v>
      </c>
    </row>
    <row r="899" spans="1:9" x14ac:dyDescent="0.15">
      <c r="A899" s="135"/>
      <c r="B899" s="451" t="s">
        <v>1067</v>
      </c>
      <c r="C899" s="135" t="s">
        <v>1074</v>
      </c>
      <c r="D899" s="141">
        <v>0</v>
      </c>
      <c r="E899" s="141">
        <v>0</v>
      </c>
      <c r="F899" s="141">
        <v>0</v>
      </c>
      <c r="G899" s="285">
        <v>0</v>
      </c>
      <c r="H899" s="147">
        <v>0</v>
      </c>
      <c r="I899" s="495">
        <f t="shared" si="48"/>
        <v>0</v>
      </c>
    </row>
    <row r="900" spans="1:9" x14ac:dyDescent="0.15">
      <c r="A900" s="135"/>
      <c r="B900" s="451" t="s">
        <v>1068</v>
      </c>
      <c r="C900" s="135" t="s">
        <v>1075</v>
      </c>
      <c r="D900" s="141">
        <v>0</v>
      </c>
      <c r="E900" s="141">
        <v>0</v>
      </c>
      <c r="F900" s="141">
        <v>0</v>
      </c>
      <c r="G900" s="285">
        <v>0</v>
      </c>
      <c r="H900" s="147">
        <v>0</v>
      </c>
      <c r="I900" s="495">
        <f t="shared" si="48"/>
        <v>0</v>
      </c>
    </row>
    <row r="901" spans="1:9" x14ac:dyDescent="0.15">
      <c r="A901" s="135"/>
      <c r="B901" s="451" t="s">
        <v>1072</v>
      </c>
      <c r="C901" s="135" t="s">
        <v>920</v>
      </c>
      <c r="D901" s="141">
        <v>0</v>
      </c>
      <c r="E901" s="141">
        <v>0</v>
      </c>
      <c r="F901" s="141">
        <v>0</v>
      </c>
      <c r="G901" s="285">
        <v>0</v>
      </c>
      <c r="H901" s="147">
        <v>0</v>
      </c>
      <c r="I901" s="495">
        <f t="shared" si="48"/>
        <v>0</v>
      </c>
    </row>
    <row r="902" spans="1:9" x14ac:dyDescent="0.15">
      <c r="A902" s="135"/>
      <c r="B902" s="716" t="s">
        <v>155</v>
      </c>
      <c r="C902" s="703" t="s">
        <v>178</v>
      </c>
      <c r="D902" s="141">
        <v>0</v>
      </c>
      <c r="E902" s="141">
        <v>0</v>
      </c>
      <c r="F902" s="141">
        <v>0</v>
      </c>
      <c r="G902" s="285">
        <v>0</v>
      </c>
      <c r="H902" s="147">
        <v>0</v>
      </c>
      <c r="I902" s="495">
        <f t="shared" ref="I902" si="49">SUM(G902+H902)</f>
        <v>0</v>
      </c>
    </row>
    <row r="903" spans="1:9" x14ac:dyDescent="0.15">
      <c r="A903" s="135"/>
      <c r="B903" s="451" t="s">
        <v>921</v>
      </c>
      <c r="C903" s="135" t="s">
        <v>955</v>
      </c>
      <c r="D903" s="141">
        <v>0</v>
      </c>
      <c r="E903" s="141">
        <v>0</v>
      </c>
      <c r="F903" s="141">
        <v>0</v>
      </c>
      <c r="G903" s="285">
        <v>0</v>
      </c>
      <c r="H903" s="147">
        <v>0</v>
      </c>
      <c r="I903" s="495">
        <f t="shared" si="48"/>
        <v>0</v>
      </c>
    </row>
    <row r="904" spans="1:9" x14ac:dyDescent="0.15">
      <c r="A904" s="135"/>
      <c r="B904" s="451" t="s">
        <v>922</v>
      </c>
      <c r="C904" s="135" t="s">
        <v>956</v>
      </c>
      <c r="D904" s="141">
        <v>0</v>
      </c>
      <c r="E904" s="141">
        <v>0</v>
      </c>
      <c r="F904" s="141">
        <v>0</v>
      </c>
      <c r="G904" s="285">
        <v>0</v>
      </c>
      <c r="H904" s="147">
        <v>0</v>
      </c>
      <c r="I904" s="495">
        <f t="shared" si="48"/>
        <v>0</v>
      </c>
    </row>
    <row r="905" spans="1:9" x14ac:dyDescent="0.15">
      <c r="A905" s="135"/>
      <c r="B905" s="451" t="s">
        <v>923</v>
      </c>
      <c r="C905" s="135" t="s">
        <v>957</v>
      </c>
      <c r="D905" s="141">
        <v>0</v>
      </c>
      <c r="E905" s="141">
        <v>0</v>
      </c>
      <c r="F905" s="141">
        <v>0</v>
      </c>
      <c r="G905" s="285">
        <v>0</v>
      </c>
      <c r="H905" s="147">
        <v>0</v>
      </c>
      <c r="I905" s="495">
        <f t="shared" si="48"/>
        <v>0</v>
      </c>
    </row>
    <row r="906" spans="1:9" x14ac:dyDescent="0.15">
      <c r="A906" s="135"/>
      <c r="B906" s="451" t="s">
        <v>924</v>
      </c>
      <c r="C906" s="135" t="s">
        <v>958</v>
      </c>
      <c r="D906" s="141">
        <v>0</v>
      </c>
      <c r="E906" s="141">
        <v>0</v>
      </c>
      <c r="F906" s="141">
        <v>0</v>
      </c>
      <c r="G906" s="285">
        <v>0</v>
      </c>
      <c r="H906" s="147">
        <v>0</v>
      </c>
      <c r="I906" s="495">
        <f t="shared" si="48"/>
        <v>0</v>
      </c>
    </row>
    <row r="907" spans="1:9" x14ac:dyDescent="0.15">
      <c r="A907" s="135"/>
      <c r="B907" s="451" t="s">
        <v>925</v>
      </c>
      <c r="C907" s="135" t="s">
        <v>1128</v>
      </c>
      <c r="D907" s="141">
        <v>0</v>
      </c>
      <c r="E907" s="141">
        <v>0</v>
      </c>
      <c r="F907" s="141">
        <v>0</v>
      </c>
      <c r="G907" s="285">
        <v>0</v>
      </c>
      <c r="H907" s="147">
        <v>0</v>
      </c>
      <c r="I907" s="495">
        <f t="shared" si="48"/>
        <v>0</v>
      </c>
    </row>
    <row r="908" spans="1:9" x14ac:dyDescent="0.15">
      <c r="A908" s="135"/>
      <c r="B908" s="451" t="s">
        <v>926</v>
      </c>
      <c r="C908" s="135" t="s">
        <v>1129</v>
      </c>
      <c r="D908" s="141">
        <v>0</v>
      </c>
      <c r="E908" s="141">
        <v>0</v>
      </c>
      <c r="F908" s="141">
        <v>0</v>
      </c>
      <c r="G908" s="285">
        <v>0</v>
      </c>
      <c r="H908" s="147">
        <v>0</v>
      </c>
      <c r="I908" s="495">
        <f t="shared" si="48"/>
        <v>0</v>
      </c>
    </row>
    <row r="909" spans="1:9" x14ac:dyDescent="0.15">
      <c r="A909" s="135"/>
      <c r="B909" s="451" t="s">
        <v>927</v>
      </c>
      <c r="C909" s="135" t="s">
        <v>959</v>
      </c>
      <c r="D909" s="141">
        <v>0</v>
      </c>
      <c r="E909" s="141">
        <v>0</v>
      </c>
      <c r="F909" s="141">
        <v>0</v>
      </c>
      <c r="G909" s="285">
        <v>0</v>
      </c>
      <c r="H909" s="147">
        <v>0</v>
      </c>
      <c r="I909" s="495">
        <f t="shared" si="48"/>
        <v>0</v>
      </c>
    </row>
    <row r="910" spans="1:9" x14ac:dyDescent="0.15">
      <c r="A910" s="135"/>
      <c r="B910" s="451" t="s">
        <v>928</v>
      </c>
      <c r="C910" s="135" t="s">
        <v>961</v>
      </c>
      <c r="D910" s="141">
        <v>0</v>
      </c>
      <c r="E910" s="141">
        <v>0</v>
      </c>
      <c r="F910" s="141">
        <v>0</v>
      </c>
      <c r="G910" s="285">
        <v>0</v>
      </c>
      <c r="H910" s="147">
        <v>0</v>
      </c>
      <c r="I910" s="495">
        <f t="shared" si="48"/>
        <v>0</v>
      </c>
    </row>
    <row r="911" spans="1:9" x14ac:dyDescent="0.15">
      <c r="A911" s="135"/>
      <c r="B911" s="451" t="s">
        <v>962</v>
      </c>
      <c r="C911" s="135" t="s">
        <v>967</v>
      </c>
      <c r="D911" s="141">
        <v>0</v>
      </c>
      <c r="E911" s="141">
        <v>0</v>
      </c>
      <c r="F911" s="141">
        <v>0</v>
      </c>
      <c r="G911" s="285">
        <v>0</v>
      </c>
      <c r="H911" s="147">
        <v>0</v>
      </c>
      <c r="I911" s="495">
        <f t="shared" si="48"/>
        <v>0</v>
      </c>
    </row>
    <row r="912" spans="1:9" x14ac:dyDescent="0.15">
      <c r="A912" s="135"/>
      <c r="B912" s="451" t="s">
        <v>963</v>
      </c>
      <c r="C912" s="135" t="s">
        <v>1093</v>
      </c>
      <c r="D912" s="141">
        <v>0</v>
      </c>
      <c r="E912" s="141">
        <v>0</v>
      </c>
      <c r="F912" s="141">
        <v>0</v>
      </c>
      <c r="G912" s="285">
        <v>0</v>
      </c>
      <c r="H912" s="147">
        <v>0</v>
      </c>
      <c r="I912" s="495">
        <f t="shared" si="48"/>
        <v>0</v>
      </c>
    </row>
    <row r="913" spans="1:9" x14ac:dyDescent="0.15">
      <c r="A913" s="135"/>
      <c r="B913" s="451" t="s">
        <v>964</v>
      </c>
      <c r="C913" s="135" t="s">
        <v>1094</v>
      </c>
      <c r="D913" s="141">
        <v>0</v>
      </c>
      <c r="E913" s="141">
        <v>0</v>
      </c>
      <c r="F913" s="141">
        <v>0</v>
      </c>
      <c r="G913" s="285">
        <v>0</v>
      </c>
      <c r="H913" s="147">
        <v>0</v>
      </c>
      <c r="I913" s="495">
        <f t="shared" si="48"/>
        <v>0</v>
      </c>
    </row>
    <row r="914" spans="1:9" x14ac:dyDescent="0.15">
      <c r="A914" s="135"/>
      <c r="B914" s="451" t="s">
        <v>965</v>
      </c>
      <c r="C914" s="135" t="s">
        <v>1095</v>
      </c>
      <c r="D914" s="141">
        <v>0</v>
      </c>
      <c r="E914" s="141">
        <v>0</v>
      </c>
      <c r="F914" s="141">
        <v>0</v>
      </c>
      <c r="G914" s="285">
        <v>0</v>
      </c>
      <c r="H914" s="147">
        <v>0</v>
      </c>
      <c r="I914" s="495">
        <f t="shared" si="48"/>
        <v>0</v>
      </c>
    </row>
    <row r="915" spans="1:9" x14ac:dyDescent="0.15">
      <c r="A915" s="135"/>
      <c r="B915" s="451" t="s">
        <v>885</v>
      </c>
      <c r="C915" s="135" t="s">
        <v>1096</v>
      </c>
      <c r="D915" s="141">
        <v>0</v>
      </c>
      <c r="E915" s="141">
        <v>0</v>
      </c>
      <c r="F915" s="141">
        <v>0</v>
      </c>
      <c r="G915" s="285">
        <v>0</v>
      </c>
      <c r="H915" s="147">
        <v>0</v>
      </c>
      <c r="I915" s="495">
        <f t="shared" si="48"/>
        <v>0</v>
      </c>
    </row>
    <row r="916" spans="1:9" x14ac:dyDescent="0.15">
      <c r="A916" s="135"/>
      <c r="B916" s="451" t="s">
        <v>966</v>
      </c>
      <c r="C916" s="135" t="s">
        <v>1097</v>
      </c>
      <c r="D916" s="141">
        <v>0</v>
      </c>
      <c r="E916" s="141">
        <v>0</v>
      </c>
      <c r="F916" s="141">
        <v>0</v>
      </c>
      <c r="G916" s="285">
        <v>0</v>
      </c>
      <c r="H916" s="147">
        <v>0</v>
      </c>
      <c r="I916" s="495">
        <f t="shared" si="48"/>
        <v>0</v>
      </c>
    </row>
    <row r="917" spans="1:9" x14ac:dyDescent="0.15">
      <c r="A917" s="135"/>
      <c r="B917" s="451" t="s">
        <v>886</v>
      </c>
      <c r="C917" s="135" t="s">
        <v>1100</v>
      </c>
      <c r="D917" s="141">
        <v>0</v>
      </c>
      <c r="E917" s="141">
        <v>0</v>
      </c>
      <c r="F917" s="141">
        <v>0</v>
      </c>
      <c r="G917" s="285">
        <v>0</v>
      </c>
      <c r="H917" s="147">
        <v>0</v>
      </c>
      <c r="I917" s="495">
        <f t="shared" si="48"/>
        <v>0</v>
      </c>
    </row>
    <row r="918" spans="1:9" x14ac:dyDescent="0.15">
      <c r="A918" s="135"/>
      <c r="B918" s="451" t="s">
        <v>116</v>
      </c>
      <c r="C918" s="135" t="s">
        <v>1105</v>
      </c>
      <c r="D918" s="141">
        <v>0</v>
      </c>
      <c r="E918" s="141">
        <v>0</v>
      </c>
      <c r="F918" s="141">
        <v>0</v>
      </c>
      <c r="G918" s="285">
        <v>0</v>
      </c>
      <c r="H918" s="147">
        <v>0</v>
      </c>
      <c r="I918" s="495">
        <f t="shared" si="48"/>
        <v>0</v>
      </c>
    </row>
    <row r="919" spans="1:9" x14ac:dyDescent="0.15">
      <c r="A919" s="135"/>
      <c r="B919" s="451" t="s">
        <v>112</v>
      </c>
      <c r="C919" s="135" t="s">
        <v>1110</v>
      </c>
      <c r="D919" s="141">
        <v>0</v>
      </c>
      <c r="E919" s="141">
        <v>0</v>
      </c>
      <c r="F919" s="141">
        <v>0</v>
      </c>
      <c r="G919" s="285">
        <v>0</v>
      </c>
      <c r="H919" s="147">
        <v>0</v>
      </c>
      <c r="I919" s="495">
        <f t="shared" si="48"/>
        <v>0</v>
      </c>
    </row>
    <row r="920" spans="1:9" x14ac:dyDescent="0.15">
      <c r="A920" s="135"/>
      <c r="B920" s="451" t="s">
        <v>887</v>
      </c>
      <c r="C920" s="135" t="s">
        <v>1116</v>
      </c>
      <c r="D920" s="141">
        <v>0</v>
      </c>
      <c r="E920" s="141">
        <v>0</v>
      </c>
      <c r="F920" s="141">
        <v>0</v>
      </c>
      <c r="G920" s="285">
        <v>0</v>
      </c>
      <c r="H920" s="147">
        <v>0</v>
      </c>
      <c r="I920" s="495">
        <f t="shared" si="48"/>
        <v>0</v>
      </c>
    </row>
    <row r="921" spans="1:9" x14ac:dyDescent="0.15">
      <c r="A921" s="135"/>
      <c r="B921" s="451" t="s">
        <v>1112</v>
      </c>
      <c r="C921" s="135" t="s">
        <v>1117</v>
      </c>
      <c r="D921" s="141">
        <v>0</v>
      </c>
      <c r="E921" s="141">
        <v>0</v>
      </c>
      <c r="F921" s="141">
        <v>0</v>
      </c>
      <c r="G921" s="285">
        <v>0</v>
      </c>
      <c r="H921" s="147">
        <v>0</v>
      </c>
      <c r="I921" s="495">
        <f t="shared" si="48"/>
        <v>0</v>
      </c>
    </row>
    <row r="922" spans="1:9" x14ac:dyDescent="0.15">
      <c r="A922" s="135"/>
      <c r="B922" s="451" t="s">
        <v>1113</v>
      </c>
      <c r="C922" s="135" t="s">
        <v>1118</v>
      </c>
      <c r="D922" s="141">
        <v>0</v>
      </c>
      <c r="E922" s="141">
        <v>0</v>
      </c>
      <c r="F922" s="141">
        <v>0</v>
      </c>
      <c r="G922" s="285">
        <v>0</v>
      </c>
      <c r="H922" s="147">
        <v>0</v>
      </c>
      <c r="I922" s="495">
        <f t="shared" si="48"/>
        <v>0</v>
      </c>
    </row>
    <row r="923" spans="1:9" ht="11.25" thickBot="1" x14ac:dyDescent="0.2">
      <c r="A923" s="135"/>
      <c r="B923" s="451" t="s">
        <v>1114</v>
      </c>
      <c r="C923" s="135" t="s">
        <v>1119</v>
      </c>
      <c r="D923" s="141">
        <v>0</v>
      </c>
      <c r="E923" s="141">
        <v>0</v>
      </c>
      <c r="F923" s="141">
        <v>0</v>
      </c>
      <c r="G923" s="285">
        <v>0</v>
      </c>
      <c r="H923" s="147">
        <v>0</v>
      </c>
      <c r="I923" s="495">
        <f t="shared" si="48"/>
        <v>0</v>
      </c>
    </row>
    <row r="924" spans="1:9" ht="12" thickTop="1" thickBot="1" x14ac:dyDescent="0.2">
      <c r="A924" s="135"/>
      <c r="B924" s="451"/>
      <c r="C924" s="135" t="s">
        <v>1286</v>
      </c>
      <c r="D924" s="166">
        <f>SUM(D890:D923)</f>
        <v>0</v>
      </c>
      <c r="E924" s="166">
        <f>SUM(E890:E923)</f>
        <v>0</v>
      </c>
      <c r="F924" s="166">
        <f>SUM(F890:F923)</f>
        <v>0</v>
      </c>
      <c r="G924" s="166">
        <f>SUM(G890:G923)</f>
        <v>0</v>
      </c>
      <c r="H924" s="166">
        <f>SUM(H890:H923)</f>
        <v>0</v>
      </c>
      <c r="I924" s="166">
        <f t="shared" si="48"/>
        <v>0</v>
      </c>
    </row>
    <row r="925" spans="1:9" ht="11.25" thickTop="1" x14ac:dyDescent="0.15">
      <c r="A925" s="135"/>
      <c r="B925" s="135"/>
      <c r="C925" s="135"/>
      <c r="D925" s="14"/>
      <c r="E925" s="14"/>
      <c r="F925" s="14"/>
      <c r="G925" s="14"/>
      <c r="H925" s="14"/>
      <c r="I925" s="491"/>
    </row>
    <row r="926" spans="1:9" x14ac:dyDescent="0.15">
      <c r="A926" s="452" t="s">
        <v>1287</v>
      </c>
      <c r="B926" s="135"/>
      <c r="C926" s="135"/>
      <c r="D926" s="14"/>
      <c r="E926" s="14"/>
      <c r="F926" s="14"/>
      <c r="G926" s="14"/>
      <c r="H926" s="14"/>
      <c r="I926" s="491"/>
    </row>
    <row r="927" spans="1:9" s="416" customFormat="1" hidden="1" x14ac:dyDescent="0.15">
      <c r="B927" s="453" t="s">
        <v>880</v>
      </c>
      <c r="C927" s="454" t="s">
        <v>1164</v>
      </c>
      <c r="D927" s="308">
        <v>0</v>
      </c>
      <c r="E927" s="308">
        <v>0</v>
      </c>
      <c r="F927" s="308">
        <v>0</v>
      </c>
      <c r="G927" s="458"/>
      <c r="H927" s="457">
        <v>0</v>
      </c>
      <c r="I927" s="494">
        <f t="shared" ref="I927:I960" si="50">SUM(G927+H927)</f>
        <v>0</v>
      </c>
    </row>
    <row r="928" spans="1:9" s="416" customFormat="1" x14ac:dyDescent="0.15">
      <c r="B928" s="453" t="s">
        <v>880</v>
      </c>
      <c r="C928" s="454" t="s">
        <v>337</v>
      </c>
      <c r="D928" s="308">
        <v>0</v>
      </c>
      <c r="E928" s="308">
        <v>0</v>
      </c>
      <c r="F928" s="308">
        <v>0</v>
      </c>
      <c r="G928" s="308">
        <v>0</v>
      </c>
      <c r="H928" s="457">
        <v>0</v>
      </c>
      <c r="I928" s="494">
        <f t="shared" si="50"/>
        <v>0</v>
      </c>
    </row>
    <row r="929" spans="1:10" s="416" customFormat="1" hidden="1" x14ac:dyDescent="0.15">
      <c r="A929" s="454"/>
      <c r="B929" s="453" t="s">
        <v>881</v>
      </c>
      <c r="C929" s="454" t="s">
        <v>382</v>
      </c>
      <c r="D929" s="308">
        <v>0</v>
      </c>
      <c r="E929" s="308">
        <v>0</v>
      </c>
      <c r="F929" s="308">
        <v>0</v>
      </c>
      <c r="G929" s="459"/>
      <c r="H929" s="457">
        <v>0</v>
      </c>
      <c r="I929" s="494">
        <f t="shared" si="50"/>
        <v>0</v>
      </c>
    </row>
    <row r="930" spans="1:10" x14ac:dyDescent="0.15">
      <c r="A930" s="135"/>
      <c r="B930" s="451" t="s">
        <v>881</v>
      </c>
      <c r="C930" s="135" t="s">
        <v>338</v>
      </c>
      <c r="D930" s="144">
        <v>0</v>
      </c>
      <c r="E930" s="144">
        <v>0</v>
      </c>
      <c r="F930" s="144">
        <v>0</v>
      </c>
      <c r="G930" s="144">
        <v>0</v>
      </c>
      <c r="H930" s="147">
        <v>0</v>
      </c>
      <c r="I930" s="495">
        <f t="shared" si="50"/>
        <v>0</v>
      </c>
      <c r="J930" s="416"/>
    </row>
    <row r="931" spans="1:10" x14ac:dyDescent="0.15">
      <c r="A931" s="135"/>
      <c r="B931" s="451" t="s">
        <v>882</v>
      </c>
      <c r="C931" s="135" t="s">
        <v>1058</v>
      </c>
      <c r="D931" s="141">
        <v>0</v>
      </c>
      <c r="E931" s="141">
        <v>0</v>
      </c>
      <c r="F931" s="141">
        <v>0</v>
      </c>
      <c r="G931" s="285">
        <v>0</v>
      </c>
      <c r="H931" s="147">
        <v>0</v>
      </c>
      <c r="I931" s="495">
        <f t="shared" si="50"/>
        <v>0</v>
      </c>
    </row>
    <row r="932" spans="1:10" x14ac:dyDescent="0.15">
      <c r="A932" s="135"/>
      <c r="B932" s="451" t="s">
        <v>883</v>
      </c>
      <c r="C932" s="135" t="s">
        <v>1059</v>
      </c>
      <c r="D932" s="141">
        <v>0</v>
      </c>
      <c r="E932" s="141">
        <v>0</v>
      </c>
      <c r="F932" s="141">
        <v>0</v>
      </c>
      <c r="G932" s="285">
        <v>0</v>
      </c>
      <c r="H932" s="147">
        <v>0</v>
      </c>
      <c r="I932" s="495">
        <f t="shared" si="50"/>
        <v>0</v>
      </c>
    </row>
    <row r="933" spans="1:10" x14ac:dyDescent="0.15">
      <c r="A933" s="135"/>
      <c r="B933" s="451" t="s">
        <v>1060</v>
      </c>
      <c r="C933" s="135" t="s">
        <v>1061</v>
      </c>
      <c r="D933" s="141">
        <v>0</v>
      </c>
      <c r="E933" s="141">
        <v>0</v>
      </c>
      <c r="F933" s="141">
        <v>0</v>
      </c>
      <c r="G933" s="285">
        <v>0</v>
      </c>
      <c r="H933" s="147">
        <v>0</v>
      </c>
      <c r="I933" s="495">
        <f t="shared" si="50"/>
        <v>0</v>
      </c>
    </row>
    <row r="934" spans="1:10" x14ac:dyDescent="0.15">
      <c r="A934" s="135"/>
      <c r="B934" s="451" t="s">
        <v>1062</v>
      </c>
      <c r="C934" s="135" t="s">
        <v>1063</v>
      </c>
      <c r="D934" s="141">
        <v>0</v>
      </c>
      <c r="E934" s="141">
        <v>0</v>
      </c>
      <c r="F934" s="141">
        <v>0</v>
      </c>
      <c r="G934" s="285">
        <v>0</v>
      </c>
      <c r="H934" s="147">
        <v>0</v>
      </c>
      <c r="I934" s="495">
        <f t="shared" si="50"/>
        <v>0</v>
      </c>
    </row>
    <row r="935" spans="1:10" x14ac:dyDescent="0.15">
      <c r="A935" s="135"/>
      <c r="B935" s="451" t="s">
        <v>884</v>
      </c>
      <c r="C935" s="135" t="s">
        <v>1064</v>
      </c>
      <c r="D935" s="141">
        <v>0</v>
      </c>
      <c r="E935" s="141">
        <v>0</v>
      </c>
      <c r="F935" s="141">
        <v>0</v>
      </c>
      <c r="G935" s="285">
        <v>0</v>
      </c>
      <c r="H935" s="147">
        <v>0</v>
      </c>
      <c r="I935" s="495">
        <f t="shared" si="50"/>
        <v>0</v>
      </c>
    </row>
    <row r="936" spans="1:10" x14ac:dyDescent="0.15">
      <c r="A936" s="135"/>
      <c r="B936" s="451" t="s">
        <v>1067</v>
      </c>
      <c r="C936" s="135" t="s">
        <v>1074</v>
      </c>
      <c r="D936" s="141">
        <v>0</v>
      </c>
      <c r="E936" s="141">
        <v>0</v>
      </c>
      <c r="F936" s="141">
        <v>0</v>
      </c>
      <c r="G936" s="285">
        <v>0</v>
      </c>
      <c r="H936" s="147">
        <v>0</v>
      </c>
      <c r="I936" s="495">
        <f t="shared" si="50"/>
        <v>0</v>
      </c>
    </row>
    <row r="937" spans="1:10" x14ac:dyDescent="0.15">
      <c r="A937" s="135"/>
      <c r="B937" s="451" t="s">
        <v>1068</v>
      </c>
      <c r="C937" s="135" t="s">
        <v>1075</v>
      </c>
      <c r="D937" s="141">
        <v>0</v>
      </c>
      <c r="E937" s="141">
        <v>0</v>
      </c>
      <c r="F937" s="141">
        <v>0</v>
      </c>
      <c r="G937" s="285">
        <v>0</v>
      </c>
      <c r="H937" s="147">
        <v>0</v>
      </c>
      <c r="I937" s="495">
        <f t="shared" si="50"/>
        <v>0</v>
      </c>
    </row>
    <row r="938" spans="1:10" x14ac:dyDescent="0.15">
      <c r="A938" s="135"/>
      <c r="B938" s="451" t="s">
        <v>1072</v>
      </c>
      <c r="C938" s="135" t="s">
        <v>920</v>
      </c>
      <c r="D938" s="141">
        <v>0</v>
      </c>
      <c r="E938" s="141">
        <v>0</v>
      </c>
      <c r="F938" s="141">
        <v>0</v>
      </c>
      <c r="G938" s="285">
        <v>0</v>
      </c>
      <c r="H938" s="147">
        <v>0</v>
      </c>
      <c r="I938" s="495">
        <f t="shared" si="50"/>
        <v>0</v>
      </c>
    </row>
    <row r="939" spans="1:10" x14ac:dyDescent="0.15">
      <c r="A939" s="135"/>
      <c r="B939" s="716" t="s">
        <v>155</v>
      </c>
      <c r="C939" s="703" t="s">
        <v>178</v>
      </c>
      <c r="D939" s="141">
        <v>0</v>
      </c>
      <c r="E939" s="141">
        <v>0</v>
      </c>
      <c r="F939" s="141">
        <v>0</v>
      </c>
      <c r="G939" s="285">
        <v>0</v>
      </c>
      <c r="H939" s="147">
        <v>0</v>
      </c>
      <c r="I939" s="495">
        <f t="shared" ref="I939" si="51">SUM(G939+H939)</f>
        <v>0</v>
      </c>
    </row>
    <row r="940" spans="1:10" x14ac:dyDescent="0.15">
      <c r="A940" s="135"/>
      <c r="B940" s="451" t="s">
        <v>921</v>
      </c>
      <c r="C940" s="135" t="s">
        <v>955</v>
      </c>
      <c r="D940" s="141">
        <v>0</v>
      </c>
      <c r="E940" s="141">
        <v>0</v>
      </c>
      <c r="F940" s="141">
        <v>0</v>
      </c>
      <c r="G940" s="285">
        <v>0</v>
      </c>
      <c r="H940" s="147">
        <v>0</v>
      </c>
      <c r="I940" s="495">
        <f t="shared" si="50"/>
        <v>0</v>
      </c>
    </row>
    <row r="941" spans="1:10" x14ac:dyDescent="0.15">
      <c r="A941" s="135"/>
      <c r="B941" s="451" t="s">
        <v>922</v>
      </c>
      <c r="C941" s="135" t="s">
        <v>956</v>
      </c>
      <c r="D941" s="141">
        <v>0</v>
      </c>
      <c r="E941" s="141">
        <v>0</v>
      </c>
      <c r="F941" s="141">
        <v>0</v>
      </c>
      <c r="G941" s="285">
        <v>0</v>
      </c>
      <c r="H941" s="147">
        <v>0</v>
      </c>
      <c r="I941" s="495">
        <f t="shared" si="50"/>
        <v>0</v>
      </c>
    </row>
    <row r="942" spans="1:10" x14ac:dyDescent="0.15">
      <c r="A942" s="135"/>
      <c r="B942" s="451" t="s">
        <v>923</v>
      </c>
      <c r="C942" s="135" t="s">
        <v>957</v>
      </c>
      <c r="D942" s="141">
        <v>0</v>
      </c>
      <c r="E942" s="141">
        <v>0</v>
      </c>
      <c r="F942" s="141">
        <v>0</v>
      </c>
      <c r="G942" s="285">
        <v>0</v>
      </c>
      <c r="H942" s="147">
        <v>0</v>
      </c>
      <c r="I942" s="495">
        <f t="shared" si="50"/>
        <v>0</v>
      </c>
    </row>
    <row r="943" spans="1:10" x14ac:dyDescent="0.15">
      <c r="A943" s="135"/>
      <c r="B943" s="451" t="s">
        <v>924</v>
      </c>
      <c r="C943" s="135" t="s">
        <v>958</v>
      </c>
      <c r="D943" s="141">
        <v>0</v>
      </c>
      <c r="E943" s="141">
        <v>0</v>
      </c>
      <c r="F943" s="141">
        <v>0</v>
      </c>
      <c r="G943" s="285">
        <v>0</v>
      </c>
      <c r="H943" s="147">
        <v>0</v>
      </c>
      <c r="I943" s="495">
        <f t="shared" si="50"/>
        <v>0</v>
      </c>
    </row>
    <row r="944" spans="1:10" x14ac:dyDescent="0.15">
      <c r="A944" s="135"/>
      <c r="B944" s="451" t="s">
        <v>925</v>
      </c>
      <c r="C944" s="135" t="s">
        <v>1128</v>
      </c>
      <c r="D944" s="141">
        <v>0</v>
      </c>
      <c r="E944" s="141">
        <v>0</v>
      </c>
      <c r="F944" s="141">
        <v>0</v>
      </c>
      <c r="G944" s="285">
        <v>0</v>
      </c>
      <c r="H944" s="147">
        <v>0</v>
      </c>
      <c r="I944" s="495">
        <f t="shared" si="50"/>
        <v>0</v>
      </c>
    </row>
    <row r="945" spans="1:9" x14ac:dyDescent="0.15">
      <c r="A945" s="135"/>
      <c r="B945" s="451" t="s">
        <v>926</v>
      </c>
      <c r="C945" s="135" t="s">
        <v>1129</v>
      </c>
      <c r="D945" s="141">
        <v>0</v>
      </c>
      <c r="E945" s="141">
        <v>0</v>
      </c>
      <c r="F945" s="141">
        <v>0</v>
      </c>
      <c r="G945" s="285">
        <v>0</v>
      </c>
      <c r="H945" s="147">
        <v>0</v>
      </c>
      <c r="I945" s="495">
        <f t="shared" si="50"/>
        <v>0</v>
      </c>
    </row>
    <row r="946" spans="1:9" x14ac:dyDescent="0.15">
      <c r="A946" s="135"/>
      <c r="B946" s="451" t="s">
        <v>927</v>
      </c>
      <c r="C946" s="135" t="s">
        <v>959</v>
      </c>
      <c r="D946" s="141">
        <v>0</v>
      </c>
      <c r="E946" s="141">
        <v>0</v>
      </c>
      <c r="F946" s="141">
        <v>0</v>
      </c>
      <c r="G946" s="285">
        <v>0</v>
      </c>
      <c r="H946" s="147">
        <v>0</v>
      </c>
      <c r="I946" s="495">
        <f t="shared" si="50"/>
        <v>0</v>
      </c>
    </row>
    <row r="947" spans="1:9" x14ac:dyDescent="0.15">
      <c r="A947" s="135"/>
      <c r="B947" s="451" t="s">
        <v>928</v>
      </c>
      <c r="C947" s="135" t="s">
        <v>961</v>
      </c>
      <c r="D947" s="141">
        <v>0</v>
      </c>
      <c r="E947" s="141">
        <v>0</v>
      </c>
      <c r="F947" s="141">
        <v>0</v>
      </c>
      <c r="G947" s="285">
        <v>0</v>
      </c>
      <c r="H947" s="147">
        <v>0</v>
      </c>
      <c r="I947" s="495">
        <f t="shared" si="50"/>
        <v>0</v>
      </c>
    </row>
    <row r="948" spans="1:9" x14ac:dyDescent="0.15">
      <c r="A948" s="135"/>
      <c r="B948" s="451" t="s">
        <v>962</v>
      </c>
      <c r="C948" s="135" t="s">
        <v>967</v>
      </c>
      <c r="D948" s="141">
        <v>0</v>
      </c>
      <c r="E948" s="141">
        <v>0</v>
      </c>
      <c r="F948" s="141">
        <v>0</v>
      </c>
      <c r="G948" s="285">
        <v>0</v>
      </c>
      <c r="H948" s="147">
        <v>0</v>
      </c>
      <c r="I948" s="495">
        <f t="shared" si="50"/>
        <v>0</v>
      </c>
    </row>
    <row r="949" spans="1:9" x14ac:dyDescent="0.15">
      <c r="A949" s="135"/>
      <c r="B949" s="451" t="s">
        <v>963</v>
      </c>
      <c r="C949" s="135" t="s">
        <v>1093</v>
      </c>
      <c r="D949" s="141">
        <v>0</v>
      </c>
      <c r="E949" s="141">
        <v>0</v>
      </c>
      <c r="F949" s="141">
        <v>0</v>
      </c>
      <c r="G949" s="285">
        <v>0</v>
      </c>
      <c r="H949" s="147">
        <v>0</v>
      </c>
      <c r="I949" s="495">
        <f t="shared" si="50"/>
        <v>0</v>
      </c>
    </row>
    <row r="950" spans="1:9" x14ac:dyDescent="0.15">
      <c r="A950" s="135"/>
      <c r="B950" s="451" t="s">
        <v>964</v>
      </c>
      <c r="C950" s="135" t="s">
        <v>1094</v>
      </c>
      <c r="D950" s="141">
        <v>0</v>
      </c>
      <c r="E950" s="141">
        <v>0</v>
      </c>
      <c r="F950" s="141">
        <v>0</v>
      </c>
      <c r="G950" s="285">
        <v>0</v>
      </c>
      <c r="H950" s="147">
        <v>0</v>
      </c>
      <c r="I950" s="495">
        <f t="shared" si="50"/>
        <v>0</v>
      </c>
    </row>
    <row r="951" spans="1:9" x14ac:dyDescent="0.15">
      <c r="A951" s="135"/>
      <c r="B951" s="451" t="s">
        <v>965</v>
      </c>
      <c r="C951" s="135" t="s">
        <v>1095</v>
      </c>
      <c r="D951" s="141">
        <v>0</v>
      </c>
      <c r="E951" s="141">
        <v>0</v>
      </c>
      <c r="F951" s="141">
        <v>0</v>
      </c>
      <c r="G951" s="285">
        <v>0</v>
      </c>
      <c r="H951" s="147">
        <v>0</v>
      </c>
      <c r="I951" s="495">
        <f t="shared" si="50"/>
        <v>0</v>
      </c>
    </row>
    <row r="952" spans="1:9" x14ac:dyDescent="0.15">
      <c r="A952" s="135"/>
      <c r="B952" s="451" t="s">
        <v>885</v>
      </c>
      <c r="C952" s="135" t="s">
        <v>1096</v>
      </c>
      <c r="D952" s="141">
        <v>0</v>
      </c>
      <c r="E952" s="141">
        <v>0</v>
      </c>
      <c r="F952" s="141">
        <v>0</v>
      </c>
      <c r="G952" s="285">
        <v>0</v>
      </c>
      <c r="H952" s="147">
        <v>0</v>
      </c>
      <c r="I952" s="495">
        <f t="shared" si="50"/>
        <v>0</v>
      </c>
    </row>
    <row r="953" spans="1:9" x14ac:dyDescent="0.15">
      <c r="A953" s="135"/>
      <c r="B953" s="451" t="s">
        <v>966</v>
      </c>
      <c r="C953" s="135" t="s">
        <v>1097</v>
      </c>
      <c r="D953" s="141">
        <v>0</v>
      </c>
      <c r="E953" s="141">
        <v>0</v>
      </c>
      <c r="F953" s="141">
        <v>0</v>
      </c>
      <c r="G953" s="285">
        <v>0</v>
      </c>
      <c r="H953" s="147">
        <v>0</v>
      </c>
      <c r="I953" s="495">
        <f t="shared" si="50"/>
        <v>0</v>
      </c>
    </row>
    <row r="954" spans="1:9" x14ac:dyDescent="0.15">
      <c r="A954" s="135"/>
      <c r="B954" s="451" t="s">
        <v>886</v>
      </c>
      <c r="C954" s="135" t="s">
        <v>1100</v>
      </c>
      <c r="D954" s="141">
        <v>0</v>
      </c>
      <c r="E954" s="141">
        <v>0</v>
      </c>
      <c r="F954" s="141">
        <v>0</v>
      </c>
      <c r="G954" s="285">
        <v>0</v>
      </c>
      <c r="H954" s="147">
        <v>0</v>
      </c>
      <c r="I954" s="495">
        <f t="shared" si="50"/>
        <v>0</v>
      </c>
    </row>
    <row r="955" spans="1:9" x14ac:dyDescent="0.15">
      <c r="A955" s="135"/>
      <c r="B955" s="451" t="s">
        <v>116</v>
      </c>
      <c r="C955" s="135" t="s">
        <v>1105</v>
      </c>
      <c r="D955" s="141">
        <v>0</v>
      </c>
      <c r="E955" s="141">
        <v>0</v>
      </c>
      <c r="F955" s="141">
        <v>0</v>
      </c>
      <c r="G955" s="285">
        <v>0</v>
      </c>
      <c r="H955" s="147">
        <v>0</v>
      </c>
      <c r="I955" s="495">
        <f t="shared" si="50"/>
        <v>0</v>
      </c>
    </row>
    <row r="956" spans="1:9" x14ac:dyDescent="0.15">
      <c r="A956" s="135"/>
      <c r="B956" s="451" t="s">
        <v>112</v>
      </c>
      <c r="C956" s="135" t="s">
        <v>1110</v>
      </c>
      <c r="D956" s="141">
        <v>0</v>
      </c>
      <c r="E956" s="141">
        <v>0</v>
      </c>
      <c r="F956" s="141">
        <v>0</v>
      </c>
      <c r="G956" s="285">
        <v>0</v>
      </c>
      <c r="H956" s="147">
        <v>0</v>
      </c>
      <c r="I956" s="495">
        <f t="shared" si="50"/>
        <v>0</v>
      </c>
    </row>
    <row r="957" spans="1:9" x14ac:dyDescent="0.15">
      <c r="A957" s="135"/>
      <c r="B957" s="451" t="s">
        <v>887</v>
      </c>
      <c r="C957" s="135" t="s">
        <v>1116</v>
      </c>
      <c r="D957" s="141">
        <v>0</v>
      </c>
      <c r="E957" s="141">
        <v>0</v>
      </c>
      <c r="F957" s="141">
        <v>0</v>
      </c>
      <c r="G957" s="285">
        <v>0</v>
      </c>
      <c r="H957" s="147">
        <v>0</v>
      </c>
      <c r="I957" s="495">
        <f t="shared" si="50"/>
        <v>0</v>
      </c>
    </row>
    <row r="958" spans="1:9" x14ac:dyDescent="0.15">
      <c r="A958" s="135"/>
      <c r="B958" s="451" t="s">
        <v>1112</v>
      </c>
      <c r="C958" s="135" t="s">
        <v>1117</v>
      </c>
      <c r="D958" s="141">
        <v>0</v>
      </c>
      <c r="E958" s="141">
        <v>0</v>
      </c>
      <c r="F958" s="141">
        <v>0</v>
      </c>
      <c r="G958" s="285">
        <v>0</v>
      </c>
      <c r="H958" s="147">
        <v>0</v>
      </c>
      <c r="I958" s="495">
        <f t="shared" si="50"/>
        <v>0</v>
      </c>
    </row>
    <row r="959" spans="1:9" x14ac:dyDescent="0.15">
      <c r="A959" s="135"/>
      <c r="B959" s="451" t="s">
        <v>1113</v>
      </c>
      <c r="C959" s="135" t="s">
        <v>1118</v>
      </c>
      <c r="D959" s="141">
        <v>0</v>
      </c>
      <c r="E959" s="141">
        <v>0</v>
      </c>
      <c r="F959" s="141">
        <v>0</v>
      </c>
      <c r="G959" s="285">
        <v>0</v>
      </c>
      <c r="H959" s="147">
        <v>0</v>
      </c>
      <c r="I959" s="495">
        <f t="shared" si="50"/>
        <v>0</v>
      </c>
    </row>
    <row r="960" spans="1:9" ht="11.25" thickBot="1" x14ac:dyDescent="0.2">
      <c r="A960" s="135"/>
      <c r="B960" s="451" t="s">
        <v>1114</v>
      </c>
      <c r="C960" s="135" t="s">
        <v>1119</v>
      </c>
      <c r="D960" s="141">
        <v>0</v>
      </c>
      <c r="E960" s="141">
        <v>0</v>
      </c>
      <c r="F960" s="141">
        <v>0</v>
      </c>
      <c r="G960" s="285">
        <v>0</v>
      </c>
      <c r="H960" s="147">
        <v>0</v>
      </c>
      <c r="I960" s="495">
        <f t="shared" si="50"/>
        <v>0</v>
      </c>
    </row>
    <row r="961" spans="1:16" ht="12" thickTop="1" thickBot="1" x14ac:dyDescent="0.2">
      <c r="A961" s="135"/>
      <c r="B961" s="451"/>
      <c r="C961" s="135" t="s">
        <v>1288</v>
      </c>
      <c r="D961" s="297">
        <f>SUM(D928:D960)</f>
        <v>0</v>
      </c>
      <c r="E961" s="297">
        <f>SUM(E928:E960)</f>
        <v>0</v>
      </c>
      <c r="F961" s="297">
        <f>SUM(F928:F960)</f>
        <v>0</v>
      </c>
      <c r="G961" s="297">
        <f>SUM(G928:G960)</f>
        <v>0</v>
      </c>
      <c r="H961" s="297">
        <f>SUM(H928:H960)</f>
        <v>0</v>
      </c>
      <c r="I961" s="297">
        <f>SUM(G961+H961)</f>
        <v>0</v>
      </c>
      <c r="J961" s="636"/>
      <c r="K961" s="416"/>
      <c r="L961" s="416"/>
      <c r="M961" s="416"/>
      <c r="N961" s="416"/>
      <c r="O961" s="416"/>
      <c r="P961" s="416"/>
    </row>
    <row r="962" spans="1:16" ht="11.25" thickTop="1" x14ac:dyDescent="0.15">
      <c r="A962" s="135"/>
      <c r="B962" s="135"/>
      <c r="C962" s="135"/>
      <c r="D962" s="14"/>
      <c r="E962" s="14"/>
      <c r="F962" s="14"/>
      <c r="G962" s="14"/>
      <c r="H962" s="14"/>
      <c r="I962" s="491"/>
    </row>
    <row r="963" spans="1:16" x14ac:dyDescent="0.15">
      <c r="A963" s="452" t="s">
        <v>818</v>
      </c>
      <c r="B963" s="135"/>
      <c r="C963" s="135"/>
      <c r="D963" s="14"/>
      <c r="E963" s="14"/>
      <c r="F963" s="14"/>
      <c r="G963" s="14"/>
      <c r="H963" s="14"/>
      <c r="I963" s="491"/>
    </row>
    <row r="964" spans="1:16" s="416" customFormat="1" hidden="1" x14ac:dyDescent="0.15">
      <c r="B964" s="453" t="s">
        <v>880</v>
      </c>
      <c r="C964" s="454" t="s">
        <v>1164</v>
      </c>
      <c r="D964" s="308">
        <v>0</v>
      </c>
      <c r="E964" s="308">
        <v>0</v>
      </c>
      <c r="F964" s="308">
        <v>0</v>
      </c>
      <c r="G964" s="458"/>
      <c r="H964" s="457">
        <v>0</v>
      </c>
      <c r="I964" s="494">
        <f t="shared" ref="I964:I997" si="52">SUM(G964+H964)</f>
        <v>0</v>
      </c>
    </row>
    <row r="965" spans="1:16" s="416" customFormat="1" x14ac:dyDescent="0.15">
      <c r="B965" s="453" t="s">
        <v>880</v>
      </c>
      <c r="C965" s="454" t="s">
        <v>337</v>
      </c>
      <c r="D965" s="308">
        <v>0</v>
      </c>
      <c r="E965" s="308">
        <v>0</v>
      </c>
      <c r="F965" s="308">
        <v>0</v>
      </c>
      <c r="G965" s="308">
        <v>0</v>
      </c>
      <c r="H965" s="457">
        <v>0</v>
      </c>
      <c r="I965" s="494">
        <f t="shared" si="52"/>
        <v>0</v>
      </c>
    </row>
    <row r="966" spans="1:16" s="416" customFormat="1" hidden="1" x14ac:dyDescent="0.15">
      <c r="A966" s="454"/>
      <c r="B966" s="453" t="s">
        <v>881</v>
      </c>
      <c r="C966" s="454" t="s">
        <v>382</v>
      </c>
      <c r="D966" s="308">
        <v>0</v>
      </c>
      <c r="E966" s="308">
        <v>0</v>
      </c>
      <c r="F966" s="308">
        <v>0</v>
      </c>
      <c r="G966" s="459"/>
      <c r="H966" s="457">
        <v>0</v>
      </c>
      <c r="I966" s="494">
        <f t="shared" si="52"/>
        <v>0</v>
      </c>
    </row>
    <row r="967" spans="1:16" x14ac:dyDescent="0.15">
      <c r="A967" s="135"/>
      <c r="B967" s="451" t="s">
        <v>881</v>
      </c>
      <c r="C967" s="135" t="s">
        <v>338</v>
      </c>
      <c r="D967" s="144">
        <v>0</v>
      </c>
      <c r="E967" s="144">
        <v>0</v>
      </c>
      <c r="F967" s="144">
        <v>0</v>
      </c>
      <c r="G967" s="144">
        <v>0</v>
      </c>
      <c r="H967" s="147">
        <v>0</v>
      </c>
      <c r="I967" s="495">
        <f t="shared" si="52"/>
        <v>0</v>
      </c>
      <c r="J967" s="416"/>
    </row>
    <row r="968" spans="1:16" x14ac:dyDescent="0.15">
      <c r="A968" s="135"/>
      <c r="B968" s="451" t="s">
        <v>882</v>
      </c>
      <c r="C968" s="135" t="s">
        <v>1058</v>
      </c>
      <c r="D968" s="141">
        <v>0</v>
      </c>
      <c r="E968" s="141">
        <v>0</v>
      </c>
      <c r="F968" s="141">
        <v>0</v>
      </c>
      <c r="G968" s="285">
        <v>0</v>
      </c>
      <c r="H968" s="147">
        <v>0</v>
      </c>
      <c r="I968" s="495">
        <f t="shared" si="52"/>
        <v>0</v>
      </c>
    </row>
    <row r="969" spans="1:16" x14ac:dyDescent="0.15">
      <c r="A969" s="135"/>
      <c r="B969" s="451" t="s">
        <v>883</v>
      </c>
      <c r="C969" s="135" t="s">
        <v>1059</v>
      </c>
      <c r="D969" s="141">
        <v>0</v>
      </c>
      <c r="E969" s="141">
        <v>0</v>
      </c>
      <c r="F969" s="141">
        <v>0</v>
      </c>
      <c r="G969" s="285">
        <v>0</v>
      </c>
      <c r="H969" s="147">
        <v>0</v>
      </c>
      <c r="I969" s="495">
        <f t="shared" si="52"/>
        <v>0</v>
      </c>
    </row>
    <row r="970" spans="1:16" x14ac:dyDescent="0.15">
      <c r="A970" s="135"/>
      <c r="B970" s="451" t="s">
        <v>1060</v>
      </c>
      <c r="C970" s="135" t="s">
        <v>1061</v>
      </c>
      <c r="D970" s="141">
        <v>0</v>
      </c>
      <c r="E970" s="141">
        <v>0</v>
      </c>
      <c r="F970" s="141">
        <v>0</v>
      </c>
      <c r="G970" s="285">
        <v>0</v>
      </c>
      <c r="H970" s="147">
        <v>0</v>
      </c>
      <c r="I970" s="495">
        <f t="shared" si="52"/>
        <v>0</v>
      </c>
    </row>
    <row r="971" spans="1:16" x14ac:dyDescent="0.15">
      <c r="A971" s="135"/>
      <c r="B971" s="451" t="s">
        <v>1062</v>
      </c>
      <c r="C971" s="135" t="s">
        <v>1063</v>
      </c>
      <c r="D971" s="141">
        <v>0</v>
      </c>
      <c r="E971" s="141">
        <v>0</v>
      </c>
      <c r="F971" s="141">
        <v>0</v>
      </c>
      <c r="G971" s="285">
        <v>0</v>
      </c>
      <c r="H971" s="147">
        <v>0</v>
      </c>
      <c r="I971" s="495">
        <f t="shared" si="52"/>
        <v>0</v>
      </c>
    </row>
    <row r="972" spans="1:16" x14ac:dyDescent="0.15">
      <c r="A972" s="135"/>
      <c r="B972" s="451" t="s">
        <v>884</v>
      </c>
      <c r="C972" s="135" t="s">
        <v>1064</v>
      </c>
      <c r="D972" s="141">
        <v>0</v>
      </c>
      <c r="E972" s="141">
        <v>0</v>
      </c>
      <c r="F972" s="141">
        <v>0</v>
      </c>
      <c r="G972" s="285">
        <v>0</v>
      </c>
      <c r="H972" s="147">
        <v>0</v>
      </c>
      <c r="I972" s="495">
        <f t="shared" si="52"/>
        <v>0</v>
      </c>
    </row>
    <row r="973" spans="1:16" x14ac:dyDescent="0.15">
      <c r="A973" s="135"/>
      <c r="B973" s="451" t="s">
        <v>1067</v>
      </c>
      <c r="C973" s="135" t="s">
        <v>1074</v>
      </c>
      <c r="D973" s="141">
        <v>0</v>
      </c>
      <c r="E973" s="141">
        <v>0</v>
      </c>
      <c r="F973" s="141">
        <v>0</v>
      </c>
      <c r="G973" s="285">
        <v>0</v>
      </c>
      <c r="H973" s="147">
        <v>0</v>
      </c>
      <c r="I973" s="495">
        <f t="shared" si="52"/>
        <v>0</v>
      </c>
    </row>
    <row r="974" spans="1:16" x14ac:dyDescent="0.15">
      <c r="A974" s="135"/>
      <c r="B974" s="451" t="s">
        <v>1068</v>
      </c>
      <c r="C974" s="135" t="s">
        <v>1075</v>
      </c>
      <c r="D974" s="141">
        <v>0</v>
      </c>
      <c r="E974" s="141">
        <v>0</v>
      </c>
      <c r="F974" s="141">
        <v>0</v>
      </c>
      <c r="G974" s="285">
        <v>0</v>
      </c>
      <c r="H974" s="147">
        <v>0</v>
      </c>
      <c r="I974" s="495">
        <f t="shared" si="52"/>
        <v>0</v>
      </c>
    </row>
    <row r="975" spans="1:16" x14ac:dyDescent="0.15">
      <c r="A975" s="135"/>
      <c r="B975" s="451" t="s">
        <v>1072</v>
      </c>
      <c r="C975" s="135" t="s">
        <v>920</v>
      </c>
      <c r="D975" s="141">
        <v>0</v>
      </c>
      <c r="E975" s="141">
        <v>0</v>
      </c>
      <c r="F975" s="141">
        <v>0</v>
      </c>
      <c r="G975" s="285">
        <v>0</v>
      </c>
      <c r="H975" s="147">
        <v>0</v>
      </c>
      <c r="I975" s="495">
        <f t="shared" si="52"/>
        <v>0</v>
      </c>
    </row>
    <row r="976" spans="1:16" x14ac:dyDescent="0.15">
      <c r="A976" s="135"/>
      <c r="B976" s="716" t="s">
        <v>155</v>
      </c>
      <c r="C976" s="703" t="s">
        <v>178</v>
      </c>
      <c r="D976" s="141">
        <v>0</v>
      </c>
      <c r="E976" s="141">
        <v>0</v>
      </c>
      <c r="F976" s="141">
        <v>0</v>
      </c>
      <c r="G976" s="285">
        <v>0</v>
      </c>
      <c r="H976" s="147">
        <v>0</v>
      </c>
      <c r="I976" s="495">
        <f t="shared" ref="I976" si="53">SUM(G976+H976)</f>
        <v>0</v>
      </c>
    </row>
    <row r="977" spans="1:9" x14ac:dyDescent="0.15">
      <c r="A977" s="135"/>
      <c r="B977" s="451" t="s">
        <v>921</v>
      </c>
      <c r="C977" s="135" t="s">
        <v>955</v>
      </c>
      <c r="D977" s="141">
        <v>0</v>
      </c>
      <c r="E977" s="141">
        <v>0</v>
      </c>
      <c r="F977" s="141">
        <v>0</v>
      </c>
      <c r="G977" s="285">
        <v>0</v>
      </c>
      <c r="H977" s="147">
        <v>0</v>
      </c>
      <c r="I977" s="495">
        <f t="shared" si="52"/>
        <v>0</v>
      </c>
    </row>
    <row r="978" spans="1:9" x14ac:dyDescent="0.15">
      <c r="A978" s="135"/>
      <c r="B978" s="451" t="s">
        <v>922</v>
      </c>
      <c r="C978" s="135" t="s">
        <v>956</v>
      </c>
      <c r="D978" s="141">
        <v>0</v>
      </c>
      <c r="E978" s="141">
        <v>0</v>
      </c>
      <c r="F978" s="141">
        <v>0</v>
      </c>
      <c r="G978" s="285">
        <v>0</v>
      </c>
      <c r="H978" s="147">
        <v>0</v>
      </c>
      <c r="I978" s="495">
        <f t="shared" si="52"/>
        <v>0</v>
      </c>
    </row>
    <row r="979" spans="1:9" x14ac:dyDescent="0.15">
      <c r="A979" s="135"/>
      <c r="B979" s="451" t="s">
        <v>923</v>
      </c>
      <c r="C979" s="135" t="s">
        <v>957</v>
      </c>
      <c r="D979" s="141">
        <v>0</v>
      </c>
      <c r="E979" s="141">
        <v>0</v>
      </c>
      <c r="F979" s="141">
        <v>0</v>
      </c>
      <c r="G979" s="285">
        <v>0</v>
      </c>
      <c r="H979" s="147">
        <v>0</v>
      </c>
      <c r="I979" s="495">
        <f t="shared" si="52"/>
        <v>0</v>
      </c>
    </row>
    <row r="980" spans="1:9" x14ac:dyDescent="0.15">
      <c r="A980" s="135"/>
      <c r="B980" s="451" t="s">
        <v>924</v>
      </c>
      <c r="C980" s="135" t="s">
        <v>958</v>
      </c>
      <c r="D980" s="141">
        <v>0</v>
      </c>
      <c r="E980" s="141">
        <v>0</v>
      </c>
      <c r="F980" s="141">
        <v>0</v>
      </c>
      <c r="G980" s="285">
        <v>0</v>
      </c>
      <c r="H980" s="147">
        <v>0</v>
      </c>
      <c r="I980" s="495">
        <f t="shared" si="52"/>
        <v>0</v>
      </c>
    </row>
    <row r="981" spans="1:9" x14ac:dyDescent="0.15">
      <c r="A981" s="135"/>
      <c r="B981" s="451" t="s">
        <v>925</v>
      </c>
      <c r="C981" s="135" t="s">
        <v>1128</v>
      </c>
      <c r="D981" s="141">
        <v>0</v>
      </c>
      <c r="E981" s="141">
        <v>0</v>
      </c>
      <c r="F981" s="141">
        <v>0</v>
      </c>
      <c r="G981" s="285">
        <v>0</v>
      </c>
      <c r="H981" s="147">
        <v>0</v>
      </c>
      <c r="I981" s="495">
        <f t="shared" si="52"/>
        <v>0</v>
      </c>
    </row>
    <row r="982" spans="1:9" x14ac:dyDescent="0.15">
      <c r="A982" s="135"/>
      <c r="B982" s="451" t="s">
        <v>926</v>
      </c>
      <c r="C982" s="135" t="s">
        <v>1129</v>
      </c>
      <c r="D982" s="141">
        <v>0</v>
      </c>
      <c r="E982" s="141">
        <v>0</v>
      </c>
      <c r="F982" s="141">
        <v>0</v>
      </c>
      <c r="G982" s="285">
        <v>0</v>
      </c>
      <c r="H982" s="147">
        <v>0</v>
      </c>
      <c r="I982" s="495">
        <f t="shared" si="52"/>
        <v>0</v>
      </c>
    </row>
    <row r="983" spans="1:9" x14ac:dyDescent="0.15">
      <c r="A983" s="135"/>
      <c r="B983" s="451" t="s">
        <v>927</v>
      </c>
      <c r="C983" s="135" t="s">
        <v>959</v>
      </c>
      <c r="D983" s="141">
        <v>0</v>
      </c>
      <c r="E983" s="141">
        <v>0</v>
      </c>
      <c r="F983" s="141">
        <v>0</v>
      </c>
      <c r="G983" s="285">
        <v>0</v>
      </c>
      <c r="H983" s="147">
        <v>0</v>
      </c>
      <c r="I983" s="495">
        <f t="shared" si="52"/>
        <v>0</v>
      </c>
    </row>
    <row r="984" spans="1:9" x14ac:dyDescent="0.15">
      <c r="A984" s="135"/>
      <c r="B984" s="451" t="s">
        <v>928</v>
      </c>
      <c r="C984" s="135" t="s">
        <v>961</v>
      </c>
      <c r="D984" s="141">
        <v>0</v>
      </c>
      <c r="E984" s="141">
        <v>0</v>
      </c>
      <c r="F984" s="141">
        <v>0</v>
      </c>
      <c r="G984" s="285">
        <v>0</v>
      </c>
      <c r="H984" s="147">
        <v>0</v>
      </c>
      <c r="I984" s="495">
        <f t="shared" si="52"/>
        <v>0</v>
      </c>
    </row>
    <row r="985" spans="1:9" x14ac:dyDescent="0.15">
      <c r="A985" s="135"/>
      <c r="B985" s="451" t="s">
        <v>962</v>
      </c>
      <c r="C985" s="135" t="s">
        <v>967</v>
      </c>
      <c r="D985" s="141">
        <v>0</v>
      </c>
      <c r="E985" s="141">
        <v>0</v>
      </c>
      <c r="F985" s="141">
        <v>0</v>
      </c>
      <c r="G985" s="285">
        <v>0</v>
      </c>
      <c r="H985" s="147">
        <v>0</v>
      </c>
      <c r="I985" s="495">
        <f t="shared" si="52"/>
        <v>0</v>
      </c>
    </row>
    <row r="986" spans="1:9" x14ac:dyDescent="0.15">
      <c r="A986" s="135"/>
      <c r="B986" s="451" t="s">
        <v>963</v>
      </c>
      <c r="C986" s="135" t="s">
        <v>1093</v>
      </c>
      <c r="D986" s="141">
        <v>0</v>
      </c>
      <c r="E986" s="141">
        <v>0</v>
      </c>
      <c r="F986" s="141">
        <v>0</v>
      </c>
      <c r="G986" s="285">
        <v>0</v>
      </c>
      <c r="H986" s="147">
        <v>0</v>
      </c>
      <c r="I986" s="495">
        <f t="shared" si="52"/>
        <v>0</v>
      </c>
    </row>
    <row r="987" spans="1:9" x14ac:dyDescent="0.15">
      <c r="A987" s="135"/>
      <c r="B987" s="451" t="s">
        <v>964</v>
      </c>
      <c r="C987" s="135" t="s">
        <v>1094</v>
      </c>
      <c r="D987" s="141">
        <v>0</v>
      </c>
      <c r="E987" s="141">
        <v>0</v>
      </c>
      <c r="F987" s="141">
        <v>0</v>
      </c>
      <c r="G987" s="285">
        <v>0</v>
      </c>
      <c r="H987" s="147">
        <v>0</v>
      </c>
      <c r="I987" s="495">
        <f t="shared" si="52"/>
        <v>0</v>
      </c>
    </row>
    <row r="988" spans="1:9" x14ac:dyDescent="0.15">
      <c r="A988" s="135"/>
      <c r="B988" s="451" t="s">
        <v>965</v>
      </c>
      <c r="C988" s="135" t="s">
        <v>1095</v>
      </c>
      <c r="D988" s="141">
        <v>0</v>
      </c>
      <c r="E988" s="141">
        <v>0</v>
      </c>
      <c r="F988" s="141">
        <v>0</v>
      </c>
      <c r="G988" s="285">
        <v>0</v>
      </c>
      <c r="H988" s="147">
        <v>0</v>
      </c>
      <c r="I988" s="495">
        <f t="shared" si="52"/>
        <v>0</v>
      </c>
    </row>
    <row r="989" spans="1:9" x14ac:dyDescent="0.15">
      <c r="A989" s="135"/>
      <c r="B989" s="451" t="s">
        <v>885</v>
      </c>
      <c r="C989" s="135" t="s">
        <v>1096</v>
      </c>
      <c r="D989" s="141">
        <v>0</v>
      </c>
      <c r="E989" s="141">
        <v>0</v>
      </c>
      <c r="F989" s="141">
        <v>0</v>
      </c>
      <c r="G989" s="285">
        <v>0</v>
      </c>
      <c r="H989" s="147">
        <v>0</v>
      </c>
      <c r="I989" s="495">
        <f t="shared" si="52"/>
        <v>0</v>
      </c>
    </row>
    <row r="990" spans="1:9" x14ac:dyDescent="0.15">
      <c r="A990" s="135"/>
      <c r="B990" s="451" t="s">
        <v>966</v>
      </c>
      <c r="C990" s="135" t="s">
        <v>1097</v>
      </c>
      <c r="D990" s="141">
        <v>0</v>
      </c>
      <c r="E990" s="141">
        <v>0</v>
      </c>
      <c r="F990" s="141">
        <v>0</v>
      </c>
      <c r="G990" s="285">
        <v>0</v>
      </c>
      <c r="H990" s="147">
        <v>0</v>
      </c>
      <c r="I990" s="495">
        <f t="shared" si="52"/>
        <v>0</v>
      </c>
    </row>
    <row r="991" spans="1:9" x14ac:dyDescent="0.15">
      <c r="A991" s="135"/>
      <c r="B991" s="451" t="s">
        <v>886</v>
      </c>
      <c r="C991" s="135" t="s">
        <v>1100</v>
      </c>
      <c r="D991" s="141">
        <v>0</v>
      </c>
      <c r="E991" s="141">
        <v>0</v>
      </c>
      <c r="F991" s="141">
        <v>0</v>
      </c>
      <c r="G991" s="285">
        <v>0</v>
      </c>
      <c r="H991" s="147">
        <v>0</v>
      </c>
      <c r="I991" s="495">
        <f t="shared" si="52"/>
        <v>0</v>
      </c>
    </row>
    <row r="992" spans="1:9" x14ac:dyDescent="0.15">
      <c r="A992" s="135"/>
      <c r="B992" s="451" t="s">
        <v>116</v>
      </c>
      <c r="C992" s="135" t="s">
        <v>1105</v>
      </c>
      <c r="D992" s="141">
        <v>0</v>
      </c>
      <c r="E992" s="141">
        <v>0</v>
      </c>
      <c r="F992" s="141">
        <v>0</v>
      </c>
      <c r="G992" s="285">
        <v>0</v>
      </c>
      <c r="H992" s="147">
        <v>0</v>
      </c>
      <c r="I992" s="495">
        <f t="shared" si="52"/>
        <v>0</v>
      </c>
    </row>
    <row r="993" spans="1:9" x14ac:dyDescent="0.15">
      <c r="A993" s="135"/>
      <c r="B993" s="451" t="s">
        <v>112</v>
      </c>
      <c r="C993" s="135" t="s">
        <v>1110</v>
      </c>
      <c r="D993" s="141">
        <v>0</v>
      </c>
      <c r="E993" s="141">
        <v>0</v>
      </c>
      <c r="F993" s="141">
        <v>0</v>
      </c>
      <c r="G993" s="285">
        <v>0</v>
      </c>
      <c r="H993" s="147">
        <v>0</v>
      </c>
      <c r="I993" s="495">
        <f t="shared" si="52"/>
        <v>0</v>
      </c>
    </row>
    <row r="994" spans="1:9" x14ac:dyDescent="0.15">
      <c r="A994" s="135"/>
      <c r="B994" s="451" t="s">
        <v>887</v>
      </c>
      <c r="C994" s="135" t="s">
        <v>1116</v>
      </c>
      <c r="D994" s="141">
        <v>0</v>
      </c>
      <c r="E994" s="141">
        <v>0</v>
      </c>
      <c r="F994" s="141">
        <v>0</v>
      </c>
      <c r="G994" s="285">
        <v>0</v>
      </c>
      <c r="H994" s="147">
        <v>0</v>
      </c>
      <c r="I994" s="495">
        <f t="shared" si="52"/>
        <v>0</v>
      </c>
    </row>
    <row r="995" spans="1:9" x14ac:dyDescent="0.15">
      <c r="A995" s="135"/>
      <c r="B995" s="451" t="s">
        <v>1112</v>
      </c>
      <c r="C995" s="135" t="s">
        <v>1117</v>
      </c>
      <c r="D995" s="141">
        <v>0</v>
      </c>
      <c r="E995" s="141">
        <v>0</v>
      </c>
      <c r="F995" s="141">
        <v>0</v>
      </c>
      <c r="G995" s="285">
        <v>0</v>
      </c>
      <c r="H995" s="147">
        <v>0</v>
      </c>
      <c r="I995" s="495">
        <f t="shared" si="52"/>
        <v>0</v>
      </c>
    </row>
    <row r="996" spans="1:9" x14ac:dyDescent="0.15">
      <c r="A996" s="135"/>
      <c r="B996" s="451" t="s">
        <v>1113</v>
      </c>
      <c r="C996" s="135" t="s">
        <v>1118</v>
      </c>
      <c r="D996" s="141">
        <v>0</v>
      </c>
      <c r="E996" s="141">
        <v>0</v>
      </c>
      <c r="F996" s="141">
        <v>0</v>
      </c>
      <c r="G996" s="285">
        <v>0</v>
      </c>
      <c r="H996" s="147">
        <v>0</v>
      </c>
      <c r="I996" s="495">
        <f t="shared" si="52"/>
        <v>0</v>
      </c>
    </row>
    <row r="997" spans="1:9" ht="11.25" thickBot="1" x14ac:dyDescent="0.2">
      <c r="A997" s="135"/>
      <c r="B997" s="451" t="s">
        <v>1114</v>
      </c>
      <c r="C997" s="135" t="s">
        <v>1119</v>
      </c>
      <c r="D997" s="141">
        <v>0</v>
      </c>
      <c r="E997" s="141">
        <v>0</v>
      </c>
      <c r="F997" s="141">
        <v>0</v>
      </c>
      <c r="G997" s="285">
        <v>0</v>
      </c>
      <c r="H997" s="147">
        <v>0</v>
      </c>
      <c r="I997" s="495">
        <f t="shared" si="52"/>
        <v>0</v>
      </c>
    </row>
    <row r="998" spans="1:9" ht="12" thickTop="1" thickBot="1" x14ac:dyDescent="0.2">
      <c r="A998" s="135"/>
      <c r="B998" s="451"/>
      <c r="C998" s="135" t="s">
        <v>1289</v>
      </c>
      <c r="D998" s="166">
        <f t="shared" ref="D998:I998" si="54">SUM(D964:D997)</f>
        <v>0</v>
      </c>
      <c r="E998" s="166">
        <f t="shared" si="54"/>
        <v>0</v>
      </c>
      <c r="F998" s="166">
        <f t="shared" si="54"/>
        <v>0</v>
      </c>
      <c r="G998" s="166">
        <f t="shared" si="54"/>
        <v>0</v>
      </c>
      <c r="H998" s="166">
        <f t="shared" si="54"/>
        <v>0</v>
      </c>
      <c r="I998" s="166">
        <f t="shared" si="54"/>
        <v>0</v>
      </c>
    </row>
    <row r="999" spans="1:9" ht="11.25" thickTop="1" x14ac:dyDescent="0.15">
      <c r="A999" s="135"/>
      <c r="B999" s="135"/>
      <c r="C999" s="135"/>
      <c r="D999" s="14"/>
      <c r="E999" s="14"/>
      <c r="F999" s="14"/>
      <c r="G999" s="14"/>
      <c r="H999" s="14"/>
      <c r="I999" s="491"/>
    </row>
    <row r="1000" spans="1:9" x14ac:dyDescent="0.15">
      <c r="A1000" s="452" t="s">
        <v>1290</v>
      </c>
      <c r="B1000" s="135"/>
      <c r="C1000" s="135"/>
      <c r="D1000" s="14"/>
      <c r="E1000" s="14"/>
      <c r="F1000" s="14"/>
      <c r="G1000" s="14"/>
      <c r="H1000" s="14"/>
      <c r="I1000" s="491"/>
    </row>
    <row r="1001" spans="1:9" s="416" customFormat="1" hidden="1" x14ac:dyDescent="0.15">
      <c r="B1001" s="453" t="s">
        <v>880</v>
      </c>
      <c r="C1001" s="454" t="s">
        <v>1164</v>
      </c>
      <c r="D1001" s="308">
        <v>0</v>
      </c>
      <c r="E1001" s="308">
        <v>0</v>
      </c>
      <c r="F1001" s="308">
        <v>0</v>
      </c>
      <c r="G1001" s="458"/>
      <c r="H1001" s="457">
        <v>0</v>
      </c>
      <c r="I1001" s="494">
        <f t="shared" ref="I1001:I1035" si="55">SUM(G1001+H1001)</f>
        <v>0</v>
      </c>
    </row>
    <row r="1002" spans="1:9" s="416" customFormat="1" x14ac:dyDescent="0.15">
      <c r="B1002" s="453" t="s">
        <v>880</v>
      </c>
      <c r="C1002" s="454" t="s">
        <v>337</v>
      </c>
      <c r="D1002" s="308">
        <v>0</v>
      </c>
      <c r="E1002" s="308">
        <v>0</v>
      </c>
      <c r="F1002" s="308">
        <v>0</v>
      </c>
      <c r="G1002" s="308">
        <v>0</v>
      </c>
      <c r="H1002" s="457">
        <v>0</v>
      </c>
      <c r="I1002" s="494">
        <f t="shared" si="55"/>
        <v>0</v>
      </c>
    </row>
    <row r="1003" spans="1:9" s="416" customFormat="1" hidden="1" x14ac:dyDescent="0.15">
      <c r="A1003" s="454"/>
      <c r="B1003" s="453" t="s">
        <v>881</v>
      </c>
      <c r="C1003" s="454" t="s">
        <v>382</v>
      </c>
      <c r="D1003" s="308">
        <v>0</v>
      </c>
      <c r="E1003" s="308">
        <v>0</v>
      </c>
      <c r="F1003" s="308">
        <v>0</v>
      </c>
      <c r="G1003" s="459"/>
      <c r="H1003" s="457">
        <v>0</v>
      </c>
      <c r="I1003" s="494">
        <f t="shared" si="55"/>
        <v>0</v>
      </c>
    </row>
    <row r="1004" spans="1:9" s="416" customFormat="1" x14ac:dyDescent="0.15">
      <c r="A1004" s="454"/>
      <c r="B1004" s="453" t="s">
        <v>881</v>
      </c>
      <c r="C1004" s="454" t="s">
        <v>338</v>
      </c>
      <c r="D1004" s="308">
        <v>0</v>
      </c>
      <c r="E1004" s="308">
        <v>0</v>
      </c>
      <c r="F1004" s="308">
        <v>0</v>
      </c>
      <c r="G1004" s="308">
        <v>0</v>
      </c>
      <c r="H1004" s="457">
        <v>0</v>
      </c>
      <c r="I1004" s="494">
        <f t="shared" si="55"/>
        <v>0</v>
      </c>
    </row>
    <row r="1005" spans="1:9" x14ac:dyDescent="0.15">
      <c r="A1005" s="135"/>
      <c r="B1005" s="451" t="s">
        <v>882</v>
      </c>
      <c r="C1005" s="135" t="s">
        <v>1058</v>
      </c>
      <c r="D1005" s="141">
        <v>0</v>
      </c>
      <c r="E1005" s="141">
        <v>0</v>
      </c>
      <c r="F1005" s="141">
        <v>0</v>
      </c>
      <c r="G1005" s="285">
        <v>0</v>
      </c>
      <c r="H1005" s="147">
        <v>0</v>
      </c>
      <c r="I1005" s="495">
        <f t="shared" si="55"/>
        <v>0</v>
      </c>
    </row>
    <row r="1006" spans="1:9" x14ac:dyDescent="0.15">
      <c r="A1006" s="135"/>
      <c r="B1006" s="451" t="s">
        <v>883</v>
      </c>
      <c r="C1006" s="135" t="s">
        <v>1059</v>
      </c>
      <c r="D1006" s="141">
        <v>0</v>
      </c>
      <c r="E1006" s="141">
        <v>0</v>
      </c>
      <c r="F1006" s="141">
        <v>0</v>
      </c>
      <c r="G1006" s="285">
        <v>0</v>
      </c>
      <c r="H1006" s="147">
        <v>0</v>
      </c>
      <c r="I1006" s="495">
        <f t="shared" si="55"/>
        <v>0</v>
      </c>
    </row>
    <row r="1007" spans="1:9" x14ac:dyDescent="0.15">
      <c r="A1007" s="135"/>
      <c r="B1007" s="451" t="s">
        <v>1060</v>
      </c>
      <c r="C1007" s="135" t="s">
        <v>1061</v>
      </c>
      <c r="D1007" s="141">
        <v>0</v>
      </c>
      <c r="E1007" s="141">
        <v>0</v>
      </c>
      <c r="F1007" s="141">
        <v>0</v>
      </c>
      <c r="G1007" s="285">
        <v>0</v>
      </c>
      <c r="H1007" s="147">
        <v>0</v>
      </c>
      <c r="I1007" s="495">
        <f t="shared" si="55"/>
        <v>0</v>
      </c>
    </row>
    <row r="1008" spans="1:9" x14ac:dyDescent="0.15">
      <c r="A1008" s="135"/>
      <c r="B1008" s="451" t="s">
        <v>1062</v>
      </c>
      <c r="C1008" s="135" t="s">
        <v>1063</v>
      </c>
      <c r="D1008" s="141">
        <v>0</v>
      </c>
      <c r="E1008" s="141">
        <v>0</v>
      </c>
      <c r="F1008" s="141">
        <v>0</v>
      </c>
      <c r="G1008" s="285">
        <v>0</v>
      </c>
      <c r="H1008" s="147">
        <v>0</v>
      </c>
      <c r="I1008" s="495">
        <f t="shared" si="55"/>
        <v>0</v>
      </c>
    </row>
    <row r="1009" spans="1:9" x14ac:dyDescent="0.15">
      <c r="A1009" s="135"/>
      <c r="B1009" s="451" t="s">
        <v>884</v>
      </c>
      <c r="C1009" s="135" t="s">
        <v>1064</v>
      </c>
      <c r="D1009" s="141">
        <v>0</v>
      </c>
      <c r="E1009" s="141">
        <v>0</v>
      </c>
      <c r="F1009" s="141">
        <v>0</v>
      </c>
      <c r="G1009" s="285">
        <v>0</v>
      </c>
      <c r="H1009" s="147">
        <v>0</v>
      </c>
      <c r="I1009" s="495">
        <f t="shared" si="55"/>
        <v>0</v>
      </c>
    </row>
    <row r="1010" spans="1:9" x14ac:dyDescent="0.15">
      <c r="A1010" s="135"/>
      <c r="B1010" s="451" t="s">
        <v>1067</v>
      </c>
      <c r="C1010" s="135" t="s">
        <v>1074</v>
      </c>
      <c r="D1010" s="141">
        <v>0</v>
      </c>
      <c r="E1010" s="141">
        <v>0</v>
      </c>
      <c r="F1010" s="141">
        <v>0</v>
      </c>
      <c r="G1010" s="285">
        <v>0</v>
      </c>
      <c r="H1010" s="147">
        <v>0</v>
      </c>
      <c r="I1010" s="495">
        <f t="shared" si="55"/>
        <v>0</v>
      </c>
    </row>
    <row r="1011" spans="1:9" x14ac:dyDescent="0.15">
      <c r="A1011" s="135"/>
      <c r="B1011" s="451" t="s">
        <v>1068</v>
      </c>
      <c r="C1011" s="135" t="s">
        <v>1075</v>
      </c>
      <c r="D1011" s="141">
        <v>0</v>
      </c>
      <c r="E1011" s="141">
        <v>0</v>
      </c>
      <c r="F1011" s="141">
        <v>0</v>
      </c>
      <c r="G1011" s="285">
        <v>0</v>
      </c>
      <c r="H1011" s="147">
        <v>0</v>
      </c>
      <c r="I1011" s="495">
        <f t="shared" si="55"/>
        <v>0</v>
      </c>
    </row>
    <row r="1012" spans="1:9" x14ac:dyDescent="0.15">
      <c r="A1012" s="135"/>
      <c r="B1012" s="451" t="s">
        <v>1072</v>
      </c>
      <c r="C1012" s="135" t="s">
        <v>920</v>
      </c>
      <c r="D1012" s="141">
        <v>0</v>
      </c>
      <c r="E1012" s="141">
        <v>0</v>
      </c>
      <c r="F1012" s="141">
        <v>0</v>
      </c>
      <c r="G1012" s="285">
        <v>0</v>
      </c>
      <c r="H1012" s="147">
        <v>0</v>
      </c>
      <c r="I1012" s="495">
        <f t="shared" si="55"/>
        <v>0</v>
      </c>
    </row>
    <row r="1013" spans="1:9" x14ac:dyDescent="0.15">
      <c r="A1013" s="135"/>
      <c r="B1013" s="716" t="s">
        <v>155</v>
      </c>
      <c r="C1013" s="703" t="s">
        <v>178</v>
      </c>
      <c r="D1013" s="141">
        <v>0</v>
      </c>
      <c r="E1013" s="141">
        <v>0</v>
      </c>
      <c r="F1013" s="141">
        <v>0</v>
      </c>
      <c r="G1013" s="285">
        <v>0</v>
      </c>
      <c r="H1013" s="147">
        <v>0</v>
      </c>
      <c r="I1013" s="495">
        <f t="shared" ref="I1013" si="56">SUM(G1013+H1013)</f>
        <v>0</v>
      </c>
    </row>
    <row r="1014" spans="1:9" x14ac:dyDescent="0.15">
      <c r="A1014" s="135"/>
      <c r="B1014" s="451" t="s">
        <v>921</v>
      </c>
      <c r="C1014" s="135" t="s">
        <v>955</v>
      </c>
      <c r="D1014" s="141">
        <v>0</v>
      </c>
      <c r="E1014" s="141">
        <v>0</v>
      </c>
      <c r="F1014" s="141">
        <v>0</v>
      </c>
      <c r="G1014" s="285">
        <v>0</v>
      </c>
      <c r="H1014" s="147">
        <v>0</v>
      </c>
      <c r="I1014" s="495">
        <f t="shared" si="55"/>
        <v>0</v>
      </c>
    </row>
    <row r="1015" spans="1:9" x14ac:dyDescent="0.15">
      <c r="A1015" s="135"/>
      <c r="B1015" s="451" t="s">
        <v>922</v>
      </c>
      <c r="C1015" s="135" t="s">
        <v>956</v>
      </c>
      <c r="D1015" s="141">
        <v>0</v>
      </c>
      <c r="E1015" s="141">
        <v>0</v>
      </c>
      <c r="F1015" s="141">
        <v>0</v>
      </c>
      <c r="G1015" s="285">
        <v>0</v>
      </c>
      <c r="H1015" s="147">
        <v>0</v>
      </c>
      <c r="I1015" s="495">
        <f t="shared" si="55"/>
        <v>0</v>
      </c>
    </row>
    <row r="1016" spans="1:9" x14ac:dyDescent="0.15">
      <c r="A1016" s="135"/>
      <c r="B1016" s="451" t="s">
        <v>923</v>
      </c>
      <c r="C1016" s="135" t="s">
        <v>957</v>
      </c>
      <c r="D1016" s="141">
        <v>0</v>
      </c>
      <c r="E1016" s="141">
        <v>0</v>
      </c>
      <c r="F1016" s="141">
        <v>0</v>
      </c>
      <c r="G1016" s="285">
        <v>0</v>
      </c>
      <c r="H1016" s="147">
        <v>0</v>
      </c>
      <c r="I1016" s="495">
        <f t="shared" si="55"/>
        <v>0</v>
      </c>
    </row>
    <row r="1017" spans="1:9" x14ac:dyDescent="0.15">
      <c r="A1017" s="135"/>
      <c r="B1017" s="451" t="s">
        <v>924</v>
      </c>
      <c r="C1017" s="135" t="s">
        <v>958</v>
      </c>
      <c r="D1017" s="141">
        <v>0</v>
      </c>
      <c r="E1017" s="141">
        <v>0</v>
      </c>
      <c r="F1017" s="141">
        <v>0</v>
      </c>
      <c r="G1017" s="285">
        <v>0</v>
      </c>
      <c r="H1017" s="147">
        <v>0</v>
      </c>
      <c r="I1017" s="495">
        <f t="shared" si="55"/>
        <v>0</v>
      </c>
    </row>
    <row r="1018" spans="1:9" x14ac:dyDescent="0.15">
      <c r="A1018" s="135"/>
      <c r="B1018" s="451" t="s">
        <v>925</v>
      </c>
      <c r="C1018" s="135" t="s">
        <v>1128</v>
      </c>
      <c r="D1018" s="141">
        <v>0</v>
      </c>
      <c r="E1018" s="141">
        <v>0</v>
      </c>
      <c r="F1018" s="141">
        <v>0</v>
      </c>
      <c r="G1018" s="285">
        <v>0</v>
      </c>
      <c r="H1018" s="147">
        <v>0</v>
      </c>
      <c r="I1018" s="495">
        <f t="shared" si="55"/>
        <v>0</v>
      </c>
    </row>
    <row r="1019" spans="1:9" x14ac:dyDescent="0.15">
      <c r="A1019" s="135"/>
      <c r="B1019" s="451" t="s">
        <v>926</v>
      </c>
      <c r="C1019" s="135" t="s">
        <v>1129</v>
      </c>
      <c r="D1019" s="141">
        <v>0</v>
      </c>
      <c r="E1019" s="141">
        <v>0</v>
      </c>
      <c r="F1019" s="141">
        <v>0</v>
      </c>
      <c r="G1019" s="285">
        <v>0</v>
      </c>
      <c r="H1019" s="147">
        <v>0</v>
      </c>
      <c r="I1019" s="495">
        <f t="shared" si="55"/>
        <v>0</v>
      </c>
    </row>
    <row r="1020" spans="1:9" x14ac:dyDescent="0.15">
      <c r="A1020" s="135"/>
      <c r="B1020" s="451" t="s">
        <v>927</v>
      </c>
      <c r="C1020" s="135" t="s">
        <v>959</v>
      </c>
      <c r="D1020" s="141">
        <v>0</v>
      </c>
      <c r="E1020" s="141">
        <v>0</v>
      </c>
      <c r="F1020" s="141">
        <v>0</v>
      </c>
      <c r="G1020" s="285">
        <v>0</v>
      </c>
      <c r="H1020" s="147">
        <v>0</v>
      </c>
      <c r="I1020" s="495">
        <f t="shared" si="55"/>
        <v>0</v>
      </c>
    </row>
    <row r="1021" spans="1:9" x14ac:dyDescent="0.15">
      <c r="A1021" s="135"/>
      <c r="B1021" s="451" t="s">
        <v>928</v>
      </c>
      <c r="C1021" s="135" t="s">
        <v>961</v>
      </c>
      <c r="D1021" s="141">
        <v>0</v>
      </c>
      <c r="E1021" s="141">
        <v>0</v>
      </c>
      <c r="F1021" s="141">
        <v>0</v>
      </c>
      <c r="G1021" s="285">
        <v>0</v>
      </c>
      <c r="H1021" s="147">
        <v>0</v>
      </c>
      <c r="I1021" s="495">
        <f t="shared" si="55"/>
        <v>0</v>
      </c>
    </row>
    <row r="1022" spans="1:9" x14ac:dyDescent="0.15">
      <c r="A1022" s="135"/>
      <c r="B1022" s="451" t="s">
        <v>962</v>
      </c>
      <c r="C1022" s="135" t="s">
        <v>967</v>
      </c>
      <c r="D1022" s="141">
        <v>0</v>
      </c>
      <c r="E1022" s="141">
        <v>0</v>
      </c>
      <c r="F1022" s="141">
        <v>0</v>
      </c>
      <c r="G1022" s="285">
        <v>0</v>
      </c>
      <c r="H1022" s="147">
        <v>0</v>
      </c>
      <c r="I1022" s="495">
        <f t="shared" si="55"/>
        <v>0</v>
      </c>
    </row>
    <row r="1023" spans="1:9" x14ac:dyDescent="0.15">
      <c r="A1023" s="135"/>
      <c r="B1023" s="451" t="s">
        <v>963</v>
      </c>
      <c r="C1023" s="135" t="s">
        <v>1093</v>
      </c>
      <c r="D1023" s="141">
        <v>0</v>
      </c>
      <c r="E1023" s="141">
        <v>0</v>
      </c>
      <c r="F1023" s="141">
        <v>0</v>
      </c>
      <c r="G1023" s="285">
        <v>0</v>
      </c>
      <c r="H1023" s="147">
        <v>0</v>
      </c>
      <c r="I1023" s="495">
        <f t="shared" si="55"/>
        <v>0</v>
      </c>
    </row>
    <row r="1024" spans="1:9" x14ac:dyDescent="0.15">
      <c r="A1024" s="135"/>
      <c r="B1024" s="451" t="s">
        <v>964</v>
      </c>
      <c r="C1024" s="135" t="s">
        <v>1094</v>
      </c>
      <c r="D1024" s="141">
        <v>0</v>
      </c>
      <c r="E1024" s="141">
        <v>0</v>
      </c>
      <c r="F1024" s="141">
        <v>0</v>
      </c>
      <c r="G1024" s="285">
        <v>0</v>
      </c>
      <c r="H1024" s="147">
        <v>0</v>
      </c>
      <c r="I1024" s="495">
        <f t="shared" si="55"/>
        <v>0</v>
      </c>
    </row>
    <row r="1025" spans="1:9" x14ac:dyDescent="0.15">
      <c r="A1025" s="135"/>
      <c r="B1025" s="451" t="s">
        <v>965</v>
      </c>
      <c r="C1025" s="135" t="s">
        <v>1095</v>
      </c>
      <c r="D1025" s="141">
        <v>0</v>
      </c>
      <c r="E1025" s="141">
        <v>0</v>
      </c>
      <c r="F1025" s="141">
        <v>0</v>
      </c>
      <c r="G1025" s="285">
        <v>0</v>
      </c>
      <c r="H1025" s="147">
        <v>0</v>
      </c>
      <c r="I1025" s="495">
        <f t="shared" si="55"/>
        <v>0</v>
      </c>
    </row>
    <row r="1026" spans="1:9" x14ac:dyDescent="0.15">
      <c r="A1026" s="135"/>
      <c r="B1026" s="451" t="s">
        <v>885</v>
      </c>
      <c r="C1026" s="135" t="s">
        <v>1096</v>
      </c>
      <c r="D1026" s="141">
        <v>0</v>
      </c>
      <c r="E1026" s="141">
        <v>0</v>
      </c>
      <c r="F1026" s="141">
        <v>0</v>
      </c>
      <c r="G1026" s="285">
        <v>0</v>
      </c>
      <c r="H1026" s="147">
        <v>0</v>
      </c>
      <c r="I1026" s="495">
        <f t="shared" si="55"/>
        <v>0</v>
      </c>
    </row>
    <row r="1027" spans="1:9" x14ac:dyDescent="0.15">
      <c r="A1027" s="135"/>
      <c r="B1027" s="451" t="s">
        <v>966</v>
      </c>
      <c r="C1027" s="135" t="s">
        <v>1097</v>
      </c>
      <c r="D1027" s="141">
        <v>0</v>
      </c>
      <c r="E1027" s="141">
        <v>0</v>
      </c>
      <c r="F1027" s="141">
        <v>0</v>
      </c>
      <c r="G1027" s="285">
        <v>0</v>
      </c>
      <c r="H1027" s="147">
        <v>0</v>
      </c>
      <c r="I1027" s="495">
        <f t="shared" si="55"/>
        <v>0</v>
      </c>
    </row>
    <row r="1028" spans="1:9" x14ac:dyDescent="0.15">
      <c r="A1028" s="135"/>
      <c r="B1028" s="451" t="s">
        <v>886</v>
      </c>
      <c r="C1028" s="135" t="s">
        <v>1100</v>
      </c>
      <c r="D1028" s="141">
        <v>0</v>
      </c>
      <c r="E1028" s="141">
        <v>0</v>
      </c>
      <c r="F1028" s="141">
        <v>0</v>
      </c>
      <c r="G1028" s="285">
        <v>0</v>
      </c>
      <c r="H1028" s="147">
        <v>0</v>
      </c>
      <c r="I1028" s="495">
        <f t="shared" si="55"/>
        <v>0</v>
      </c>
    </row>
    <row r="1029" spans="1:9" x14ac:dyDescent="0.15">
      <c r="A1029" s="135"/>
      <c r="B1029" s="451" t="s">
        <v>116</v>
      </c>
      <c r="C1029" s="135" t="s">
        <v>1105</v>
      </c>
      <c r="D1029" s="141">
        <v>0</v>
      </c>
      <c r="E1029" s="141">
        <v>0</v>
      </c>
      <c r="F1029" s="141">
        <v>0</v>
      </c>
      <c r="G1029" s="285">
        <v>0</v>
      </c>
      <c r="H1029" s="147">
        <v>0</v>
      </c>
      <c r="I1029" s="495">
        <f t="shared" si="55"/>
        <v>0</v>
      </c>
    </row>
    <row r="1030" spans="1:9" x14ac:dyDescent="0.15">
      <c r="A1030" s="135"/>
      <c r="B1030" s="451" t="s">
        <v>112</v>
      </c>
      <c r="C1030" s="135" t="s">
        <v>1110</v>
      </c>
      <c r="D1030" s="141">
        <v>0</v>
      </c>
      <c r="E1030" s="141">
        <v>0</v>
      </c>
      <c r="F1030" s="141">
        <v>0</v>
      </c>
      <c r="G1030" s="285">
        <v>0</v>
      </c>
      <c r="H1030" s="147">
        <v>0</v>
      </c>
      <c r="I1030" s="495">
        <f t="shared" si="55"/>
        <v>0</v>
      </c>
    </row>
    <row r="1031" spans="1:9" x14ac:dyDescent="0.15">
      <c r="A1031" s="135"/>
      <c r="B1031" s="451" t="s">
        <v>887</v>
      </c>
      <c r="C1031" s="135" t="s">
        <v>1116</v>
      </c>
      <c r="D1031" s="141">
        <v>0</v>
      </c>
      <c r="E1031" s="141">
        <v>0</v>
      </c>
      <c r="F1031" s="141">
        <v>0</v>
      </c>
      <c r="G1031" s="285">
        <v>0</v>
      </c>
      <c r="H1031" s="147">
        <v>0</v>
      </c>
      <c r="I1031" s="495">
        <f t="shared" si="55"/>
        <v>0</v>
      </c>
    </row>
    <row r="1032" spans="1:9" x14ac:dyDescent="0.15">
      <c r="A1032" s="135"/>
      <c r="B1032" s="451" t="s">
        <v>1112</v>
      </c>
      <c r="C1032" s="135" t="s">
        <v>1117</v>
      </c>
      <c r="D1032" s="141">
        <v>0</v>
      </c>
      <c r="E1032" s="141">
        <v>0</v>
      </c>
      <c r="F1032" s="141">
        <v>0</v>
      </c>
      <c r="G1032" s="285">
        <v>0</v>
      </c>
      <c r="H1032" s="147">
        <v>0</v>
      </c>
      <c r="I1032" s="495">
        <f t="shared" si="55"/>
        <v>0</v>
      </c>
    </row>
    <row r="1033" spans="1:9" x14ac:dyDescent="0.15">
      <c r="A1033" s="135"/>
      <c r="B1033" s="451" t="s">
        <v>1113</v>
      </c>
      <c r="C1033" s="135" t="s">
        <v>1118</v>
      </c>
      <c r="D1033" s="141">
        <v>0</v>
      </c>
      <c r="E1033" s="141">
        <v>0</v>
      </c>
      <c r="F1033" s="141">
        <v>0</v>
      </c>
      <c r="G1033" s="285">
        <v>0</v>
      </c>
      <c r="H1033" s="147">
        <v>0</v>
      </c>
      <c r="I1033" s="495">
        <f t="shared" si="55"/>
        <v>0</v>
      </c>
    </row>
    <row r="1034" spans="1:9" ht="11.25" thickBot="1" x14ac:dyDescent="0.2">
      <c r="A1034" s="135"/>
      <c r="B1034" s="451" t="s">
        <v>1114</v>
      </c>
      <c r="C1034" s="135" t="s">
        <v>1119</v>
      </c>
      <c r="D1034" s="141">
        <v>0</v>
      </c>
      <c r="E1034" s="141">
        <v>0</v>
      </c>
      <c r="F1034" s="141">
        <v>0</v>
      </c>
      <c r="G1034" s="285">
        <v>0</v>
      </c>
      <c r="H1034" s="147">
        <v>0</v>
      </c>
      <c r="I1034" s="495">
        <f t="shared" si="55"/>
        <v>0</v>
      </c>
    </row>
    <row r="1035" spans="1:9" ht="12" thickTop="1" thickBot="1" x14ac:dyDescent="0.2">
      <c r="A1035" s="135"/>
      <c r="B1035" s="451"/>
      <c r="C1035" s="135" t="s">
        <v>1291</v>
      </c>
      <c r="D1035" s="166">
        <f>SUM(D1001:D1034)</f>
        <v>0</v>
      </c>
      <c r="E1035" s="166">
        <f>SUM(E1001:E1034)</f>
        <v>0</v>
      </c>
      <c r="F1035" s="166">
        <f>SUM(F1001:F1034)</f>
        <v>0</v>
      </c>
      <c r="G1035" s="166">
        <f>SUM(G1001:G1034)</f>
        <v>0</v>
      </c>
      <c r="H1035" s="166">
        <f>SUM(H1001:H1034)</f>
        <v>0</v>
      </c>
      <c r="I1035" s="166">
        <f t="shared" si="55"/>
        <v>0</v>
      </c>
    </row>
    <row r="1036" spans="1:9" ht="11.25" thickTop="1" x14ac:dyDescent="0.15">
      <c r="A1036" s="135"/>
      <c r="B1036" s="135"/>
      <c r="C1036" s="135"/>
      <c r="D1036" s="14"/>
      <c r="E1036" s="14"/>
      <c r="F1036" s="14"/>
      <c r="G1036" s="14"/>
      <c r="H1036" s="14"/>
      <c r="I1036" s="491"/>
    </row>
    <row r="1037" spans="1:9" x14ac:dyDescent="0.15">
      <c r="A1037" s="452" t="s">
        <v>546</v>
      </c>
      <c r="B1037" s="135"/>
      <c r="C1037" s="135"/>
      <c r="D1037" s="14"/>
      <c r="E1037" s="14"/>
      <c r="F1037" s="14"/>
      <c r="G1037" s="14"/>
      <c r="H1037" s="14"/>
      <c r="I1037" s="491"/>
    </row>
    <row r="1038" spans="1:9" s="416" customFormat="1" hidden="1" x14ac:dyDescent="0.15">
      <c r="B1038" s="453" t="s">
        <v>880</v>
      </c>
      <c r="C1038" s="454" t="s">
        <v>1164</v>
      </c>
      <c r="D1038" s="308">
        <v>0</v>
      </c>
      <c r="E1038" s="308">
        <v>0</v>
      </c>
      <c r="F1038" s="308">
        <v>0</v>
      </c>
      <c r="G1038" s="458"/>
      <c r="H1038" s="457">
        <v>0</v>
      </c>
      <c r="I1038" s="494">
        <f t="shared" ref="I1038:I1072" si="57">SUM(G1038+H1038)</f>
        <v>0</v>
      </c>
    </row>
    <row r="1039" spans="1:9" s="416" customFormat="1" x14ac:dyDescent="0.15">
      <c r="B1039" s="453" t="s">
        <v>880</v>
      </c>
      <c r="C1039" s="454" t="s">
        <v>337</v>
      </c>
      <c r="D1039" s="308">
        <v>0</v>
      </c>
      <c r="E1039" s="308">
        <v>0</v>
      </c>
      <c r="F1039" s="308">
        <v>0</v>
      </c>
      <c r="G1039" s="308">
        <v>0</v>
      </c>
      <c r="H1039" s="457">
        <v>0</v>
      </c>
      <c r="I1039" s="494">
        <f t="shared" si="57"/>
        <v>0</v>
      </c>
    </row>
    <row r="1040" spans="1:9" s="416" customFormat="1" hidden="1" x14ac:dyDescent="0.15">
      <c r="A1040" s="454"/>
      <c r="B1040" s="453" t="s">
        <v>881</v>
      </c>
      <c r="C1040" s="454" t="s">
        <v>382</v>
      </c>
      <c r="D1040" s="308">
        <v>0</v>
      </c>
      <c r="E1040" s="308">
        <v>0</v>
      </c>
      <c r="F1040" s="308">
        <v>0</v>
      </c>
      <c r="G1040" s="459"/>
      <c r="H1040" s="457">
        <v>0</v>
      </c>
      <c r="I1040" s="494">
        <f t="shared" si="57"/>
        <v>0</v>
      </c>
    </row>
    <row r="1041" spans="1:9" s="416" customFormat="1" x14ac:dyDescent="0.15">
      <c r="A1041" s="454"/>
      <c r="B1041" s="453" t="s">
        <v>881</v>
      </c>
      <c r="C1041" s="454" t="s">
        <v>338</v>
      </c>
      <c r="D1041" s="308">
        <v>0</v>
      </c>
      <c r="E1041" s="308">
        <v>0</v>
      </c>
      <c r="F1041" s="308">
        <v>0</v>
      </c>
      <c r="G1041" s="308">
        <v>0</v>
      </c>
      <c r="H1041" s="457">
        <v>0</v>
      </c>
      <c r="I1041" s="494">
        <f t="shared" si="57"/>
        <v>0</v>
      </c>
    </row>
    <row r="1042" spans="1:9" x14ac:dyDescent="0.15">
      <c r="A1042" s="135"/>
      <c r="B1042" s="451" t="s">
        <v>882</v>
      </c>
      <c r="C1042" s="135" t="s">
        <v>1058</v>
      </c>
      <c r="D1042" s="141">
        <v>0</v>
      </c>
      <c r="E1042" s="141">
        <v>0</v>
      </c>
      <c r="F1042" s="141">
        <v>0</v>
      </c>
      <c r="G1042" s="285">
        <v>0</v>
      </c>
      <c r="H1042" s="147">
        <v>0</v>
      </c>
      <c r="I1042" s="495">
        <f t="shared" si="57"/>
        <v>0</v>
      </c>
    </row>
    <row r="1043" spans="1:9" x14ac:dyDescent="0.15">
      <c r="A1043" s="135"/>
      <c r="B1043" s="451" t="s">
        <v>883</v>
      </c>
      <c r="C1043" s="135" t="s">
        <v>1059</v>
      </c>
      <c r="D1043" s="141">
        <v>0</v>
      </c>
      <c r="E1043" s="141">
        <v>0</v>
      </c>
      <c r="F1043" s="141">
        <v>0</v>
      </c>
      <c r="G1043" s="285">
        <v>0</v>
      </c>
      <c r="H1043" s="147">
        <v>0</v>
      </c>
      <c r="I1043" s="495">
        <f t="shared" si="57"/>
        <v>0</v>
      </c>
    </row>
    <row r="1044" spans="1:9" x14ac:dyDescent="0.15">
      <c r="A1044" s="135"/>
      <c r="B1044" s="451" t="s">
        <v>1060</v>
      </c>
      <c r="C1044" s="135" t="s">
        <v>1061</v>
      </c>
      <c r="D1044" s="141">
        <v>0</v>
      </c>
      <c r="E1044" s="141">
        <v>0</v>
      </c>
      <c r="F1044" s="141">
        <v>0</v>
      </c>
      <c r="G1044" s="285">
        <v>0</v>
      </c>
      <c r="H1044" s="147">
        <v>0</v>
      </c>
      <c r="I1044" s="495">
        <f t="shared" si="57"/>
        <v>0</v>
      </c>
    </row>
    <row r="1045" spans="1:9" x14ac:dyDescent="0.15">
      <c r="A1045" s="135"/>
      <c r="B1045" s="451" t="s">
        <v>1062</v>
      </c>
      <c r="C1045" s="135" t="s">
        <v>1063</v>
      </c>
      <c r="D1045" s="141">
        <v>0</v>
      </c>
      <c r="E1045" s="141">
        <v>0</v>
      </c>
      <c r="F1045" s="141">
        <v>0</v>
      </c>
      <c r="G1045" s="285">
        <v>0</v>
      </c>
      <c r="H1045" s="147">
        <v>0</v>
      </c>
      <c r="I1045" s="495">
        <f t="shared" si="57"/>
        <v>0</v>
      </c>
    </row>
    <row r="1046" spans="1:9" x14ac:dyDescent="0.15">
      <c r="A1046" s="135"/>
      <c r="B1046" s="451" t="s">
        <v>884</v>
      </c>
      <c r="C1046" s="135" t="s">
        <v>1064</v>
      </c>
      <c r="D1046" s="141">
        <v>0</v>
      </c>
      <c r="E1046" s="141">
        <v>0</v>
      </c>
      <c r="F1046" s="141">
        <v>0</v>
      </c>
      <c r="G1046" s="285">
        <v>0</v>
      </c>
      <c r="H1046" s="147">
        <v>0</v>
      </c>
      <c r="I1046" s="495">
        <f t="shared" si="57"/>
        <v>0</v>
      </c>
    </row>
    <row r="1047" spans="1:9" x14ac:dyDescent="0.15">
      <c r="A1047" s="135"/>
      <c r="B1047" s="451" t="s">
        <v>1067</v>
      </c>
      <c r="C1047" s="135" t="s">
        <v>1074</v>
      </c>
      <c r="D1047" s="141">
        <v>0</v>
      </c>
      <c r="E1047" s="141">
        <v>0</v>
      </c>
      <c r="F1047" s="141">
        <v>0</v>
      </c>
      <c r="G1047" s="285">
        <v>0</v>
      </c>
      <c r="H1047" s="147">
        <v>0</v>
      </c>
      <c r="I1047" s="495">
        <f t="shared" si="57"/>
        <v>0</v>
      </c>
    </row>
    <row r="1048" spans="1:9" x14ac:dyDescent="0.15">
      <c r="A1048" s="135"/>
      <c r="B1048" s="451" t="s">
        <v>1068</v>
      </c>
      <c r="C1048" s="135" t="s">
        <v>1075</v>
      </c>
      <c r="D1048" s="141">
        <v>0</v>
      </c>
      <c r="E1048" s="141">
        <v>0</v>
      </c>
      <c r="F1048" s="141">
        <v>0</v>
      </c>
      <c r="G1048" s="285">
        <v>0</v>
      </c>
      <c r="H1048" s="147">
        <v>0</v>
      </c>
      <c r="I1048" s="495">
        <f t="shared" si="57"/>
        <v>0</v>
      </c>
    </row>
    <row r="1049" spans="1:9" x14ac:dyDescent="0.15">
      <c r="A1049" s="135"/>
      <c r="B1049" s="451" t="s">
        <v>1072</v>
      </c>
      <c r="C1049" s="135" t="s">
        <v>920</v>
      </c>
      <c r="D1049" s="141">
        <v>0</v>
      </c>
      <c r="E1049" s="141">
        <v>0</v>
      </c>
      <c r="F1049" s="141">
        <v>0</v>
      </c>
      <c r="G1049" s="285">
        <v>0</v>
      </c>
      <c r="H1049" s="147">
        <v>0</v>
      </c>
      <c r="I1049" s="495">
        <f t="shared" si="57"/>
        <v>0</v>
      </c>
    </row>
    <row r="1050" spans="1:9" x14ac:dyDescent="0.15">
      <c r="A1050" s="135"/>
      <c r="B1050" s="716" t="s">
        <v>155</v>
      </c>
      <c r="C1050" s="703" t="s">
        <v>178</v>
      </c>
      <c r="D1050" s="141">
        <v>0</v>
      </c>
      <c r="E1050" s="141">
        <v>0</v>
      </c>
      <c r="F1050" s="141">
        <v>0</v>
      </c>
      <c r="G1050" s="285">
        <v>0</v>
      </c>
      <c r="H1050" s="147">
        <v>0</v>
      </c>
      <c r="I1050" s="495">
        <f t="shared" ref="I1050" si="58">SUM(G1050+H1050)</f>
        <v>0</v>
      </c>
    </row>
    <row r="1051" spans="1:9" x14ac:dyDescent="0.15">
      <c r="A1051" s="135"/>
      <c r="B1051" s="451" t="s">
        <v>921</v>
      </c>
      <c r="C1051" s="135" t="s">
        <v>955</v>
      </c>
      <c r="D1051" s="141">
        <v>0</v>
      </c>
      <c r="E1051" s="141">
        <v>0</v>
      </c>
      <c r="F1051" s="141">
        <v>0</v>
      </c>
      <c r="G1051" s="285">
        <v>0</v>
      </c>
      <c r="H1051" s="147">
        <v>0</v>
      </c>
      <c r="I1051" s="495">
        <f t="shared" si="57"/>
        <v>0</v>
      </c>
    </row>
    <row r="1052" spans="1:9" x14ac:dyDescent="0.15">
      <c r="A1052" s="135"/>
      <c r="B1052" s="451" t="s">
        <v>922</v>
      </c>
      <c r="C1052" s="135" t="s">
        <v>956</v>
      </c>
      <c r="D1052" s="141">
        <v>0</v>
      </c>
      <c r="E1052" s="141">
        <v>0</v>
      </c>
      <c r="F1052" s="141">
        <v>0</v>
      </c>
      <c r="G1052" s="285">
        <v>0</v>
      </c>
      <c r="H1052" s="147">
        <v>0</v>
      </c>
      <c r="I1052" s="495">
        <f t="shared" si="57"/>
        <v>0</v>
      </c>
    </row>
    <row r="1053" spans="1:9" x14ac:dyDescent="0.15">
      <c r="A1053" s="135"/>
      <c r="B1053" s="451" t="s">
        <v>923</v>
      </c>
      <c r="C1053" s="135" t="s">
        <v>957</v>
      </c>
      <c r="D1053" s="141">
        <v>0</v>
      </c>
      <c r="E1053" s="141">
        <v>0</v>
      </c>
      <c r="F1053" s="141">
        <v>0</v>
      </c>
      <c r="G1053" s="285">
        <v>0</v>
      </c>
      <c r="H1053" s="147">
        <v>0</v>
      </c>
      <c r="I1053" s="495">
        <f t="shared" si="57"/>
        <v>0</v>
      </c>
    </row>
    <row r="1054" spans="1:9" x14ac:dyDescent="0.15">
      <c r="A1054" s="135"/>
      <c r="B1054" s="451" t="s">
        <v>924</v>
      </c>
      <c r="C1054" s="135" t="s">
        <v>958</v>
      </c>
      <c r="D1054" s="141">
        <v>0</v>
      </c>
      <c r="E1054" s="141">
        <v>0</v>
      </c>
      <c r="F1054" s="141">
        <v>0</v>
      </c>
      <c r="G1054" s="285">
        <v>0</v>
      </c>
      <c r="H1054" s="147">
        <v>0</v>
      </c>
      <c r="I1054" s="495">
        <f t="shared" si="57"/>
        <v>0</v>
      </c>
    </row>
    <row r="1055" spans="1:9" x14ac:dyDescent="0.15">
      <c r="A1055" s="135"/>
      <c r="B1055" s="451" t="s">
        <v>925</v>
      </c>
      <c r="C1055" s="135" t="s">
        <v>1128</v>
      </c>
      <c r="D1055" s="141">
        <v>0</v>
      </c>
      <c r="E1055" s="141">
        <v>0</v>
      </c>
      <c r="F1055" s="141">
        <v>0</v>
      </c>
      <c r="G1055" s="285">
        <v>0</v>
      </c>
      <c r="H1055" s="147">
        <v>0</v>
      </c>
      <c r="I1055" s="495">
        <f t="shared" si="57"/>
        <v>0</v>
      </c>
    </row>
    <row r="1056" spans="1:9" x14ac:dyDescent="0.15">
      <c r="A1056" s="135"/>
      <c r="B1056" s="451" t="s">
        <v>926</v>
      </c>
      <c r="C1056" s="135" t="s">
        <v>1129</v>
      </c>
      <c r="D1056" s="141">
        <v>0</v>
      </c>
      <c r="E1056" s="141">
        <v>0</v>
      </c>
      <c r="F1056" s="141">
        <v>0</v>
      </c>
      <c r="G1056" s="285">
        <v>0</v>
      </c>
      <c r="H1056" s="147">
        <v>0</v>
      </c>
      <c r="I1056" s="495">
        <f t="shared" si="57"/>
        <v>0</v>
      </c>
    </row>
    <row r="1057" spans="1:9" x14ac:dyDescent="0.15">
      <c r="A1057" s="135"/>
      <c r="B1057" s="451" t="s">
        <v>927</v>
      </c>
      <c r="C1057" s="135" t="s">
        <v>959</v>
      </c>
      <c r="D1057" s="141">
        <v>0</v>
      </c>
      <c r="E1057" s="141">
        <v>0</v>
      </c>
      <c r="F1057" s="141">
        <v>0</v>
      </c>
      <c r="G1057" s="285">
        <v>0</v>
      </c>
      <c r="H1057" s="147">
        <v>0</v>
      </c>
      <c r="I1057" s="495">
        <f t="shared" si="57"/>
        <v>0</v>
      </c>
    </row>
    <row r="1058" spans="1:9" x14ac:dyDescent="0.15">
      <c r="A1058" s="135"/>
      <c r="B1058" s="451" t="s">
        <v>928</v>
      </c>
      <c r="C1058" s="135" t="s">
        <v>961</v>
      </c>
      <c r="D1058" s="141">
        <v>0</v>
      </c>
      <c r="E1058" s="141">
        <v>0</v>
      </c>
      <c r="F1058" s="141">
        <v>0</v>
      </c>
      <c r="G1058" s="285">
        <v>0</v>
      </c>
      <c r="H1058" s="147">
        <v>0</v>
      </c>
      <c r="I1058" s="495">
        <f t="shared" si="57"/>
        <v>0</v>
      </c>
    </row>
    <row r="1059" spans="1:9" x14ac:dyDescent="0.15">
      <c r="A1059" s="135"/>
      <c r="B1059" s="451" t="s">
        <v>962</v>
      </c>
      <c r="C1059" s="135" t="s">
        <v>967</v>
      </c>
      <c r="D1059" s="141">
        <v>0</v>
      </c>
      <c r="E1059" s="141">
        <v>0</v>
      </c>
      <c r="F1059" s="141">
        <v>0</v>
      </c>
      <c r="G1059" s="285">
        <v>0</v>
      </c>
      <c r="H1059" s="147">
        <v>0</v>
      </c>
      <c r="I1059" s="495">
        <f t="shared" si="57"/>
        <v>0</v>
      </c>
    </row>
    <row r="1060" spans="1:9" x14ac:dyDescent="0.15">
      <c r="A1060" s="135"/>
      <c r="B1060" s="451" t="s">
        <v>963</v>
      </c>
      <c r="C1060" s="135" t="s">
        <v>1093</v>
      </c>
      <c r="D1060" s="141">
        <v>0</v>
      </c>
      <c r="E1060" s="141">
        <v>0</v>
      </c>
      <c r="F1060" s="141">
        <v>0</v>
      </c>
      <c r="G1060" s="285">
        <v>0</v>
      </c>
      <c r="H1060" s="147">
        <v>0</v>
      </c>
      <c r="I1060" s="495">
        <f t="shared" si="57"/>
        <v>0</v>
      </c>
    </row>
    <row r="1061" spans="1:9" x14ac:dyDescent="0.15">
      <c r="A1061" s="135"/>
      <c r="B1061" s="451" t="s">
        <v>964</v>
      </c>
      <c r="C1061" s="135" t="s">
        <v>1094</v>
      </c>
      <c r="D1061" s="141">
        <v>0</v>
      </c>
      <c r="E1061" s="141">
        <v>0</v>
      </c>
      <c r="F1061" s="141">
        <v>0</v>
      </c>
      <c r="G1061" s="285">
        <v>0</v>
      </c>
      <c r="H1061" s="147">
        <v>0</v>
      </c>
      <c r="I1061" s="495">
        <f t="shared" si="57"/>
        <v>0</v>
      </c>
    </row>
    <row r="1062" spans="1:9" x14ac:dyDescent="0.15">
      <c r="A1062" s="135"/>
      <c r="B1062" s="451" t="s">
        <v>965</v>
      </c>
      <c r="C1062" s="135" t="s">
        <v>1095</v>
      </c>
      <c r="D1062" s="141">
        <v>0</v>
      </c>
      <c r="E1062" s="141">
        <v>0</v>
      </c>
      <c r="F1062" s="141">
        <v>0</v>
      </c>
      <c r="G1062" s="285">
        <v>0</v>
      </c>
      <c r="H1062" s="147">
        <v>0</v>
      </c>
      <c r="I1062" s="495">
        <f t="shared" si="57"/>
        <v>0</v>
      </c>
    </row>
    <row r="1063" spans="1:9" x14ac:dyDescent="0.15">
      <c r="A1063" s="135"/>
      <c r="B1063" s="451" t="s">
        <v>885</v>
      </c>
      <c r="C1063" s="135" t="s">
        <v>1096</v>
      </c>
      <c r="D1063" s="141">
        <v>0</v>
      </c>
      <c r="E1063" s="141">
        <v>0</v>
      </c>
      <c r="F1063" s="141">
        <v>0</v>
      </c>
      <c r="G1063" s="285">
        <v>0</v>
      </c>
      <c r="H1063" s="147">
        <v>0</v>
      </c>
      <c r="I1063" s="495">
        <f t="shared" si="57"/>
        <v>0</v>
      </c>
    </row>
    <row r="1064" spans="1:9" x14ac:dyDescent="0.15">
      <c r="A1064" s="135"/>
      <c r="B1064" s="451" t="s">
        <v>966</v>
      </c>
      <c r="C1064" s="135" t="s">
        <v>1097</v>
      </c>
      <c r="D1064" s="141">
        <v>0</v>
      </c>
      <c r="E1064" s="141">
        <v>0</v>
      </c>
      <c r="F1064" s="141">
        <v>0</v>
      </c>
      <c r="G1064" s="285">
        <v>0</v>
      </c>
      <c r="H1064" s="147">
        <v>0</v>
      </c>
      <c r="I1064" s="495">
        <f t="shared" si="57"/>
        <v>0</v>
      </c>
    </row>
    <row r="1065" spans="1:9" x14ac:dyDescent="0.15">
      <c r="A1065" s="135"/>
      <c r="B1065" s="451" t="s">
        <v>886</v>
      </c>
      <c r="C1065" s="135" t="s">
        <v>1100</v>
      </c>
      <c r="D1065" s="141">
        <v>0</v>
      </c>
      <c r="E1065" s="141">
        <v>0</v>
      </c>
      <c r="F1065" s="141">
        <v>0</v>
      </c>
      <c r="G1065" s="285">
        <v>0</v>
      </c>
      <c r="H1065" s="147">
        <v>0</v>
      </c>
      <c r="I1065" s="495">
        <f t="shared" si="57"/>
        <v>0</v>
      </c>
    </row>
    <row r="1066" spans="1:9" x14ac:dyDescent="0.15">
      <c r="A1066" s="135"/>
      <c r="B1066" s="451" t="s">
        <v>116</v>
      </c>
      <c r="C1066" s="135" t="s">
        <v>1105</v>
      </c>
      <c r="D1066" s="141">
        <v>0</v>
      </c>
      <c r="E1066" s="141">
        <v>0</v>
      </c>
      <c r="F1066" s="141">
        <v>0</v>
      </c>
      <c r="G1066" s="285">
        <v>0</v>
      </c>
      <c r="H1066" s="147">
        <v>0</v>
      </c>
      <c r="I1066" s="495">
        <f t="shared" si="57"/>
        <v>0</v>
      </c>
    </row>
    <row r="1067" spans="1:9" x14ac:dyDescent="0.15">
      <c r="A1067" s="135"/>
      <c r="B1067" s="451" t="s">
        <v>112</v>
      </c>
      <c r="C1067" s="135" t="s">
        <v>1110</v>
      </c>
      <c r="D1067" s="141">
        <v>0</v>
      </c>
      <c r="E1067" s="141">
        <v>0</v>
      </c>
      <c r="F1067" s="141">
        <v>0</v>
      </c>
      <c r="G1067" s="285">
        <v>0</v>
      </c>
      <c r="H1067" s="147">
        <v>0</v>
      </c>
      <c r="I1067" s="495">
        <f t="shared" si="57"/>
        <v>0</v>
      </c>
    </row>
    <row r="1068" spans="1:9" x14ac:dyDescent="0.15">
      <c r="A1068" s="135"/>
      <c r="B1068" s="451" t="s">
        <v>887</v>
      </c>
      <c r="C1068" s="135" t="s">
        <v>1116</v>
      </c>
      <c r="D1068" s="141">
        <v>0</v>
      </c>
      <c r="E1068" s="141">
        <v>0</v>
      </c>
      <c r="F1068" s="141">
        <v>0</v>
      </c>
      <c r="G1068" s="285">
        <v>0</v>
      </c>
      <c r="H1068" s="147">
        <v>0</v>
      </c>
      <c r="I1068" s="495">
        <f t="shared" si="57"/>
        <v>0</v>
      </c>
    </row>
    <row r="1069" spans="1:9" x14ac:dyDescent="0.15">
      <c r="A1069" s="135"/>
      <c r="B1069" s="451" t="s">
        <v>1112</v>
      </c>
      <c r="C1069" s="135" t="s">
        <v>1117</v>
      </c>
      <c r="D1069" s="141">
        <v>0</v>
      </c>
      <c r="E1069" s="141">
        <v>0</v>
      </c>
      <c r="F1069" s="141">
        <v>0</v>
      </c>
      <c r="G1069" s="285">
        <v>0</v>
      </c>
      <c r="H1069" s="147">
        <v>0</v>
      </c>
      <c r="I1069" s="495">
        <f t="shared" si="57"/>
        <v>0</v>
      </c>
    </row>
    <row r="1070" spans="1:9" x14ac:dyDescent="0.15">
      <c r="A1070" s="135"/>
      <c r="B1070" s="451" t="s">
        <v>1113</v>
      </c>
      <c r="C1070" s="135" t="s">
        <v>1118</v>
      </c>
      <c r="D1070" s="141">
        <v>0</v>
      </c>
      <c r="E1070" s="141">
        <v>0</v>
      </c>
      <c r="F1070" s="141">
        <v>0</v>
      </c>
      <c r="G1070" s="285">
        <v>0</v>
      </c>
      <c r="H1070" s="147">
        <v>0</v>
      </c>
      <c r="I1070" s="495">
        <f t="shared" si="57"/>
        <v>0</v>
      </c>
    </row>
    <row r="1071" spans="1:9" ht="11.25" thickBot="1" x14ac:dyDescent="0.2">
      <c r="A1071" s="135"/>
      <c r="B1071" s="451" t="s">
        <v>1114</v>
      </c>
      <c r="C1071" s="135" t="s">
        <v>1119</v>
      </c>
      <c r="D1071" s="141">
        <v>0</v>
      </c>
      <c r="E1071" s="141">
        <v>0</v>
      </c>
      <c r="F1071" s="141">
        <v>0</v>
      </c>
      <c r="G1071" s="285">
        <v>0</v>
      </c>
      <c r="H1071" s="147">
        <v>0</v>
      </c>
      <c r="I1071" s="495">
        <f t="shared" si="57"/>
        <v>0</v>
      </c>
    </row>
    <row r="1072" spans="1:9" ht="12" thickTop="1" thickBot="1" x14ac:dyDescent="0.2">
      <c r="A1072" s="135"/>
      <c r="B1072" s="451"/>
      <c r="C1072" s="135" t="s">
        <v>1291</v>
      </c>
      <c r="D1072" s="166">
        <f>SUM(D1038:D1071)</f>
        <v>0</v>
      </c>
      <c r="E1072" s="166">
        <f>SUM(E1038:E1071)</f>
        <v>0</v>
      </c>
      <c r="F1072" s="166">
        <f>SUM(F1038:F1071)</f>
        <v>0</v>
      </c>
      <c r="G1072" s="166">
        <f>SUM(G1038:G1071)</f>
        <v>0</v>
      </c>
      <c r="H1072" s="166">
        <f>SUM(H1038:H1071)</f>
        <v>0</v>
      </c>
      <c r="I1072" s="166">
        <f t="shared" si="57"/>
        <v>0</v>
      </c>
    </row>
    <row r="1073" spans="1:9" ht="12" thickTop="1" thickBot="1" x14ac:dyDescent="0.2">
      <c r="A1073" s="135"/>
      <c r="B1073" s="135"/>
      <c r="C1073" s="135"/>
      <c r="D1073" s="14"/>
      <c r="E1073" s="14"/>
      <c r="F1073" s="14"/>
      <c r="G1073" s="14"/>
      <c r="H1073" s="14"/>
      <c r="I1073" s="491"/>
    </row>
    <row r="1074" spans="1:9" ht="12" thickTop="1" thickBot="1" x14ac:dyDescent="0.2">
      <c r="B1074" s="135" t="s">
        <v>805</v>
      </c>
      <c r="D1074" s="166">
        <f>D44+D80+D116+D152+D188+D223+D259+D295+D331+D367+D405+D442+D479+D516+D553+D590+D627+D665+D702+D739+D776+D813+D850+D887+D924+D961+D998+D1035+D1072</f>
        <v>0</v>
      </c>
      <c r="E1074" s="166">
        <f>E44+E80+E116+E152+E188+E223+E259+E295+E331+E367+E405+E442+E479+E516+E553+E590+E627+E665+E702+E739+E776+E813+E850+E887+E924+E961+E998+E1035+E1072</f>
        <v>0</v>
      </c>
      <c r="F1074" s="166">
        <f>F44+F80+F116+F152+F188+F223+F259+F295+F331+F367+F405+F442+F479+F516+F553+F590+F627+F665+F702+F739+F776+F813+F850+F887+F924+F961+F998+F1035+F1072</f>
        <v>0</v>
      </c>
      <c r="G1074" s="166">
        <f>G44+G80+G116+G152+G188+G223+G259+G295+G331+G367+G405+G442+G479+G516+G553+G590+G627+G665+G702+G739+G776+G813+G850+G887+G924+G961+G998+G1035+G1072</f>
        <v>0</v>
      </c>
      <c r="H1074" s="166">
        <f>H44+H80+H116+H152+H188+H223+H259+H295+H331+H367+H405+H442+H479+H516+H553+H590+H627+H665+H702+H739+H776+H813+H850+H887+H924+H961+H998+H1035+H1072</f>
        <v>0</v>
      </c>
      <c r="I1074" s="166">
        <f>SUM(G1074+H1074)</f>
        <v>0</v>
      </c>
    </row>
    <row r="1075" spans="1:9" ht="11.25" thickTop="1" x14ac:dyDescent="0.15">
      <c r="C1075" s="135"/>
      <c r="I1075" s="164"/>
    </row>
    <row r="1076" spans="1:9" x14ac:dyDescent="0.15">
      <c r="D1076" s="430"/>
      <c r="E1076" s="430"/>
      <c r="F1076" s="430"/>
      <c r="G1076" s="430"/>
      <c r="I1076" s="164"/>
    </row>
    <row r="1077" spans="1:9" x14ac:dyDescent="0.15">
      <c r="A1077" s="721" t="s">
        <v>1550</v>
      </c>
      <c r="B1077" s="164"/>
      <c r="C1077" s="164"/>
      <c r="D1077" s="430"/>
      <c r="E1077" s="430"/>
      <c r="F1077" s="430"/>
      <c r="G1077" s="430"/>
    </row>
    <row r="1078" spans="1:9" x14ac:dyDescent="0.15">
      <c r="A1078" s="164"/>
      <c r="B1078" s="164"/>
      <c r="C1078" s="164"/>
      <c r="D1078" s="430"/>
      <c r="E1078" s="430"/>
      <c r="F1078" s="430"/>
      <c r="G1078" s="430"/>
    </row>
    <row r="1079" spans="1:9" ht="18.75" x14ac:dyDescent="0.3">
      <c r="A1079" s="149" t="s">
        <v>880</v>
      </c>
      <c r="B1079" s="537">
        <f>SUM(I11+I12+I47+I48+I83+I84+I119+I120+I155+I156+I191+I192+I226+I227+I262+I263+I298+I299+I334+I335+I371+I372+I408+I409+I445+I446+I482+I483+I519+I520+I556+I557+I593+I594+I630+I631+I668+I669+I705+I706+I742+I743+I779+I780+I816+I817+I853+I854+I890+I891+I927+I928+I964+I965+I1001+I1002+I1038+I1039)</f>
        <v>0</v>
      </c>
      <c r="C1079" s="164"/>
      <c r="D1079" s="430"/>
      <c r="E1079" s="430"/>
      <c r="F1079" s="430"/>
      <c r="G1079" s="430"/>
    </row>
    <row r="1080" spans="1:9" ht="18.75" x14ac:dyDescent="0.3">
      <c r="A1080" s="149" t="s">
        <v>881</v>
      </c>
      <c r="B1080" s="537">
        <f>SUM(I14+I13+I50+I49+I86+I85+I122+I121+I158+I157+I194+I193+I229+I228+I265+I264+I301+I300+I337+I336+I374+I373+I411+I410+I448+I447+I485+I484+I522+I521+I559+I558+I596+I595+I633+I632+I671+I670+I708+I707+I745+I744+I782+I781+I819+I818+I856+I855+I893+I892+I930+I929+I967+I966+I1004+I1003+I1041+I1040)</f>
        <v>0</v>
      </c>
      <c r="C1080" s="538"/>
      <c r="D1080" s="455"/>
      <c r="E1080" s="455"/>
      <c r="F1080" s="455"/>
      <c r="G1080" s="430"/>
    </row>
    <row r="1081" spans="1:9" ht="18.75" x14ac:dyDescent="0.3">
      <c r="A1081" s="149" t="s">
        <v>882</v>
      </c>
      <c r="B1081" s="537">
        <f>SUM(CharterFundExp!I15+CharterFundExp!I51+CharterFundExp!I87+CharterFundExp!I123+CharterFundExp!I159+CharterFundExp!I195+CharterFundExp!I230+CharterFundExp!I266+CharterFundExp!I302+CharterFundExp!I338+CharterFundExp!I375+CharterFundExp!I412+CharterFundExp!I449+CharterFundExp!I486+CharterFundExp!I523+CharterFundExp!I560+CharterFundExp!I597+CharterFundExp!I634+CharterFundExp!I672+CharterFundExp!I709+CharterFundExp!I746+CharterFundExp!I783+CharterFundExp!I820+CharterFundExp!I857+CharterFundExp!I894+CharterFundExp!I931+CharterFundExp!I968+CharterFundExp!I1005+CharterFundExp!I1042)</f>
        <v>0</v>
      </c>
      <c r="C1081" s="164"/>
    </row>
    <row r="1082" spans="1:9" ht="18.75" x14ac:dyDescent="0.3">
      <c r="A1082" s="149" t="s">
        <v>883</v>
      </c>
      <c r="B1082" s="537">
        <f>SUM(CharterFundExp!I16+CharterFundExp!I52+CharterFundExp!I88+CharterFundExp!I124+CharterFundExp!I160+CharterFundExp!I196+CharterFundExp!I231+CharterFundExp!I267+CharterFundExp!I303+CharterFundExp!I339+CharterFundExp!I376+CharterFundExp!I413+CharterFundExp!I450+CharterFundExp!I487+CharterFundExp!I524+CharterFundExp!I561+CharterFundExp!I598+CharterFundExp!I635+CharterFundExp!I673+CharterFundExp!I710+CharterFundExp!I747+CharterFundExp!I784+CharterFundExp!I821+CharterFundExp!I858+CharterFundExp!I895+CharterFundExp!I932+CharterFundExp!I969+CharterFundExp!I1006+CharterFundExp!I1043)</f>
        <v>0</v>
      </c>
      <c r="C1082" s="164"/>
    </row>
    <row r="1083" spans="1:9" ht="18.75" x14ac:dyDescent="0.3">
      <c r="A1083" s="149" t="s">
        <v>1060</v>
      </c>
      <c r="B1083" s="537">
        <f>SUM(CharterFundExp!I17+CharterFundExp!I53+CharterFundExp!I89+CharterFundExp!I125+CharterFundExp!I161+CharterFundExp!I197+CharterFundExp!I232+CharterFundExp!I268+CharterFundExp!I304+CharterFundExp!I340+CharterFundExp!I377+CharterFundExp!I414+CharterFundExp!I451+CharterFundExp!I488+CharterFundExp!I525+CharterFundExp!I562+CharterFundExp!I599+CharterFundExp!I636+CharterFundExp!I674+CharterFundExp!I711+CharterFundExp!I748+CharterFundExp!I785+CharterFundExp!I822+CharterFundExp!I859+CharterFundExp!I896+CharterFundExp!I933+CharterFundExp!I970+CharterFundExp!I1007+CharterFundExp!I1044)</f>
        <v>0</v>
      </c>
      <c r="C1083" s="164"/>
    </row>
    <row r="1084" spans="1:9" ht="18.75" x14ac:dyDescent="0.3">
      <c r="A1084" s="149" t="s">
        <v>1062</v>
      </c>
      <c r="B1084" s="537">
        <f>SUM(CharterFundExp!I18+CharterFundExp!I54+CharterFundExp!I90+CharterFundExp!I126+CharterFundExp!I162+CharterFundExp!I198+CharterFundExp!I233+CharterFundExp!I269+CharterFundExp!I305+CharterFundExp!I341+CharterFundExp!I378+CharterFundExp!I415+CharterFundExp!I452+CharterFundExp!I489+CharterFundExp!I526+CharterFundExp!I563+CharterFundExp!I600+CharterFundExp!I637+CharterFundExp!I675+CharterFundExp!I712+CharterFundExp!I749+CharterFundExp!I786+CharterFundExp!I823+CharterFundExp!I860+CharterFundExp!I897+CharterFundExp!I934+CharterFundExp!I971+CharterFundExp!I1008+CharterFundExp!I1045)</f>
        <v>0</v>
      </c>
      <c r="C1084" s="164"/>
    </row>
    <row r="1085" spans="1:9" ht="18.75" x14ac:dyDescent="0.3">
      <c r="A1085" s="149" t="s">
        <v>884</v>
      </c>
      <c r="B1085" s="537">
        <f>SUM(CharterFundExp!I19+CharterFundExp!I55+CharterFundExp!I91+CharterFundExp!I127+CharterFundExp!I163+CharterFundExp!I199+CharterFundExp!I234+CharterFundExp!I270+CharterFundExp!I306+CharterFundExp!I342+CharterFundExp!I379+CharterFundExp!I416+CharterFundExp!I453+CharterFundExp!I490+CharterFundExp!I527+CharterFundExp!I564+CharterFundExp!I601+CharterFundExp!I638+CharterFundExp!I676+CharterFundExp!I713+CharterFundExp!I750+CharterFundExp!I787+CharterFundExp!I824+CharterFundExp!I861+CharterFundExp!I898+CharterFundExp!I935+CharterFundExp!I972+CharterFundExp!I1009+CharterFundExp!I1046)</f>
        <v>0</v>
      </c>
      <c r="C1085" s="164"/>
    </row>
    <row r="1086" spans="1:9" ht="18.75" x14ac:dyDescent="0.3">
      <c r="A1086" s="149" t="s">
        <v>1067</v>
      </c>
      <c r="B1086" s="537">
        <f>SUM(CharterFundExp!I20+CharterFundExp!I56+CharterFundExp!I92+CharterFundExp!I128+CharterFundExp!I164+CharterFundExp!I200+CharterFundExp!I235+CharterFundExp!I271+CharterFundExp!I307+CharterFundExp!I343+CharterFundExp!I380+CharterFundExp!I417+CharterFundExp!I454+CharterFundExp!I491+CharterFundExp!I528+CharterFundExp!I565+CharterFundExp!I602+CharterFundExp!I639+CharterFundExp!I677+CharterFundExp!I714+CharterFundExp!I751+CharterFundExp!I788+CharterFundExp!I825+CharterFundExp!I862+CharterFundExp!I899+CharterFundExp!I936+CharterFundExp!I973+CharterFundExp!I1010+CharterFundExp!I1047)</f>
        <v>0</v>
      </c>
      <c r="C1086" s="164"/>
    </row>
    <row r="1087" spans="1:9" ht="18.75" x14ac:dyDescent="0.3">
      <c r="A1087" s="149" t="s">
        <v>1068</v>
      </c>
      <c r="B1087" s="537">
        <f>SUM(CharterFundExp!I21+CharterFundExp!I57+CharterFundExp!I93+CharterFundExp!I129+CharterFundExp!I165+CharterFundExp!I201+CharterFundExp!I236+CharterFundExp!I272+CharterFundExp!I308+CharterFundExp!I344+CharterFundExp!I381+CharterFundExp!I418+CharterFundExp!I455+CharterFundExp!I492+CharterFundExp!I529+CharterFundExp!I566+CharterFundExp!I603+CharterFundExp!I640+CharterFundExp!I678+CharterFundExp!I715+CharterFundExp!I752+CharterFundExp!I789+CharterFundExp!I826+CharterFundExp!I863+CharterFundExp!I900+CharterFundExp!I937+CharterFundExp!I974+CharterFundExp!I1011+CharterFundExp!I1048)</f>
        <v>0</v>
      </c>
      <c r="C1087" s="164"/>
    </row>
    <row r="1088" spans="1:9" ht="18.75" x14ac:dyDescent="0.3">
      <c r="A1088" s="149" t="s">
        <v>1072</v>
      </c>
      <c r="B1088" s="537">
        <f>SUM(CharterFundExp!I23+CharterFundExp!I59+CharterFundExp!I95+CharterFundExp!I131+CharterFundExp!I167+CharterFundExp!I203+CharterFundExp!I238+CharterFundExp!I274+CharterFundExp!I310+CharterFundExp!I346+CharterFundExp!I382+CharterFundExp!I419+CharterFundExp!I456+CharterFundExp!I493+CharterFundExp!I530+CharterFundExp!I567+CharterFundExp!I604+CharterFundExp!I641+CharterFundExp!I679+CharterFundExp!I716+CharterFundExp!I753+CharterFundExp!I790+CharterFundExp!I827+CharterFundExp!I864+CharterFundExp!I901+CharterFundExp!I938+CharterFundExp!I975+CharterFundExp!I1012+CharterFundExp!I1049)</f>
        <v>0</v>
      </c>
      <c r="C1088" s="164"/>
    </row>
    <row r="1089" spans="1:3" ht="18.75" x14ac:dyDescent="0.3">
      <c r="A1089" s="718" t="s">
        <v>155</v>
      </c>
      <c r="B1089" s="537">
        <f>SUM(CharterFundExp!I24+CharterFundExp!I60+CharterFundExp!I96+CharterFundExp!I132+CharterFundExp!I168+CharterFundExp!I204+CharterFundExp!I239+CharterFundExp!I275+CharterFundExp!I311+CharterFundExp!I347+CharterFundExp!I383+CharterFundExp!I420+CharterFundExp!I457+CharterFundExp!I494+CharterFundExp!I531+CharterFundExp!I568+CharterFundExp!I605+CharterFundExp!I642+CharterFundExp!I680+CharterFundExp!I717+CharterFundExp!I754+CharterFundExp!I791+CharterFundExp!I828+CharterFundExp!I865+CharterFundExp!I902+CharterFundExp!I939+CharterFundExp!I976+CharterFundExp!I1013+CharterFundExp!I1050)</f>
        <v>0</v>
      </c>
      <c r="C1089" s="164"/>
    </row>
    <row r="1090" spans="1:3" ht="18.75" x14ac:dyDescent="0.3">
      <c r="A1090" s="149" t="s">
        <v>921</v>
      </c>
      <c r="B1090" s="537">
        <f>SUM(CharterFundExp!I24+CharterFundExp!I60+CharterFundExp!I96+CharterFundExp!I132+CharterFundExp!I168+CharterFundExp!I204+CharterFundExp!I239+CharterFundExp!I275+CharterFundExp!I311+CharterFundExp!I347+CharterFundExp!I384+CharterFundExp!I421+CharterFundExp!I458+CharterFundExp!I495+CharterFundExp!I532+CharterFundExp!I569+CharterFundExp!I606+CharterFundExp!I643+CharterFundExp!I681+CharterFundExp!I718+CharterFundExp!I755+CharterFundExp!I792+CharterFundExp!I829+CharterFundExp!I866+CharterFundExp!I903+CharterFundExp!I940+CharterFundExp!I977+CharterFundExp!I1014+CharterFundExp!I1051)</f>
        <v>0</v>
      </c>
      <c r="C1090" s="164"/>
    </row>
    <row r="1091" spans="1:3" ht="18.75" x14ac:dyDescent="0.3">
      <c r="A1091" s="149" t="s">
        <v>922</v>
      </c>
      <c r="B1091" s="537">
        <f>SUM(CharterFundExp!I25+CharterFundExp!I61+CharterFundExp!I97+CharterFundExp!I133+CharterFundExp!I169+CharterFundExp!I205+CharterFundExp!I240+CharterFundExp!I276+CharterFundExp!I312+CharterFundExp!I348+CharterFundExp!I385+CharterFundExp!I422+CharterFundExp!I459+CharterFundExp!I496+CharterFundExp!I533+CharterFundExp!I570+CharterFundExp!I607+CharterFundExp!I644+CharterFundExp!I682+CharterFundExp!I719+CharterFundExp!I756+CharterFundExp!I793+CharterFundExp!I830+CharterFundExp!I867+CharterFundExp!I904+CharterFundExp!I941+CharterFundExp!I978+CharterFundExp!I1015+CharterFundExp!I1052)</f>
        <v>0</v>
      </c>
      <c r="C1091" s="164"/>
    </row>
    <row r="1092" spans="1:3" ht="18.75" x14ac:dyDescent="0.3">
      <c r="A1092" s="149" t="s">
        <v>923</v>
      </c>
      <c r="B1092" s="537">
        <f>SUM(CharterFundExp!I26+CharterFundExp!I62+CharterFundExp!I98+CharterFundExp!I134+CharterFundExp!I170+CharterFundExp!I206+CharterFundExp!I241+CharterFundExp!I277+CharterFundExp!I313+CharterFundExp!I349+CharterFundExp!I386+CharterFundExp!I423+CharterFundExp!I460+CharterFundExp!I497+CharterFundExp!I534+CharterFundExp!I571+CharterFundExp!I608+CharterFundExp!I645+CharterFundExp!I683+CharterFundExp!I720+CharterFundExp!I757+CharterFundExp!I794+CharterFundExp!I831+CharterFundExp!I868+CharterFundExp!I905+CharterFundExp!I942+CharterFundExp!I979+CharterFundExp!I1016+CharterFundExp!I1053)</f>
        <v>0</v>
      </c>
      <c r="C1092" s="164"/>
    </row>
    <row r="1093" spans="1:3" ht="18.75" x14ac:dyDescent="0.3">
      <c r="A1093" s="149" t="s">
        <v>924</v>
      </c>
      <c r="B1093" s="537">
        <f>SUM(CharterFundExp!I27+CharterFundExp!I63+CharterFundExp!I99+CharterFundExp!I135+CharterFundExp!I171+CharterFundExp!I207+CharterFundExp!I242+CharterFundExp!I278+CharterFundExp!I314+CharterFundExp!I350+CharterFundExp!I387+CharterFundExp!I424+CharterFundExp!I461+CharterFundExp!I498+CharterFundExp!I535+CharterFundExp!I572+CharterFundExp!I609+CharterFundExp!I646+CharterFundExp!I684+CharterFundExp!I721+CharterFundExp!I758+CharterFundExp!I795+CharterFundExp!I832+CharterFundExp!I869+CharterFundExp!I906+CharterFundExp!I943+CharterFundExp!I980+CharterFundExp!I1017+CharterFundExp!I1054)</f>
        <v>0</v>
      </c>
      <c r="C1093" s="164"/>
    </row>
    <row r="1094" spans="1:3" ht="18.75" x14ac:dyDescent="0.3">
      <c r="A1094" s="149" t="s">
        <v>925</v>
      </c>
      <c r="B1094" s="537">
        <f>SUM(CharterFundExp!I28+CharterFundExp!I64+CharterFundExp!I100+CharterFundExp!I136+CharterFundExp!I172+CharterFundExp!I208+CharterFundExp!I243+CharterFundExp!I279+CharterFundExp!I315+CharterFundExp!I351+CharterFundExp!I388+CharterFundExp!I425+CharterFundExp!I462+CharterFundExp!I499+CharterFundExp!I536+CharterFundExp!I573+CharterFundExp!I610+CharterFundExp!I647+CharterFundExp!I685+CharterFundExp!I722+CharterFundExp!I759+CharterFundExp!I796+CharterFundExp!I833+CharterFundExp!I870+CharterFundExp!I907+CharterFundExp!I944+CharterFundExp!I981+CharterFundExp!I1018+CharterFundExp!I1055)</f>
        <v>0</v>
      </c>
      <c r="C1094" s="164"/>
    </row>
    <row r="1095" spans="1:3" ht="18.75" x14ac:dyDescent="0.3">
      <c r="A1095" s="149" t="s">
        <v>926</v>
      </c>
      <c r="B1095" s="537">
        <f>SUM(CharterFundExp!I29+CharterFundExp!I65+CharterFundExp!I101+CharterFundExp!I137+CharterFundExp!I173+CharterFundExp!I209+CharterFundExp!I244+CharterFundExp!I280+CharterFundExp!I316+CharterFundExp!I352+CharterFundExp!I389+CharterFundExp!I426+CharterFundExp!I463+CharterFundExp!I500+CharterFundExp!I537+CharterFundExp!I574+CharterFundExp!I611+CharterFundExp!I648+CharterFundExp!I686+CharterFundExp!I723+CharterFundExp!I760+CharterFundExp!I797+CharterFundExp!I834+CharterFundExp!I871+CharterFundExp!I908+CharterFundExp!I945+CharterFundExp!I982+CharterFundExp!I1019+CharterFundExp!I1056)</f>
        <v>0</v>
      </c>
      <c r="C1095" s="164"/>
    </row>
    <row r="1096" spans="1:3" ht="18.75" x14ac:dyDescent="0.3">
      <c r="A1096" s="149" t="s">
        <v>927</v>
      </c>
      <c r="B1096" s="537">
        <f>SUM(CharterFundExp!I30+CharterFundExp!I66+CharterFundExp!I102+CharterFundExp!I138+CharterFundExp!I174+CharterFundExp!I210+CharterFundExp!I245+CharterFundExp!I281+CharterFundExp!I317+CharterFundExp!I353+CharterFundExp!I390+CharterFundExp!I427+CharterFundExp!I464+CharterFundExp!I501+CharterFundExp!I538+CharterFundExp!I575+CharterFundExp!I612+CharterFundExp!I649+CharterFundExp!I687+CharterFundExp!I724+CharterFundExp!I761+CharterFundExp!I798+CharterFundExp!I835+CharterFundExp!I872+CharterFundExp!I909+CharterFundExp!I946+CharterFundExp!I983+CharterFundExp!I1020+CharterFundExp!I1057)</f>
        <v>0</v>
      </c>
      <c r="C1096" s="164"/>
    </row>
    <row r="1097" spans="1:3" ht="18.75" x14ac:dyDescent="0.3">
      <c r="A1097" s="149" t="s">
        <v>928</v>
      </c>
      <c r="B1097" s="537">
        <f>SUM(CharterFundExp!I31+CharterFundExp!I67+CharterFundExp!I103+CharterFundExp!I139+CharterFundExp!I175+CharterFundExp!I211+CharterFundExp!I246+CharterFundExp!I282+CharterFundExp!I318+CharterFundExp!I354+CharterFundExp!I391+CharterFundExp!I428+CharterFundExp!I465+CharterFundExp!I502+CharterFundExp!I539+CharterFundExp!I576+CharterFundExp!I613+CharterFundExp!I650+CharterFundExp!I688+CharterFundExp!I725+CharterFundExp!I762+CharterFundExp!I799+CharterFundExp!I836+CharterFundExp!I873+CharterFundExp!I910+CharterFundExp!I947+CharterFundExp!I984+CharterFundExp!I1021+CharterFundExp!I1058)</f>
        <v>0</v>
      </c>
      <c r="C1097" s="164"/>
    </row>
    <row r="1098" spans="1:3" ht="18.75" x14ac:dyDescent="0.3">
      <c r="A1098" s="149" t="s">
        <v>962</v>
      </c>
      <c r="B1098" s="537">
        <f>SUM(CharterFundExp!I32+CharterFundExp!I68+CharterFundExp!I104+CharterFundExp!I140+CharterFundExp!I176+CharterFundExp!I212+CharterFundExp!I247+CharterFundExp!I283+CharterFundExp!I319+CharterFundExp!I355+CharterFundExp!I392+CharterFundExp!I429+CharterFundExp!I466+CharterFundExp!I503+CharterFundExp!I540+CharterFundExp!I577+CharterFundExp!I614+CharterFundExp!I651+CharterFundExp!I689+CharterFundExp!I726+CharterFundExp!I763+CharterFundExp!I800+CharterFundExp!I837+CharterFundExp!I874+CharterFundExp!I911+CharterFundExp!I948+CharterFundExp!I985+CharterFundExp!I1022+CharterFundExp!I1059)</f>
        <v>0</v>
      </c>
      <c r="C1098" s="164"/>
    </row>
    <row r="1099" spans="1:3" ht="18.75" x14ac:dyDescent="0.3">
      <c r="A1099" s="149" t="s">
        <v>963</v>
      </c>
      <c r="B1099" s="537">
        <f>SUM(CharterFundExp!I33+CharterFundExp!I69+CharterFundExp!I105+CharterFundExp!I141+CharterFundExp!I177+CharterFundExp!I213+CharterFundExp!I248+CharterFundExp!I284+CharterFundExp!I320+CharterFundExp!I356+CharterFundExp!I393+CharterFundExp!I430+CharterFundExp!I467+CharterFundExp!I504+CharterFundExp!I541+CharterFundExp!I578+CharterFundExp!I615+CharterFundExp!I652+CharterFundExp!I690+CharterFundExp!I727+CharterFundExp!I764+CharterFundExp!I801+CharterFundExp!I838+CharterFundExp!I875+CharterFundExp!I912+CharterFundExp!I949+CharterFundExp!I986+CharterFundExp!I1023+CharterFundExp!I1060)</f>
        <v>0</v>
      </c>
      <c r="C1099" s="164"/>
    </row>
    <row r="1100" spans="1:3" ht="18.75" x14ac:dyDescent="0.3">
      <c r="A1100" s="149" t="s">
        <v>964</v>
      </c>
      <c r="B1100" s="537">
        <f>SUM(CharterFundExp!I34+CharterFundExp!I70+CharterFundExp!I106+CharterFundExp!I142+CharterFundExp!I178+CharterFundExp!I214+CharterFundExp!I249+CharterFundExp!I285+CharterFundExp!I321+CharterFundExp!I357+CharterFundExp!I394+CharterFundExp!I431+CharterFundExp!I468+CharterFundExp!I505+CharterFundExp!I542+CharterFundExp!I579+CharterFundExp!I616+CharterFundExp!I653+CharterFundExp!I691+CharterFundExp!I728+CharterFundExp!I765+CharterFundExp!I802+CharterFundExp!I839+CharterFundExp!I876+CharterFundExp!I913+CharterFundExp!I950+CharterFundExp!I987+CharterFundExp!I1024+CharterFundExp!I1061)</f>
        <v>0</v>
      </c>
      <c r="C1100" s="164"/>
    </row>
    <row r="1101" spans="1:3" ht="18.75" x14ac:dyDescent="0.3">
      <c r="A1101" s="149" t="s">
        <v>965</v>
      </c>
      <c r="B1101" s="537">
        <f>SUM(CharterFundExp!I35+CharterFundExp!I71+CharterFundExp!I107+CharterFundExp!I143+CharterFundExp!I179+CharterFundExp!I215+CharterFundExp!I250+CharterFundExp!I286+CharterFundExp!I322+CharterFundExp!I358+CharterFundExp!I395+CharterFundExp!I432+CharterFundExp!I469+CharterFundExp!I506+CharterFundExp!I543+CharterFundExp!I580+CharterFundExp!I617+CharterFundExp!I654+CharterFundExp!I692+CharterFundExp!I729+CharterFundExp!I766+CharterFundExp!I803+CharterFundExp!I840+CharterFundExp!I877+CharterFundExp!I914+CharterFundExp!I951+CharterFundExp!I988+CharterFundExp!I1025+CharterFundExp!I1062)</f>
        <v>0</v>
      </c>
      <c r="C1101" s="164"/>
    </row>
    <row r="1102" spans="1:3" ht="18.75" x14ac:dyDescent="0.3">
      <c r="A1102" s="149" t="s">
        <v>885</v>
      </c>
      <c r="B1102" s="537">
        <f>SUM(CharterFundExp!I36+CharterFundExp!I72+CharterFundExp!I108+CharterFundExp!I144+CharterFundExp!I180+CharterFundExp!I216+CharterFundExp!I251+CharterFundExp!I287+CharterFundExp!I323+CharterFundExp!I359+CharterFundExp!I396+CharterFundExp!I433+CharterFundExp!I470+CharterFundExp!I507+CharterFundExp!I544+CharterFundExp!I581+CharterFundExp!I618+CharterFundExp!I655+CharterFundExp!I693+CharterFundExp!I730+CharterFundExp!I767+CharterFundExp!I804+CharterFundExp!I841+CharterFundExp!I878+CharterFundExp!I915+CharterFundExp!I952+CharterFundExp!I989+CharterFundExp!I1026+CharterFundExp!I1063)</f>
        <v>0</v>
      </c>
      <c r="C1102" s="164"/>
    </row>
    <row r="1103" spans="1:3" ht="18.75" x14ac:dyDescent="0.3">
      <c r="A1103" s="149" t="s">
        <v>966</v>
      </c>
      <c r="B1103" s="537">
        <f>SUM(CharterFundExp!I37+CharterFundExp!I73+CharterFundExp!I109+CharterFundExp!I145+CharterFundExp!I181+CharterFundExp!I217+CharterFundExp!I252+CharterFundExp!I288+CharterFundExp!I324+CharterFundExp!I360+CharterFundExp!I397+CharterFundExp!I434+CharterFundExp!I471+CharterFundExp!I508+CharterFundExp!I545+CharterFundExp!I582+CharterFundExp!I619+CharterFundExp!I656+CharterFundExp!I694+CharterFundExp!I731+CharterFundExp!I768+CharterFundExp!I805+CharterFundExp!I842+CharterFundExp!I879+CharterFundExp!I916+CharterFundExp!I953+CharterFundExp!I990+CharterFundExp!I1027+CharterFundExp!I1064)</f>
        <v>0</v>
      </c>
      <c r="C1103" s="164"/>
    </row>
    <row r="1104" spans="1:3" ht="18.75" x14ac:dyDescent="0.3">
      <c r="A1104" s="149" t="s">
        <v>886</v>
      </c>
      <c r="B1104" s="537">
        <f>SUM(CharterFundExp!I38+CharterFundExp!I74+CharterFundExp!I110+CharterFundExp!I146+CharterFundExp!I182+CharterFundExp!I218+CharterFundExp!I253+CharterFundExp!I289+CharterFundExp!I325+CharterFundExp!I361+CharterFundExp!I398+CharterFundExp!I435+CharterFundExp!I472+CharterFundExp!I509+CharterFundExp!I546+CharterFundExp!I583+CharterFundExp!I620+CharterFundExp!I657+CharterFundExp!I695+CharterFundExp!I732+CharterFundExp!I769+CharterFundExp!I806+CharterFundExp!I843+CharterFundExp!I880+CharterFundExp!I917+CharterFundExp!I954+CharterFundExp!I991+CharterFundExp!I1028+CharterFundExp!I1065)</f>
        <v>0</v>
      </c>
      <c r="C1104" s="164"/>
    </row>
    <row r="1105" spans="1:3" ht="18" x14ac:dyDescent="0.25">
      <c r="A1105" s="304" t="s">
        <v>1139</v>
      </c>
      <c r="B1105" s="539">
        <f>I659</f>
        <v>0</v>
      </c>
      <c r="C1105" s="164"/>
    </row>
    <row r="1106" spans="1:3" ht="18" x14ac:dyDescent="0.25">
      <c r="A1106" s="149" t="s">
        <v>112</v>
      </c>
      <c r="B1106" s="539">
        <f>SUM(I39+I75+I111+I147+I183+I218+I254+I290+I326+I362+I400+I437+I474+I511+I548+I585+I622+I660+I697+I734+I771+I808+I845+I882+I919+I956+I993+I1030+I1067)</f>
        <v>0</v>
      </c>
      <c r="C1106" s="164"/>
    </row>
    <row r="1107" spans="1:3" ht="18" x14ac:dyDescent="0.25">
      <c r="A1107" s="149" t="s">
        <v>887</v>
      </c>
      <c r="B1107" s="539">
        <f>SUM(I40+I76+I112+I148+I184+I219+I255+I291+I327+I363+I401+I438+I475+I512+I549+I586+I623+I661+I698+I735+I772+I809+I846+I883+I920+I957+I994+I1031+I1068)</f>
        <v>0</v>
      </c>
      <c r="C1107" s="164"/>
    </row>
    <row r="1108" spans="1:3" ht="18" x14ac:dyDescent="0.25">
      <c r="A1108" s="149" t="s">
        <v>1112</v>
      </c>
      <c r="B1108" s="539">
        <f>SUM(I41+I77+I113+I149+I185+I220+I256+I292+I328+I364+I402+I439+I476+I513+I550+I587+I624+I662+I699+I736+I773+I810+I847+I884+I921+I958+I995+I1032+I1069)</f>
        <v>0</v>
      </c>
      <c r="C1108" s="164"/>
    </row>
    <row r="1109" spans="1:3" ht="18" x14ac:dyDescent="0.25">
      <c r="A1109" s="149" t="s">
        <v>1113</v>
      </c>
      <c r="B1109" s="539">
        <f>SUM(I42+I78+I114+I150+I186+I221+I257+I293+I329+I365+I403+I440+I477+I514+I551+I588+I625+I663+I700+I737+I774+I811+I848+I885+I922+I959+I996+I1033+I1070)</f>
        <v>0</v>
      </c>
      <c r="C1109" s="164"/>
    </row>
    <row r="1110" spans="1:3" ht="18" x14ac:dyDescent="0.25">
      <c r="A1110" s="149" t="s">
        <v>1114</v>
      </c>
      <c r="B1110" s="539">
        <f>SUM(I43+I79+I115+I151+I187+I222+I258+I294+I330+I366+I404+I441+I478+I515+I552+I589+I626+I664+I701+I738+I775+I812+I849+I886+I923+I960+I997+I1034+I1071)</f>
        <v>0</v>
      </c>
      <c r="C1110" s="164"/>
    </row>
    <row r="1111" spans="1:3" x14ac:dyDescent="0.15">
      <c r="A1111" s="164"/>
      <c r="B1111" s="540"/>
      <c r="C1111" s="164"/>
    </row>
    <row r="1112" spans="1:3" x14ac:dyDescent="0.15">
      <c r="A1112" s="164"/>
      <c r="B1112" s="540"/>
      <c r="C1112" s="164"/>
    </row>
    <row r="1113" spans="1:3" x14ac:dyDescent="0.15">
      <c r="B1113" s="423"/>
    </row>
    <row r="1114" spans="1:3" x14ac:dyDescent="0.15">
      <c r="B1114" s="423"/>
    </row>
  </sheetData>
  <sheetProtection password="CB03" sheet="1" objects="1" scenarios="1" formatCells="0" formatColumns="0" formatRows="0"/>
  <phoneticPr fontId="15" type="noConversion"/>
  <pageMargins left="0.75" right="0.75" top="1" bottom="1" header="0.5" footer="0.5"/>
  <pageSetup scale="59" fitToHeight="0" orientation="portrait" r:id="rId1"/>
  <headerFooter alignWithMargins="0">
    <oddFooter>&amp;LCDE, Public Scool Finance Unit&amp;C&amp;P&amp;R&amp;D</oddFooter>
  </headerFooter>
  <rowBreaks count="9" manualBreakCount="9">
    <brk id="81" max="16383" man="1"/>
    <brk id="188" max="8" man="1"/>
    <brk id="296" max="16383" man="1"/>
    <brk id="405" max="8" man="1"/>
    <brk id="516" max="16383" man="1"/>
    <brk id="627" max="8" man="1"/>
    <brk id="739" max="16383" man="1"/>
    <brk id="851" max="16383" man="1"/>
    <brk id="96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684"/>
  <sheetViews>
    <sheetView topLeftCell="A407" zoomScaleNormal="100" workbookViewId="0">
      <selection activeCell="A2" sqref="A2"/>
    </sheetView>
  </sheetViews>
  <sheetFormatPr defaultRowHeight="10.5" x14ac:dyDescent="0.15"/>
  <cols>
    <col min="1" max="1" width="4.83203125" style="412" customWidth="1"/>
    <col min="2" max="2" width="7.6640625" style="412" customWidth="1"/>
    <col min="3" max="3" width="70.83203125" style="412" customWidth="1"/>
    <col min="4" max="4" width="15.83203125" style="412" customWidth="1"/>
    <col min="5" max="5" width="14.1640625" style="412" bestFit="1" customWidth="1"/>
    <col min="6" max="6" width="14" style="412" bestFit="1" customWidth="1"/>
    <col min="7" max="8" width="15.83203125" style="412" customWidth="1"/>
    <col min="9" max="9" width="20.5" style="412" customWidth="1"/>
    <col min="10" max="10" width="9.33203125" style="412"/>
    <col min="11" max="11" width="11.33203125" style="412" customWidth="1"/>
    <col min="12" max="16384" width="9.33203125" style="412"/>
  </cols>
  <sheetData>
    <row r="1" spans="1:10" ht="10.5" customHeight="1" x14ac:dyDescent="0.15">
      <c r="A1" s="412" t="s">
        <v>1044</v>
      </c>
      <c r="C1" s="135">
        <f>+'Page 1 - FY2016-17'!B5</f>
        <v>0</v>
      </c>
      <c r="D1" s="412" t="s">
        <v>889</v>
      </c>
      <c r="E1" s="415">
        <f>+'Page 1 - FY2016-17'!F7</f>
        <v>0</v>
      </c>
      <c r="G1" s="418" t="s">
        <v>891</v>
      </c>
      <c r="H1" s="419"/>
      <c r="I1" s="419"/>
    </row>
    <row r="2" spans="1:10" ht="12.75" x14ac:dyDescent="0.2">
      <c r="A2" s="444" t="s">
        <v>37</v>
      </c>
    </row>
    <row r="3" spans="1:10" ht="12.75" x14ac:dyDescent="0.2">
      <c r="A3" s="444"/>
    </row>
    <row r="4" spans="1:10" ht="42.75" x14ac:dyDescent="0.2">
      <c r="A4" s="444"/>
      <c r="D4" s="580" t="s">
        <v>1607</v>
      </c>
      <c r="E4" s="580" t="s">
        <v>1606</v>
      </c>
      <c r="F4" s="580" t="s">
        <v>1605</v>
      </c>
      <c r="G4" s="580" t="s">
        <v>1604</v>
      </c>
      <c r="H4" s="580" t="s">
        <v>1603</v>
      </c>
      <c r="I4" s="580" t="s">
        <v>1602</v>
      </c>
    </row>
    <row r="5" spans="1:10" ht="53.25" x14ac:dyDescent="0.2">
      <c r="A5" s="444"/>
      <c r="D5" s="424"/>
      <c r="E5" s="424"/>
      <c r="F5" s="424"/>
      <c r="G5" s="424"/>
      <c r="H5" s="713" t="s">
        <v>1541</v>
      </c>
      <c r="I5" s="715" t="s">
        <v>1516</v>
      </c>
    </row>
    <row r="6" spans="1:10" ht="12.75" x14ac:dyDescent="0.2">
      <c r="A6" s="444"/>
    </row>
    <row r="7" spans="1:10" ht="10.5" customHeight="1" x14ac:dyDescent="0.15">
      <c r="A7" s="438" t="s">
        <v>122</v>
      </c>
      <c r="D7" s="446"/>
      <c r="E7" s="446"/>
      <c r="F7" s="446"/>
      <c r="G7" s="446"/>
    </row>
    <row r="8" spans="1:10" s="448" customFormat="1" ht="10.5" customHeight="1" x14ac:dyDescent="0.15">
      <c r="B8" s="449" t="s">
        <v>213</v>
      </c>
      <c r="D8" s="143"/>
      <c r="E8" s="143"/>
      <c r="F8" s="143"/>
      <c r="G8" s="142"/>
      <c r="I8" s="460"/>
    </row>
    <row r="9" spans="1:10" s="448" customFormat="1" ht="10.5" customHeight="1" x14ac:dyDescent="0.15">
      <c r="A9" s="483" t="s">
        <v>123</v>
      </c>
      <c r="B9" s="135"/>
      <c r="C9" s="135"/>
      <c r="D9" s="143"/>
      <c r="E9" s="143"/>
      <c r="F9" s="143"/>
      <c r="G9" s="142"/>
      <c r="I9" s="460"/>
    </row>
    <row r="10" spans="1:10" s="416" customFormat="1" hidden="1" x14ac:dyDescent="0.15">
      <c r="B10" s="453" t="s">
        <v>880</v>
      </c>
      <c r="C10" s="454" t="s">
        <v>1164</v>
      </c>
      <c r="D10" s="308">
        <v>0</v>
      </c>
      <c r="E10" s="308">
        <v>0</v>
      </c>
      <c r="F10" s="308">
        <v>0</v>
      </c>
      <c r="G10" s="458"/>
      <c r="H10" s="457">
        <v>0</v>
      </c>
      <c r="I10" s="494">
        <f>SUM(G10+H10)</f>
        <v>0</v>
      </c>
    </row>
    <row r="11" spans="1:10" s="416" customFormat="1" x14ac:dyDescent="0.15">
      <c r="B11" s="453" t="s">
        <v>880</v>
      </c>
      <c r="C11" s="454" t="s">
        <v>337</v>
      </c>
      <c r="D11" s="308">
        <v>0</v>
      </c>
      <c r="E11" s="308">
        <v>0</v>
      </c>
      <c r="F11" s="308">
        <v>0</v>
      </c>
      <c r="G11" s="308">
        <v>0</v>
      </c>
      <c r="H11" s="457">
        <v>0</v>
      </c>
      <c r="I11" s="494">
        <f>SUM(G11+H11)</f>
        <v>0</v>
      </c>
    </row>
    <row r="12" spans="1:10" s="416" customFormat="1" hidden="1" x14ac:dyDescent="0.15">
      <c r="A12" s="454"/>
      <c r="B12" s="453" t="s">
        <v>881</v>
      </c>
      <c r="C12" s="454" t="s">
        <v>382</v>
      </c>
      <c r="D12" s="308">
        <v>0</v>
      </c>
      <c r="E12" s="308">
        <v>0</v>
      </c>
      <c r="F12" s="308">
        <v>0</v>
      </c>
      <c r="G12" s="459"/>
      <c r="H12" s="457">
        <v>0</v>
      </c>
      <c r="I12" s="494">
        <f>SUM(G12+H12)</f>
        <v>0</v>
      </c>
    </row>
    <row r="13" spans="1:10" x14ac:dyDescent="0.15">
      <c r="A13" s="135"/>
      <c r="B13" s="451" t="s">
        <v>881</v>
      </c>
      <c r="C13" s="135" t="s">
        <v>338</v>
      </c>
      <c r="D13" s="144">
        <v>0</v>
      </c>
      <c r="E13" s="144">
        <v>0</v>
      </c>
      <c r="F13" s="144">
        <v>0</v>
      </c>
      <c r="G13" s="144">
        <v>0</v>
      </c>
      <c r="H13" s="147">
        <v>0</v>
      </c>
      <c r="I13" s="495">
        <f>SUM(G13+H13)</f>
        <v>0</v>
      </c>
      <c r="J13" s="416"/>
    </row>
    <row r="14" spans="1:10" s="448" customFormat="1" ht="10.5" customHeight="1" x14ac:dyDescent="0.15">
      <c r="A14" s="483"/>
      <c r="B14" s="451" t="s">
        <v>882</v>
      </c>
      <c r="C14" s="135" t="s">
        <v>1058</v>
      </c>
      <c r="D14" s="144">
        <v>0</v>
      </c>
      <c r="E14" s="144">
        <v>0</v>
      </c>
      <c r="F14" s="144">
        <v>0</v>
      </c>
      <c r="G14" s="144">
        <v>0</v>
      </c>
      <c r="H14" s="285">
        <v>0</v>
      </c>
      <c r="I14" s="507">
        <f t="shared" ref="I14:I43" si="0">SUM(G14+H14)</f>
        <v>0</v>
      </c>
    </row>
    <row r="15" spans="1:10" s="448" customFormat="1" ht="10.5" customHeight="1" x14ac:dyDescent="0.15">
      <c r="A15" s="483"/>
      <c r="B15" s="451" t="s">
        <v>883</v>
      </c>
      <c r="C15" s="135" t="s">
        <v>1059</v>
      </c>
      <c r="D15" s="144">
        <v>0</v>
      </c>
      <c r="E15" s="144">
        <v>0</v>
      </c>
      <c r="F15" s="144">
        <v>0</v>
      </c>
      <c r="G15" s="144">
        <v>0</v>
      </c>
      <c r="H15" s="285">
        <v>0</v>
      </c>
      <c r="I15" s="507">
        <f t="shared" si="0"/>
        <v>0</v>
      </c>
    </row>
    <row r="16" spans="1:10" s="448" customFormat="1" ht="10.5" customHeight="1" x14ac:dyDescent="0.15">
      <c r="A16" s="483"/>
      <c r="B16" s="451" t="s">
        <v>1060</v>
      </c>
      <c r="C16" s="135" t="s">
        <v>1061</v>
      </c>
      <c r="D16" s="144">
        <v>0</v>
      </c>
      <c r="E16" s="144">
        <v>0</v>
      </c>
      <c r="F16" s="144">
        <v>0</v>
      </c>
      <c r="G16" s="144">
        <v>0</v>
      </c>
      <c r="H16" s="285">
        <v>0</v>
      </c>
      <c r="I16" s="507">
        <f t="shared" si="0"/>
        <v>0</v>
      </c>
    </row>
    <row r="17" spans="1:9" s="448" customFormat="1" ht="10.5" customHeight="1" x14ac:dyDescent="0.15">
      <c r="A17" s="483"/>
      <c r="B17" s="451" t="s">
        <v>1062</v>
      </c>
      <c r="C17" s="135" t="s">
        <v>1063</v>
      </c>
      <c r="D17" s="144">
        <v>0</v>
      </c>
      <c r="E17" s="144">
        <v>0</v>
      </c>
      <c r="F17" s="144">
        <v>0</v>
      </c>
      <c r="G17" s="144">
        <v>0</v>
      </c>
      <c r="H17" s="285">
        <v>0</v>
      </c>
      <c r="I17" s="507">
        <f t="shared" si="0"/>
        <v>0</v>
      </c>
    </row>
    <row r="18" spans="1:9" s="448" customFormat="1" ht="10.5" customHeight="1" x14ac:dyDescent="0.15">
      <c r="A18" s="483"/>
      <c r="B18" s="451" t="s">
        <v>884</v>
      </c>
      <c r="C18" s="135" t="s">
        <v>1064</v>
      </c>
      <c r="D18" s="144">
        <v>0</v>
      </c>
      <c r="E18" s="144">
        <v>0</v>
      </c>
      <c r="F18" s="144">
        <v>0</v>
      </c>
      <c r="G18" s="144">
        <v>0</v>
      </c>
      <c r="H18" s="285">
        <v>0</v>
      </c>
      <c r="I18" s="507">
        <f t="shared" si="0"/>
        <v>0</v>
      </c>
    </row>
    <row r="19" spans="1:9" s="448" customFormat="1" ht="10.5" customHeight="1" x14ac:dyDescent="0.15">
      <c r="A19" s="483"/>
      <c r="B19" s="451" t="s">
        <v>1065</v>
      </c>
      <c r="C19" s="135" t="s">
        <v>1073</v>
      </c>
      <c r="D19" s="144">
        <v>0</v>
      </c>
      <c r="E19" s="144">
        <v>0</v>
      </c>
      <c r="F19" s="144">
        <v>0</v>
      </c>
      <c r="G19" s="144">
        <v>0</v>
      </c>
      <c r="H19" s="285">
        <v>0</v>
      </c>
      <c r="I19" s="507">
        <f t="shared" si="0"/>
        <v>0</v>
      </c>
    </row>
    <row r="20" spans="1:9" s="448" customFormat="1" ht="10.5" customHeight="1" x14ac:dyDescent="0.15">
      <c r="A20" s="483"/>
      <c r="B20" s="451" t="s">
        <v>1066</v>
      </c>
      <c r="C20" s="135" t="s">
        <v>1125</v>
      </c>
      <c r="D20" s="144">
        <v>0</v>
      </c>
      <c r="E20" s="144">
        <v>0</v>
      </c>
      <c r="F20" s="144">
        <v>0</v>
      </c>
      <c r="G20" s="144">
        <v>0</v>
      </c>
      <c r="H20" s="285">
        <v>0</v>
      </c>
      <c r="I20" s="507">
        <f t="shared" si="0"/>
        <v>0</v>
      </c>
    </row>
    <row r="21" spans="1:9" s="448" customFormat="1" ht="10.5" customHeight="1" x14ac:dyDescent="0.15">
      <c r="A21" s="483"/>
      <c r="B21" s="451" t="s">
        <v>1067</v>
      </c>
      <c r="C21" s="135" t="s">
        <v>1074</v>
      </c>
      <c r="D21" s="144">
        <v>0</v>
      </c>
      <c r="E21" s="144">
        <v>0</v>
      </c>
      <c r="F21" s="144">
        <v>0</v>
      </c>
      <c r="G21" s="144">
        <v>0</v>
      </c>
      <c r="H21" s="285">
        <v>0</v>
      </c>
      <c r="I21" s="507">
        <f t="shared" si="0"/>
        <v>0</v>
      </c>
    </row>
    <row r="22" spans="1:9" s="448" customFormat="1" ht="10.5" customHeight="1" x14ac:dyDescent="0.15">
      <c r="A22" s="483"/>
      <c r="B22" s="451" t="s">
        <v>1068</v>
      </c>
      <c r="C22" s="135" t="s">
        <v>1075</v>
      </c>
      <c r="D22" s="144">
        <v>0</v>
      </c>
      <c r="E22" s="144">
        <v>0</v>
      </c>
      <c r="F22" s="144">
        <v>0</v>
      </c>
      <c r="G22" s="144">
        <v>0</v>
      </c>
      <c r="H22" s="285">
        <v>0</v>
      </c>
      <c r="I22" s="507">
        <f t="shared" si="0"/>
        <v>0</v>
      </c>
    </row>
    <row r="23" spans="1:9" s="448" customFormat="1" ht="10.5" customHeight="1" x14ac:dyDescent="0.15">
      <c r="A23" s="483"/>
      <c r="B23" s="451" t="s">
        <v>1069</v>
      </c>
      <c r="C23" s="135" t="s">
        <v>1076</v>
      </c>
      <c r="D23" s="144">
        <v>0</v>
      </c>
      <c r="E23" s="144">
        <v>0</v>
      </c>
      <c r="F23" s="144">
        <v>0</v>
      </c>
      <c r="G23" s="144">
        <v>0</v>
      </c>
      <c r="H23" s="285">
        <v>0</v>
      </c>
      <c r="I23" s="507">
        <f t="shared" si="0"/>
        <v>0</v>
      </c>
    </row>
    <row r="24" spans="1:9" s="448" customFormat="1" ht="10.5" customHeight="1" x14ac:dyDescent="0.15">
      <c r="A24" s="483"/>
      <c r="B24" s="451" t="s">
        <v>1071</v>
      </c>
      <c r="C24" s="135" t="s">
        <v>1077</v>
      </c>
      <c r="D24" s="144">
        <v>0</v>
      </c>
      <c r="E24" s="144">
        <v>0</v>
      </c>
      <c r="F24" s="144">
        <v>0</v>
      </c>
      <c r="G24" s="144">
        <v>0</v>
      </c>
      <c r="H24" s="285">
        <v>0</v>
      </c>
      <c r="I24" s="507">
        <f t="shared" si="0"/>
        <v>0</v>
      </c>
    </row>
    <row r="25" spans="1:9" s="448" customFormat="1" ht="10.5" customHeight="1" x14ac:dyDescent="0.15">
      <c r="A25" s="483"/>
      <c r="B25" s="451" t="s">
        <v>1072</v>
      </c>
      <c r="C25" s="135" t="s">
        <v>920</v>
      </c>
      <c r="D25" s="144">
        <v>0</v>
      </c>
      <c r="E25" s="144">
        <v>0</v>
      </c>
      <c r="F25" s="144">
        <v>0</v>
      </c>
      <c r="G25" s="144">
        <v>0</v>
      </c>
      <c r="H25" s="285">
        <v>0</v>
      </c>
      <c r="I25" s="507">
        <f t="shared" si="0"/>
        <v>0</v>
      </c>
    </row>
    <row r="26" spans="1:9" s="448" customFormat="1" ht="10.5" customHeight="1" x14ac:dyDescent="0.15">
      <c r="A26" s="483"/>
      <c r="B26" s="716" t="s">
        <v>155</v>
      </c>
      <c r="C26" s="703" t="s">
        <v>178</v>
      </c>
      <c r="D26" s="144">
        <v>0</v>
      </c>
      <c r="E26" s="144">
        <v>0</v>
      </c>
      <c r="F26" s="144">
        <v>0</v>
      </c>
      <c r="G26" s="144">
        <v>0</v>
      </c>
      <c r="H26" s="285">
        <v>0</v>
      </c>
      <c r="I26" s="507">
        <f t="shared" ref="I26" si="1">SUM(G26+H26)</f>
        <v>0</v>
      </c>
    </row>
    <row r="27" spans="1:9" s="448" customFormat="1" ht="10.5" customHeight="1" x14ac:dyDescent="0.15">
      <c r="A27" s="483"/>
      <c r="B27" s="451" t="s">
        <v>927</v>
      </c>
      <c r="C27" s="135" t="s">
        <v>959</v>
      </c>
      <c r="D27" s="144">
        <v>0</v>
      </c>
      <c r="E27" s="144">
        <v>0</v>
      </c>
      <c r="F27" s="144">
        <v>0</v>
      </c>
      <c r="G27" s="144">
        <v>0</v>
      </c>
      <c r="H27" s="285">
        <v>0</v>
      </c>
      <c r="I27" s="507">
        <f t="shared" si="0"/>
        <v>0</v>
      </c>
    </row>
    <row r="28" spans="1:9" s="448" customFormat="1" ht="10.5" customHeight="1" x14ac:dyDescent="0.15">
      <c r="A28" s="483"/>
      <c r="B28" s="451" t="s">
        <v>928</v>
      </c>
      <c r="C28" s="135" t="s">
        <v>961</v>
      </c>
      <c r="D28" s="144">
        <v>0</v>
      </c>
      <c r="E28" s="144">
        <v>0</v>
      </c>
      <c r="F28" s="144">
        <v>0</v>
      </c>
      <c r="G28" s="144">
        <v>0</v>
      </c>
      <c r="H28" s="285">
        <v>0</v>
      </c>
      <c r="I28" s="507">
        <f t="shared" si="0"/>
        <v>0</v>
      </c>
    </row>
    <row r="29" spans="1:9" s="448" customFormat="1" ht="10.5" customHeight="1" x14ac:dyDescent="0.15">
      <c r="A29" s="483"/>
      <c r="B29" s="451" t="s">
        <v>962</v>
      </c>
      <c r="C29" s="135" t="s">
        <v>967</v>
      </c>
      <c r="D29" s="144">
        <v>0</v>
      </c>
      <c r="E29" s="144">
        <v>0</v>
      </c>
      <c r="F29" s="144">
        <v>0</v>
      </c>
      <c r="G29" s="144">
        <v>0</v>
      </c>
      <c r="H29" s="285">
        <v>0</v>
      </c>
      <c r="I29" s="507">
        <f t="shared" si="0"/>
        <v>0</v>
      </c>
    </row>
    <row r="30" spans="1:9" s="448" customFormat="1" ht="10.5" customHeight="1" x14ac:dyDescent="0.15">
      <c r="A30" s="483"/>
      <c r="B30" s="451" t="s">
        <v>963</v>
      </c>
      <c r="C30" s="135" t="s">
        <v>1124</v>
      </c>
      <c r="D30" s="144">
        <v>0</v>
      </c>
      <c r="E30" s="144">
        <v>0</v>
      </c>
      <c r="F30" s="144">
        <v>0</v>
      </c>
      <c r="G30" s="144">
        <v>0</v>
      </c>
      <c r="H30" s="285">
        <v>0</v>
      </c>
      <c r="I30" s="507">
        <f t="shared" si="0"/>
        <v>0</v>
      </c>
    </row>
    <row r="31" spans="1:9" s="448" customFormat="1" ht="10.5" customHeight="1" x14ac:dyDescent="0.15">
      <c r="A31" s="483"/>
      <c r="B31" s="451" t="s">
        <v>964</v>
      </c>
      <c r="C31" s="135" t="s">
        <v>1094</v>
      </c>
      <c r="D31" s="144">
        <v>0</v>
      </c>
      <c r="E31" s="144">
        <v>0</v>
      </c>
      <c r="F31" s="144">
        <v>0</v>
      </c>
      <c r="G31" s="144">
        <v>0</v>
      </c>
      <c r="H31" s="285">
        <v>0</v>
      </c>
      <c r="I31" s="507">
        <f t="shared" si="0"/>
        <v>0</v>
      </c>
    </row>
    <row r="32" spans="1:9" s="448" customFormat="1" ht="10.5" customHeight="1" x14ac:dyDescent="0.15">
      <c r="A32" s="483"/>
      <c r="B32" s="451" t="s">
        <v>965</v>
      </c>
      <c r="C32" s="135" t="s">
        <v>1095</v>
      </c>
      <c r="D32" s="144">
        <v>0</v>
      </c>
      <c r="E32" s="144">
        <v>0</v>
      </c>
      <c r="F32" s="144">
        <v>0</v>
      </c>
      <c r="G32" s="144">
        <v>0</v>
      </c>
      <c r="H32" s="285">
        <v>0</v>
      </c>
      <c r="I32" s="507">
        <f t="shared" si="0"/>
        <v>0</v>
      </c>
    </row>
    <row r="33" spans="1:9" s="448" customFormat="1" ht="10.5" customHeight="1" x14ac:dyDescent="0.15">
      <c r="A33" s="483"/>
      <c r="B33" s="451" t="s">
        <v>885</v>
      </c>
      <c r="C33" s="135" t="s">
        <v>1096</v>
      </c>
      <c r="D33" s="144">
        <v>0</v>
      </c>
      <c r="E33" s="144">
        <v>0</v>
      </c>
      <c r="F33" s="144">
        <v>0</v>
      </c>
      <c r="G33" s="144">
        <v>0</v>
      </c>
      <c r="H33" s="285">
        <v>0</v>
      </c>
      <c r="I33" s="507">
        <f t="shared" si="0"/>
        <v>0</v>
      </c>
    </row>
    <row r="34" spans="1:9" s="448" customFormat="1" ht="10.5" customHeight="1" x14ac:dyDescent="0.15">
      <c r="A34" s="483"/>
      <c r="B34" s="451" t="s">
        <v>966</v>
      </c>
      <c r="C34" s="135" t="s">
        <v>1097</v>
      </c>
      <c r="D34" s="144">
        <v>0</v>
      </c>
      <c r="E34" s="144">
        <v>0</v>
      </c>
      <c r="F34" s="144">
        <v>0</v>
      </c>
      <c r="G34" s="144">
        <v>0</v>
      </c>
      <c r="H34" s="285">
        <v>0</v>
      </c>
      <c r="I34" s="507">
        <f t="shared" si="0"/>
        <v>0</v>
      </c>
    </row>
    <row r="35" spans="1:9" s="448" customFormat="1" ht="10.5" customHeight="1" x14ac:dyDescent="0.15">
      <c r="A35" s="483"/>
      <c r="B35" s="451" t="s">
        <v>886</v>
      </c>
      <c r="C35" s="135" t="s">
        <v>1100</v>
      </c>
      <c r="D35" s="144">
        <v>0</v>
      </c>
      <c r="E35" s="144">
        <v>0</v>
      </c>
      <c r="F35" s="144">
        <v>0</v>
      </c>
      <c r="G35" s="144">
        <v>0</v>
      </c>
      <c r="H35" s="285">
        <v>0</v>
      </c>
      <c r="I35" s="507">
        <f t="shared" si="0"/>
        <v>0</v>
      </c>
    </row>
    <row r="36" spans="1:9" s="448" customFormat="1" ht="10.5" customHeight="1" x14ac:dyDescent="0.15">
      <c r="A36" s="483"/>
      <c r="B36" s="451" t="s">
        <v>116</v>
      </c>
      <c r="C36" s="135" t="s">
        <v>1105</v>
      </c>
      <c r="D36" s="144">
        <v>0</v>
      </c>
      <c r="E36" s="144">
        <v>0</v>
      </c>
      <c r="F36" s="144">
        <v>0</v>
      </c>
      <c r="G36" s="144">
        <v>0</v>
      </c>
      <c r="H36" s="285">
        <v>0</v>
      </c>
      <c r="I36" s="507">
        <f t="shared" si="0"/>
        <v>0</v>
      </c>
    </row>
    <row r="37" spans="1:9" s="448" customFormat="1" ht="10.5" customHeight="1" x14ac:dyDescent="0.15">
      <c r="A37" s="483"/>
      <c r="B37" s="451" t="s">
        <v>112</v>
      </c>
      <c r="C37" s="135" t="s">
        <v>1110</v>
      </c>
      <c r="D37" s="144">
        <v>0</v>
      </c>
      <c r="E37" s="144">
        <v>0</v>
      </c>
      <c r="F37" s="144">
        <v>0</v>
      </c>
      <c r="G37" s="144">
        <v>0</v>
      </c>
      <c r="H37" s="285">
        <v>0</v>
      </c>
      <c r="I37" s="507">
        <f t="shared" si="0"/>
        <v>0</v>
      </c>
    </row>
    <row r="38" spans="1:9" s="448" customFormat="1" ht="10.5" customHeight="1" x14ac:dyDescent="0.15">
      <c r="A38" s="483"/>
      <c r="B38" s="451" t="s">
        <v>887</v>
      </c>
      <c r="C38" s="135" t="s">
        <v>1116</v>
      </c>
      <c r="D38" s="144">
        <v>0</v>
      </c>
      <c r="E38" s="144">
        <v>0</v>
      </c>
      <c r="F38" s="144">
        <v>0</v>
      </c>
      <c r="G38" s="144">
        <v>0</v>
      </c>
      <c r="H38" s="285">
        <v>0</v>
      </c>
      <c r="I38" s="507">
        <f t="shared" si="0"/>
        <v>0</v>
      </c>
    </row>
    <row r="39" spans="1:9" s="448" customFormat="1" ht="10.5" customHeight="1" x14ac:dyDescent="0.15">
      <c r="A39" s="483"/>
      <c r="B39" s="451" t="s">
        <v>1112</v>
      </c>
      <c r="C39" s="135" t="s">
        <v>1117</v>
      </c>
      <c r="D39" s="144">
        <v>0</v>
      </c>
      <c r="E39" s="144">
        <v>0</v>
      </c>
      <c r="F39" s="144">
        <v>0</v>
      </c>
      <c r="G39" s="144">
        <v>0</v>
      </c>
      <c r="H39" s="285">
        <v>0</v>
      </c>
      <c r="I39" s="507">
        <f t="shared" si="0"/>
        <v>0</v>
      </c>
    </row>
    <row r="40" spans="1:9" s="448" customFormat="1" ht="10.5" customHeight="1" x14ac:dyDescent="0.15">
      <c r="A40" s="483"/>
      <c r="B40" s="451" t="s">
        <v>1113</v>
      </c>
      <c r="C40" s="135" t="s">
        <v>1118</v>
      </c>
      <c r="D40" s="144">
        <v>0</v>
      </c>
      <c r="E40" s="144">
        <v>0</v>
      </c>
      <c r="F40" s="144">
        <v>0</v>
      </c>
      <c r="G40" s="144">
        <v>0</v>
      </c>
      <c r="H40" s="285">
        <v>0</v>
      </c>
      <c r="I40" s="507">
        <f t="shared" si="0"/>
        <v>0</v>
      </c>
    </row>
    <row r="41" spans="1:9" s="448" customFormat="1" ht="10.5" customHeight="1" x14ac:dyDescent="0.15">
      <c r="A41" s="483"/>
      <c r="B41" s="451" t="s">
        <v>1114</v>
      </c>
      <c r="C41" s="135" t="s">
        <v>1119</v>
      </c>
      <c r="D41" s="144">
        <v>0</v>
      </c>
      <c r="E41" s="144">
        <v>0</v>
      </c>
      <c r="F41" s="144">
        <v>0</v>
      </c>
      <c r="G41" s="144">
        <v>0</v>
      </c>
      <c r="H41" s="285">
        <v>0</v>
      </c>
      <c r="I41" s="507">
        <f t="shared" si="0"/>
        <v>0</v>
      </c>
    </row>
    <row r="42" spans="1:9" s="448" customFormat="1" ht="10.5" customHeight="1" x14ac:dyDescent="0.15">
      <c r="A42" s="483"/>
      <c r="B42" s="451" t="s">
        <v>1115</v>
      </c>
      <c r="C42" s="135" t="s">
        <v>1120</v>
      </c>
      <c r="D42" s="144">
        <v>0</v>
      </c>
      <c r="E42" s="144">
        <v>0</v>
      </c>
      <c r="F42" s="144">
        <v>0</v>
      </c>
      <c r="G42" s="144">
        <v>0</v>
      </c>
      <c r="H42" s="285">
        <v>0</v>
      </c>
      <c r="I42" s="507">
        <f t="shared" si="0"/>
        <v>0</v>
      </c>
    </row>
    <row r="43" spans="1:9" s="448" customFormat="1" ht="10.5" customHeight="1" thickBot="1" x14ac:dyDescent="0.2">
      <c r="A43" s="483"/>
      <c r="B43" s="451" t="s">
        <v>114</v>
      </c>
      <c r="C43" s="135" t="s">
        <v>1121</v>
      </c>
      <c r="D43" s="141">
        <v>0</v>
      </c>
      <c r="E43" s="141">
        <v>0</v>
      </c>
      <c r="F43" s="141">
        <v>0</v>
      </c>
      <c r="G43" s="141">
        <v>0</v>
      </c>
      <c r="H43" s="285">
        <v>0</v>
      </c>
      <c r="I43" s="507">
        <f t="shared" si="0"/>
        <v>0</v>
      </c>
    </row>
    <row r="44" spans="1:9" s="448" customFormat="1" ht="10.5" customHeight="1" thickTop="1" thickBot="1" x14ac:dyDescent="0.2">
      <c r="A44" s="483"/>
      <c r="B44" s="451"/>
      <c r="C44" s="135" t="s">
        <v>125</v>
      </c>
      <c r="D44" s="166">
        <f>SUM(D10:D43)</f>
        <v>0</v>
      </c>
      <c r="E44" s="166">
        <f>SUM(E10:E43)</f>
        <v>0</v>
      </c>
      <c r="F44" s="166">
        <f>SUM(F10:F43)</f>
        <v>0</v>
      </c>
      <c r="G44" s="166">
        <f>SUM(G10:G43)</f>
        <v>0</v>
      </c>
      <c r="H44" s="166">
        <f>SUM(H10:H43)</f>
        <v>0</v>
      </c>
      <c r="I44" s="166">
        <f>SUM(G44+H44)</f>
        <v>0</v>
      </c>
    </row>
    <row r="45" spans="1:9" s="448" customFormat="1" ht="10.5" customHeight="1" thickTop="1" x14ac:dyDescent="0.15">
      <c r="A45" s="483"/>
      <c r="B45" s="451"/>
      <c r="C45" s="135"/>
      <c r="D45" s="14"/>
      <c r="E45" s="14"/>
      <c r="F45" s="14"/>
      <c r="G45" s="14"/>
      <c r="I45" s="460"/>
    </row>
    <row r="46" spans="1:9" ht="10.5" customHeight="1" x14ac:dyDescent="0.15">
      <c r="A46" s="442" t="s">
        <v>124</v>
      </c>
      <c r="D46" s="14"/>
      <c r="E46" s="14"/>
      <c r="F46" s="14"/>
      <c r="G46" s="14"/>
      <c r="H46" s="195"/>
      <c r="I46" s="167"/>
    </row>
    <row r="47" spans="1:9" s="416" customFormat="1" hidden="1" x14ac:dyDescent="0.15">
      <c r="B47" s="453" t="s">
        <v>880</v>
      </c>
      <c r="C47" s="454" t="s">
        <v>1164</v>
      </c>
      <c r="D47" s="308">
        <v>0</v>
      </c>
      <c r="E47" s="308">
        <v>0</v>
      </c>
      <c r="F47" s="308">
        <v>0</v>
      </c>
      <c r="G47" s="458"/>
      <c r="H47" s="457">
        <v>0</v>
      </c>
      <c r="I47" s="494">
        <f>SUM(G47+H47)</f>
        <v>0</v>
      </c>
    </row>
    <row r="48" spans="1:9" s="416" customFormat="1" x14ac:dyDescent="0.15">
      <c r="B48" s="453" t="s">
        <v>880</v>
      </c>
      <c r="C48" s="454" t="s">
        <v>337</v>
      </c>
      <c r="D48" s="308">
        <v>0</v>
      </c>
      <c r="E48" s="308">
        <v>0</v>
      </c>
      <c r="F48" s="308">
        <v>0</v>
      </c>
      <c r="G48" s="308">
        <v>0</v>
      </c>
      <c r="H48" s="457">
        <v>0</v>
      </c>
      <c r="I48" s="494">
        <f>SUM(G48+H48)</f>
        <v>0</v>
      </c>
    </row>
    <row r="49" spans="1:10" s="416" customFormat="1" hidden="1" x14ac:dyDescent="0.15">
      <c r="A49" s="454"/>
      <c r="B49" s="453" t="s">
        <v>881</v>
      </c>
      <c r="C49" s="454" t="s">
        <v>382</v>
      </c>
      <c r="D49" s="308">
        <v>0</v>
      </c>
      <c r="E49" s="308">
        <v>0</v>
      </c>
      <c r="F49" s="308">
        <v>0</v>
      </c>
      <c r="G49" s="459"/>
      <c r="H49" s="457">
        <v>0</v>
      </c>
      <c r="I49" s="494">
        <f>SUM(G49+H49)</f>
        <v>0</v>
      </c>
    </row>
    <row r="50" spans="1:10" x14ac:dyDescent="0.15">
      <c r="A50" s="135"/>
      <c r="B50" s="451" t="s">
        <v>881</v>
      </c>
      <c r="C50" s="135" t="s">
        <v>338</v>
      </c>
      <c r="D50" s="144">
        <v>0</v>
      </c>
      <c r="E50" s="144">
        <v>0</v>
      </c>
      <c r="F50" s="144">
        <v>0</v>
      </c>
      <c r="G50" s="144">
        <v>0</v>
      </c>
      <c r="H50" s="147">
        <v>0</v>
      </c>
      <c r="I50" s="495">
        <f>SUM(G50+H50)</f>
        <v>0</v>
      </c>
      <c r="J50" s="416"/>
    </row>
    <row r="51" spans="1:10" ht="10.5" customHeight="1" x14ac:dyDescent="0.15">
      <c r="A51" s="442"/>
      <c r="B51" s="451" t="s">
        <v>882</v>
      </c>
      <c r="C51" s="135" t="s">
        <v>1058</v>
      </c>
      <c r="D51" s="144">
        <v>0</v>
      </c>
      <c r="E51" s="144">
        <v>0</v>
      </c>
      <c r="F51" s="144">
        <v>0</v>
      </c>
      <c r="G51" s="144">
        <v>0</v>
      </c>
      <c r="H51" s="285">
        <v>0</v>
      </c>
      <c r="I51" s="507">
        <f t="shared" ref="I51:I80" si="2">SUM(G51+H51)</f>
        <v>0</v>
      </c>
    </row>
    <row r="52" spans="1:10" ht="10.5" customHeight="1" x14ac:dyDescent="0.15">
      <c r="A52" s="442"/>
      <c r="B52" s="451" t="s">
        <v>883</v>
      </c>
      <c r="C52" s="135" t="s">
        <v>1059</v>
      </c>
      <c r="D52" s="144">
        <v>0</v>
      </c>
      <c r="E52" s="144">
        <v>0</v>
      </c>
      <c r="F52" s="144">
        <v>0</v>
      </c>
      <c r="G52" s="144">
        <v>0</v>
      </c>
      <c r="H52" s="285">
        <v>0</v>
      </c>
      <c r="I52" s="507">
        <f t="shared" si="2"/>
        <v>0</v>
      </c>
    </row>
    <row r="53" spans="1:10" ht="10.5" customHeight="1" x14ac:dyDescent="0.15">
      <c r="A53" s="442"/>
      <c r="B53" s="451" t="s">
        <v>1060</v>
      </c>
      <c r="C53" s="135" t="s">
        <v>1061</v>
      </c>
      <c r="D53" s="144">
        <v>0</v>
      </c>
      <c r="E53" s="144">
        <v>0</v>
      </c>
      <c r="F53" s="144">
        <v>0</v>
      </c>
      <c r="G53" s="144">
        <v>0</v>
      </c>
      <c r="H53" s="285">
        <v>0</v>
      </c>
      <c r="I53" s="507">
        <f t="shared" si="2"/>
        <v>0</v>
      </c>
    </row>
    <row r="54" spans="1:10" ht="10.5" customHeight="1" x14ac:dyDescent="0.15">
      <c r="A54" s="442"/>
      <c r="B54" s="451" t="s">
        <v>1062</v>
      </c>
      <c r="C54" s="135" t="s">
        <v>1063</v>
      </c>
      <c r="D54" s="144">
        <v>0</v>
      </c>
      <c r="E54" s="144">
        <v>0</v>
      </c>
      <c r="F54" s="144">
        <v>0</v>
      </c>
      <c r="G54" s="144">
        <v>0</v>
      </c>
      <c r="H54" s="285">
        <v>0</v>
      </c>
      <c r="I54" s="507">
        <f t="shared" si="2"/>
        <v>0</v>
      </c>
    </row>
    <row r="55" spans="1:10" ht="10.5" customHeight="1" x14ac:dyDescent="0.15">
      <c r="A55" s="442"/>
      <c r="B55" s="451" t="s">
        <v>884</v>
      </c>
      <c r="C55" s="135" t="s">
        <v>1064</v>
      </c>
      <c r="D55" s="144">
        <v>0</v>
      </c>
      <c r="E55" s="144">
        <v>0</v>
      </c>
      <c r="F55" s="144">
        <v>0</v>
      </c>
      <c r="G55" s="144">
        <v>0</v>
      </c>
      <c r="H55" s="285">
        <v>0</v>
      </c>
      <c r="I55" s="507">
        <f t="shared" si="2"/>
        <v>0</v>
      </c>
    </row>
    <row r="56" spans="1:10" ht="10.5" customHeight="1" x14ac:dyDescent="0.15">
      <c r="A56" s="442"/>
      <c r="B56" s="451" t="s">
        <v>1065</v>
      </c>
      <c r="C56" s="135" t="s">
        <v>1073</v>
      </c>
      <c r="D56" s="144">
        <v>0</v>
      </c>
      <c r="E56" s="144">
        <v>0</v>
      </c>
      <c r="F56" s="144">
        <v>0</v>
      </c>
      <c r="G56" s="144">
        <v>0</v>
      </c>
      <c r="H56" s="285">
        <v>0</v>
      </c>
      <c r="I56" s="507">
        <f t="shared" si="2"/>
        <v>0</v>
      </c>
    </row>
    <row r="57" spans="1:10" ht="10.5" customHeight="1" x14ac:dyDescent="0.15">
      <c r="A57" s="442"/>
      <c r="B57" s="451" t="s">
        <v>1066</v>
      </c>
      <c r="C57" s="135" t="s">
        <v>1125</v>
      </c>
      <c r="D57" s="144">
        <v>0</v>
      </c>
      <c r="E57" s="144">
        <v>0</v>
      </c>
      <c r="F57" s="144">
        <v>0</v>
      </c>
      <c r="G57" s="144">
        <v>0</v>
      </c>
      <c r="H57" s="285">
        <v>0</v>
      </c>
      <c r="I57" s="507">
        <f t="shared" si="2"/>
        <v>0</v>
      </c>
    </row>
    <row r="58" spans="1:10" ht="10.5" customHeight="1" x14ac:dyDescent="0.15">
      <c r="A58" s="442"/>
      <c r="B58" s="451" t="s">
        <v>1067</v>
      </c>
      <c r="C58" s="135" t="s">
        <v>1074</v>
      </c>
      <c r="D58" s="144">
        <v>0</v>
      </c>
      <c r="E58" s="144">
        <v>0</v>
      </c>
      <c r="F58" s="144">
        <v>0</v>
      </c>
      <c r="G58" s="144">
        <v>0</v>
      </c>
      <c r="H58" s="285">
        <v>0</v>
      </c>
      <c r="I58" s="507">
        <f t="shared" si="2"/>
        <v>0</v>
      </c>
    </row>
    <row r="59" spans="1:10" ht="10.5" customHeight="1" x14ac:dyDescent="0.15">
      <c r="A59" s="442"/>
      <c r="B59" s="451" t="s">
        <v>1068</v>
      </c>
      <c r="C59" s="135" t="s">
        <v>1075</v>
      </c>
      <c r="D59" s="144">
        <v>0</v>
      </c>
      <c r="E59" s="144">
        <v>0</v>
      </c>
      <c r="F59" s="144">
        <v>0</v>
      </c>
      <c r="G59" s="144">
        <v>0</v>
      </c>
      <c r="H59" s="285">
        <v>0</v>
      </c>
      <c r="I59" s="507">
        <f t="shared" si="2"/>
        <v>0</v>
      </c>
    </row>
    <row r="60" spans="1:10" ht="10.5" customHeight="1" x14ac:dyDescent="0.15">
      <c r="A60" s="442"/>
      <c r="B60" s="451" t="s">
        <v>1069</v>
      </c>
      <c r="C60" s="135" t="s">
        <v>1076</v>
      </c>
      <c r="D60" s="144">
        <v>0</v>
      </c>
      <c r="E60" s="144">
        <v>0</v>
      </c>
      <c r="F60" s="144">
        <v>0</v>
      </c>
      <c r="G60" s="144">
        <v>0</v>
      </c>
      <c r="H60" s="285">
        <v>0</v>
      </c>
      <c r="I60" s="507">
        <f t="shared" si="2"/>
        <v>0</v>
      </c>
    </row>
    <row r="61" spans="1:10" ht="10.5" customHeight="1" x14ac:dyDescent="0.15">
      <c r="A61" s="442"/>
      <c r="B61" s="451" t="s">
        <v>1071</v>
      </c>
      <c r="C61" s="135" t="s">
        <v>1077</v>
      </c>
      <c r="D61" s="144">
        <v>0</v>
      </c>
      <c r="E61" s="144">
        <v>0</v>
      </c>
      <c r="F61" s="144">
        <v>0</v>
      </c>
      <c r="G61" s="144">
        <v>0</v>
      </c>
      <c r="H61" s="285">
        <v>0</v>
      </c>
      <c r="I61" s="507">
        <f t="shared" si="2"/>
        <v>0</v>
      </c>
    </row>
    <row r="62" spans="1:10" ht="10.5" customHeight="1" x14ac:dyDescent="0.15">
      <c r="A62" s="442"/>
      <c r="B62" s="451" t="s">
        <v>1072</v>
      </c>
      <c r="C62" s="135" t="s">
        <v>920</v>
      </c>
      <c r="D62" s="144">
        <v>0</v>
      </c>
      <c r="E62" s="144">
        <v>0</v>
      </c>
      <c r="F62" s="144">
        <v>0</v>
      </c>
      <c r="G62" s="144">
        <v>0</v>
      </c>
      <c r="H62" s="285">
        <v>0</v>
      </c>
      <c r="I62" s="507">
        <f t="shared" si="2"/>
        <v>0</v>
      </c>
    </row>
    <row r="63" spans="1:10" ht="10.5" customHeight="1" x14ac:dyDescent="0.15">
      <c r="A63" s="442"/>
      <c r="B63" s="716" t="s">
        <v>155</v>
      </c>
      <c r="C63" s="703" t="s">
        <v>178</v>
      </c>
      <c r="D63" s="144">
        <v>0</v>
      </c>
      <c r="E63" s="144">
        <v>0</v>
      </c>
      <c r="F63" s="144">
        <v>0</v>
      </c>
      <c r="G63" s="144">
        <v>0</v>
      </c>
      <c r="H63" s="285">
        <v>0</v>
      </c>
      <c r="I63" s="507">
        <f t="shared" ref="I63" si="3">SUM(G63+H63)</f>
        <v>0</v>
      </c>
    </row>
    <row r="64" spans="1:10" ht="10.5" customHeight="1" x14ac:dyDescent="0.15">
      <c r="A64" s="442"/>
      <c r="B64" s="451" t="s">
        <v>927</v>
      </c>
      <c r="C64" s="135" t="s">
        <v>959</v>
      </c>
      <c r="D64" s="144">
        <v>0</v>
      </c>
      <c r="E64" s="144">
        <v>0</v>
      </c>
      <c r="F64" s="144">
        <v>0</v>
      </c>
      <c r="G64" s="144">
        <v>0</v>
      </c>
      <c r="H64" s="285">
        <v>0</v>
      </c>
      <c r="I64" s="507">
        <f t="shared" si="2"/>
        <v>0</v>
      </c>
    </row>
    <row r="65" spans="1:9" ht="10.5" customHeight="1" x14ac:dyDescent="0.15">
      <c r="A65" s="442"/>
      <c r="B65" s="451" t="s">
        <v>928</v>
      </c>
      <c r="C65" s="135" t="s">
        <v>961</v>
      </c>
      <c r="D65" s="144">
        <v>0</v>
      </c>
      <c r="E65" s="144">
        <v>0</v>
      </c>
      <c r="F65" s="144">
        <v>0</v>
      </c>
      <c r="G65" s="144">
        <v>0</v>
      </c>
      <c r="H65" s="285">
        <v>0</v>
      </c>
      <c r="I65" s="507">
        <f t="shared" si="2"/>
        <v>0</v>
      </c>
    </row>
    <row r="66" spans="1:9" ht="10.5" customHeight="1" x14ac:dyDescent="0.15">
      <c r="A66" s="442"/>
      <c r="B66" s="451" t="s">
        <v>962</v>
      </c>
      <c r="C66" s="135" t="s">
        <v>967</v>
      </c>
      <c r="D66" s="144">
        <v>0</v>
      </c>
      <c r="E66" s="144">
        <v>0</v>
      </c>
      <c r="F66" s="144">
        <v>0</v>
      </c>
      <c r="G66" s="144">
        <v>0</v>
      </c>
      <c r="H66" s="285">
        <v>0</v>
      </c>
      <c r="I66" s="507">
        <f t="shared" si="2"/>
        <v>0</v>
      </c>
    </row>
    <row r="67" spans="1:9" ht="10.5" customHeight="1" x14ac:dyDescent="0.15">
      <c r="A67" s="442"/>
      <c r="B67" s="451" t="s">
        <v>963</v>
      </c>
      <c r="C67" s="135" t="s">
        <v>1124</v>
      </c>
      <c r="D67" s="144">
        <v>0</v>
      </c>
      <c r="E67" s="144">
        <v>0</v>
      </c>
      <c r="F67" s="144">
        <v>0</v>
      </c>
      <c r="G67" s="144">
        <v>0</v>
      </c>
      <c r="H67" s="285">
        <v>0</v>
      </c>
      <c r="I67" s="507">
        <f t="shared" si="2"/>
        <v>0</v>
      </c>
    </row>
    <row r="68" spans="1:9" ht="10.5" customHeight="1" x14ac:dyDescent="0.15">
      <c r="A68" s="442"/>
      <c r="B68" s="451" t="s">
        <v>964</v>
      </c>
      <c r="C68" s="135" t="s">
        <v>1094</v>
      </c>
      <c r="D68" s="144">
        <v>0</v>
      </c>
      <c r="E68" s="144">
        <v>0</v>
      </c>
      <c r="F68" s="144">
        <v>0</v>
      </c>
      <c r="G68" s="144">
        <v>0</v>
      </c>
      <c r="H68" s="285">
        <v>0</v>
      </c>
      <c r="I68" s="507">
        <f t="shared" si="2"/>
        <v>0</v>
      </c>
    </row>
    <row r="69" spans="1:9" ht="10.5" customHeight="1" x14ac:dyDescent="0.15">
      <c r="A69" s="442"/>
      <c r="B69" s="451" t="s">
        <v>965</v>
      </c>
      <c r="C69" s="135" t="s">
        <v>1095</v>
      </c>
      <c r="D69" s="144">
        <v>0</v>
      </c>
      <c r="E69" s="144">
        <v>0</v>
      </c>
      <c r="F69" s="144">
        <v>0</v>
      </c>
      <c r="G69" s="144">
        <v>0</v>
      </c>
      <c r="H69" s="285">
        <v>0</v>
      </c>
      <c r="I69" s="507">
        <f t="shared" si="2"/>
        <v>0</v>
      </c>
    </row>
    <row r="70" spans="1:9" ht="10.5" customHeight="1" x14ac:dyDescent="0.15">
      <c r="A70" s="442"/>
      <c r="B70" s="451" t="s">
        <v>885</v>
      </c>
      <c r="C70" s="135" t="s">
        <v>1096</v>
      </c>
      <c r="D70" s="144">
        <v>0</v>
      </c>
      <c r="E70" s="144">
        <v>0</v>
      </c>
      <c r="F70" s="144">
        <v>0</v>
      </c>
      <c r="G70" s="144">
        <v>0</v>
      </c>
      <c r="H70" s="285">
        <v>0</v>
      </c>
      <c r="I70" s="507">
        <f t="shared" si="2"/>
        <v>0</v>
      </c>
    </row>
    <row r="71" spans="1:9" ht="10.5" customHeight="1" x14ac:dyDescent="0.15">
      <c r="A71" s="442"/>
      <c r="B71" s="451" t="s">
        <v>966</v>
      </c>
      <c r="C71" s="135" t="s">
        <v>1097</v>
      </c>
      <c r="D71" s="144">
        <v>0</v>
      </c>
      <c r="E71" s="144">
        <v>0</v>
      </c>
      <c r="F71" s="144">
        <v>0</v>
      </c>
      <c r="G71" s="144">
        <v>0</v>
      </c>
      <c r="H71" s="285">
        <v>0</v>
      </c>
      <c r="I71" s="507">
        <f t="shared" si="2"/>
        <v>0</v>
      </c>
    </row>
    <row r="72" spans="1:9" ht="10.5" customHeight="1" x14ac:dyDescent="0.15">
      <c r="A72" s="442"/>
      <c r="B72" s="451" t="s">
        <v>886</v>
      </c>
      <c r="C72" s="135" t="s">
        <v>1100</v>
      </c>
      <c r="D72" s="144">
        <v>0</v>
      </c>
      <c r="E72" s="144">
        <v>0</v>
      </c>
      <c r="F72" s="144">
        <v>0</v>
      </c>
      <c r="G72" s="144">
        <v>0</v>
      </c>
      <c r="H72" s="285">
        <v>0</v>
      </c>
      <c r="I72" s="507">
        <f t="shared" si="2"/>
        <v>0</v>
      </c>
    </row>
    <row r="73" spans="1:9" ht="10.5" customHeight="1" x14ac:dyDescent="0.15">
      <c r="A73" s="442"/>
      <c r="B73" s="451" t="s">
        <v>116</v>
      </c>
      <c r="C73" s="135" t="s">
        <v>1105</v>
      </c>
      <c r="D73" s="144">
        <v>0</v>
      </c>
      <c r="E73" s="144">
        <v>0</v>
      </c>
      <c r="F73" s="144">
        <v>0</v>
      </c>
      <c r="G73" s="144">
        <v>0</v>
      </c>
      <c r="H73" s="285">
        <v>0</v>
      </c>
      <c r="I73" s="507">
        <f t="shared" si="2"/>
        <v>0</v>
      </c>
    </row>
    <row r="74" spans="1:9" ht="10.5" customHeight="1" x14ac:dyDescent="0.15">
      <c r="A74" s="442"/>
      <c r="B74" s="451" t="s">
        <v>112</v>
      </c>
      <c r="C74" s="135" t="s">
        <v>1110</v>
      </c>
      <c r="D74" s="144">
        <v>0</v>
      </c>
      <c r="E74" s="144">
        <v>0</v>
      </c>
      <c r="F74" s="144">
        <v>0</v>
      </c>
      <c r="G74" s="144">
        <v>0</v>
      </c>
      <c r="H74" s="285">
        <v>0</v>
      </c>
      <c r="I74" s="507">
        <f t="shared" si="2"/>
        <v>0</v>
      </c>
    </row>
    <row r="75" spans="1:9" ht="10.5" customHeight="1" x14ac:dyDescent="0.15">
      <c r="A75" s="442"/>
      <c r="B75" s="451" t="s">
        <v>887</v>
      </c>
      <c r="C75" s="135" t="s">
        <v>1116</v>
      </c>
      <c r="D75" s="144">
        <v>0</v>
      </c>
      <c r="E75" s="144">
        <v>0</v>
      </c>
      <c r="F75" s="144">
        <v>0</v>
      </c>
      <c r="G75" s="144">
        <v>0</v>
      </c>
      <c r="H75" s="285">
        <v>0</v>
      </c>
      <c r="I75" s="507">
        <f t="shared" si="2"/>
        <v>0</v>
      </c>
    </row>
    <row r="76" spans="1:9" ht="10.5" customHeight="1" x14ac:dyDescent="0.15">
      <c r="A76" s="442"/>
      <c r="B76" s="451" t="s">
        <v>1112</v>
      </c>
      <c r="C76" s="135" t="s">
        <v>1117</v>
      </c>
      <c r="D76" s="144">
        <v>0</v>
      </c>
      <c r="E76" s="144">
        <v>0</v>
      </c>
      <c r="F76" s="144">
        <v>0</v>
      </c>
      <c r="G76" s="144">
        <v>0</v>
      </c>
      <c r="H76" s="285">
        <v>0</v>
      </c>
      <c r="I76" s="507">
        <f t="shared" si="2"/>
        <v>0</v>
      </c>
    </row>
    <row r="77" spans="1:9" ht="10.5" customHeight="1" x14ac:dyDescent="0.15">
      <c r="A77" s="442"/>
      <c r="B77" s="451" t="s">
        <v>1113</v>
      </c>
      <c r="C77" s="135" t="s">
        <v>1118</v>
      </c>
      <c r="D77" s="144">
        <v>0</v>
      </c>
      <c r="E77" s="144">
        <v>0</v>
      </c>
      <c r="F77" s="144">
        <v>0</v>
      </c>
      <c r="G77" s="144">
        <v>0</v>
      </c>
      <c r="H77" s="285">
        <v>0</v>
      </c>
      <c r="I77" s="507">
        <f t="shared" si="2"/>
        <v>0</v>
      </c>
    </row>
    <row r="78" spans="1:9" ht="10.5" customHeight="1" x14ac:dyDescent="0.15">
      <c r="A78" s="442"/>
      <c r="B78" s="451" t="s">
        <v>1114</v>
      </c>
      <c r="C78" s="135" t="s">
        <v>1119</v>
      </c>
      <c r="D78" s="144">
        <v>0</v>
      </c>
      <c r="E78" s="144">
        <v>0</v>
      </c>
      <c r="F78" s="144">
        <v>0</v>
      </c>
      <c r="G78" s="144">
        <v>0</v>
      </c>
      <c r="H78" s="285">
        <v>0</v>
      </c>
      <c r="I78" s="507">
        <f t="shared" si="2"/>
        <v>0</v>
      </c>
    </row>
    <row r="79" spans="1:9" ht="10.5" customHeight="1" x14ac:dyDescent="0.15">
      <c r="A79" s="442"/>
      <c r="B79" s="451" t="s">
        <v>1115</v>
      </c>
      <c r="C79" s="135" t="s">
        <v>1120</v>
      </c>
      <c r="D79" s="144">
        <v>0</v>
      </c>
      <c r="E79" s="144">
        <v>0</v>
      </c>
      <c r="F79" s="144">
        <v>0</v>
      </c>
      <c r="G79" s="144">
        <v>0</v>
      </c>
      <c r="H79" s="285">
        <v>0</v>
      </c>
      <c r="I79" s="507">
        <f t="shared" si="2"/>
        <v>0</v>
      </c>
    </row>
    <row r="80" spans="1:9" ht="10.5" customHeight="1" thickBot="1" x14ac:dyDescent="0.2">
      <c r="A80" s="442"/>
      <c r="B80" s="451" t="s">
        <v>114</v>
      </c>
      <c r="C80" s="135" t="s">
        <v>1121</v>
      </c>
      <c r="D80" s="141">
        <v>0</v>
      </c>
      <c r="E80" s="141">
        <v>0</v>
      </c>
      <c r="F80" s="141">
        <v>0</v>
      </c>
      <c r="G80" s="141">
        <v>0</v>
      </c>
      <c r="H80" s="285">
        <v>0</v>
      </c>
      <c r="I80" s="507">
        <f t="shared" si="2"/>
        <v>0</v>
      </c>
    </row>
    <row r="81" spans="1:10" ht="10.5" customHeight="1" thickTop="1" thickBot="1" x14ac:dyDescent="0.2">
      <c r="A81" s="442"/>
      <c r="B81" s="451"/>
      <c r="C81" s="135" t="s">
        <v>126</v>
      </c>
      <c r="D81" s="166">
        <f>SUM(D47:D80)</f>
        <v>0</v>
      </c>
      <c r="E81" s="166">
        <f>SUM(E47:E80)</f>
        <v>0</v>
      </c>
      <c r="F81" s="166">
        <f>SUM(F47:F80)</f>
        <v>0</v>
      </c>
      <c r="G81" s="166">
        <f>SUM(G47:G80)</f>
        <v>0</v>
      </c>
      <c r="H81" s="166">
        <f>SUM(H47:H80)</f>
        <v>0</v>
      </c>
      <c r="I81" s="166">
        <f>SUM(G81+H81)</f>
        <v>0</v>
      </c>
    </row>
    <row r="82" spans="1:10" ht="10.5" customHeight="1" thickTop="1" x14ac:dyDescent="0.15">
      <c r="A82" s="442"/>
      <c r="B82" s="451"/>
      <c r="C82" s="135"/>
      <c r="D82" s="14"/>
      <c r="E82" s="14"/>
      <c r="F82" s="14"/>
      <c r="G82" s="14"/>
      <c r="H82" s="195"/>
      <c r="I82" s="167"/>
    </row>
    <row r="83" spans="1:10" ht="10.5" customHeight="1" x14ac:dyDescent="0.15">
      <c r="A83" s="442" t="s">
        <v>1197</v>
      </c>
      <c r="D83" s="14"/>
      <c r="E83" s="14"/>
      <c r="F83" s="14"/>
      <c r="G83" s="14"/>
      <c r="H83" s="195"/>
      <c r="I83" s="167"/>
    </row>
    <row r="84" spans="1:10" s="416" customFormat="1" hidden="1" x14ac:dyDescent="0.15">
      <c r="B84" s="453" t="s">
        <v>880</v>
      </c>
      <c r="C84" s="454" t="s">
        <v>1164</v>
      </c>
      <c r="D84" s="308">
        <v>0</v>
      </c>
      <c r="E84" s="308">
        <v>0</v>
      </c>
      <c r="F84" s="308">
        <v>0</v>
      </c>
      <c r="G84" s="458"/>
      <c r="H84" s="457">
        <v>0</v>
      </c>
      <c r="I84" s="494">
        <f>SUM(G84+H84)</f>
        <v>0</v>
      </c>
    </row>
    <row r="85" spans="1:10" s="416" customFormat="1" x14ac:dyDescent="0.15">
      <c r="B85" s="453" t="s">
        <v>880</v>
      </c>
      <c r="C85" s="454" t="s">
        <v>337</v>
      </c>
      <c r="D85" s="308">
        <v>0</v>
      </c>
      <c r="E85" s="308">
        <v>0</v>
      </c>
      <c r="F85" s="308">
        <v>0</v>
      </c>
      <c r="G85" s="308">
        <v>0</v>
      </c>
      <c r="H85" s="457">
        <v>0</v>
      </c>
      <c r="I85" s="494">
        <f>SUM(G85+H85)</f>
        <v>0</v>
      </c>
    </row>
    <row r="86" spans="1:10" s="416" customFormat="1" hidden="1" x14ac:dyDescent="0.15">
      <c r="A86" s="454"/>
      <c r="B86" s="453" t="s">
        <v>881</v>
      </c>
      <c r="C86" s="454" t="s">
        <v>382</v>
      </c>
      <c r="D86" s="308">
        <v>0</v>
      </c>
      <c r="E86" s="308">
        <v>0</v>
      </c>
      <c r="F86" s="308">
        <v>0</v>
      </c>
      <c r="G86" s="459"/>
      <c r="H86" s="457">
        <v>0</v>
      </c>
      <c r="I86" s="494">
        <f>SUM(G86+H86)</f>
        <v>0</v>
      </c>
    </row>
    <row r="87" spans="1:10" x14ac:dyDescent="0.15">
      <c r="A87" s="135"/>
      <c r="B87" s="451" t="s">
        <v>881</v>
      </c>
      <c r="C87" s="135" t="s">
        <v>338</v>
      </c>
      <c r="D87" s="144">
        <v>0</v>
      </c>
      <c r="E87" s="144">
        <v>0</v>
      </c>
      <c r="F87" s="144">
        <v>0</v>
      </c>
      <c r="G87" s="144">
        <v>0</v>
      </c>
      <c r="H87" s="147">
        <v>0</v>
      </c>
      <c r="I87" s="495">
        <f>SUM(G87+H87)</f>
        <v>0</v>
      </c>
      <c r="J87" s="416"/>
    </row>
    <row r="88" spans="1:10" ht="10.5" customHeight="1" x14ac:dyDescent="0.15">
      <c r="A88" s="442"/>
      <c r="B88" s="451" t="s">
        <v>882</v>
      </c>
      <c r="C88" s="135" t="s">
        <v>1058</v>
      </c>
      <c r="D88" s="144">
        <v>0</v>
      </c>
      <c r="E88" s="144">
        <v>0</v>
      </c>
      <c r="F88" s="144">
        <v>0</v>
      </c>
      <c r="G88" s="144">
        <v>0</v>
      </c>
      <c r="H88" s="285">
        <v>0</v>
      </c>
      <c r="I88" s="507">
        <f t="shared" ref="I88:I117" si="4">SUM(G88+H88)</f>
        <v>0</v>
      </c>
    </row>
    <row r="89" spans="1:10" ht="10.5" customHeight="1" x14ac:dyDescent="0.15">
      <c r="A89" s="442"/>
      <c r="B89" s="451" t="s">
        <v>883</v>
      </c>
      <c r="C89" s="135" t="s">
        <v>1059</v>
      </c>
      <c r="D89" s="144">
        <v>0</v>
      </c>
      <c r="E89" s="144">
        <v>0</v>
      </c>
      <c r="F89" s="144">
        <v>0</v>
      </c>
      <c r="G89" s="144">
        <v>0</v>
      </c>
      <c r="H89" s="285">
        <v>0</v>
      </c>
      <c r="I89" s="507">
        <f t="shared" si="4"/>
        <v>0</v>
      </c>
    </row>
    <row r="90" spans="1:10" ht="10.5" customHeight="1" x14ac:dyDescent="0.15">
      <c r="A90" s="442"/>
      <c r="B90" s="451" t="s">
        <v>1060</v>
      </c>
      <c r="C90" s="135" t="s">
        <v>1061</v>
      </c>
      <c r="D90" s="144">
        <v>0</v>
      </c>
      <c r="E90" s="144">
        <v>0</v>
      </c>
      <c r="F90" s="144">
        <v>0</v>
      </c>
      <c r="G90" s="144">
        <v>0</v>
      </c>
      <c r="H90" s="285">
        <v>0</v>
      </c>
      <c r="I90" s="507">
        <f t="shared" si="4"/>
        <v>0</v>
      </c>
    </row>
    <row r="91" spans="1:10" ht="10.5" customHeight="1" x14ac:dyDescent="0.15">
      <c r="A91" s="442"/>
      <c r="B91" s="451" t="s">
        <v>1062</v>
      </c>
      <c r="C91" s="135" t="s">
        <v>1063</v>
      </c>
      <c r="D91" s="144">
        <v>0</v>
      </c>
      <c r="E91" s="144">
        <v>0</v>
      </c>
      <c r="F91" s="144">
        <v>0</v>
      </c>
      <c r="G91" s="144">
        <v>0</v>
      </c>
      <c r="H91" s="285">
        <v>0</v>
      </c>
      <c r="I91" s="507">
        <f t="shared" si="4"/>
        <v>0</v>
      </c>
    </row>
    <row r="92" spans="1:10" ht="10.5" customHeight="1" x14ac:dyDescent="0.15">
      <c r="A92" s="442"/>
      <c r="B92" s="451" t="s">
        <v>884</v>
      </c>
      <c r="C92" s="135" t="s">
        <v>1064</v>
      </c>
      <c r="D92" s="144">
        <v>0</v>
      </c>
      <c r="E92" s="144">
        <v>0</v>
      </c>
      <c r="F92" s="144">
        <v>0</v>
      </c>
      <c r="G92" s="144">
        <v>0</v>
      </c>
      <c r="H92" s="285">
        <v>0</v>
      </c>
      <c r="I92" s="507">
        <f t="shared" si="4"/>
        <v>0</v>
      </c>
    </row>
    <row r="93" spans="1:10" ht="10.5" customHeight="1" x14ac:dyDescent="0.15">
      <c r="A93" s="442"/>
      <c r="B93" s="451" t="s">
        <v>1065</v>
      </c>
      <c r="C93" s="135" t="s">
        <v>1073</v>
      </c>
      <c r="D93" s="144">
        <v>0</v>
      </c>
      <c r="E93" s="144">
        <v>0</v>
      </c>
      <c r="F93" s="144">
        <v>0</v>
      </c>
      <c r="G93" s="144">
        <v>0</v>
      </c>
      <c r="H93" s="285">
        <v>0</v>
      </c>
      <c r="I93" s="507">
        <f t="shared" si="4"/>
        <v>0</v>
      </c>
    </row>
    <row r="94" spans="1:10" ht="10.5" customHeight="1" x14ac:dyDescent="0.15">
      <c r="A94" s="442"/>
      <c r="B94" s="451" t="s">
        <v>1066</v>
      </c>
      <c r="C94" s="135" t="s">
        <v>1125</v>
      </c>
      <c r="D94" s="144">
        <v>0</v>
      </c>
      <c r="E94" s="144">
        <v>0</v>
      </c>
      <c r="F94" s="144">
        <v>0</v>
      </c>
      <c r="G94" s="144">
        <v>0</v>
      </c>
      <c r="H94" s="285">
        <v>0</v>
      </c>
      <c r="I94" s="507">
        <f t="shared" si="4"/>
        <v>0</v>
      </c>
    </row>
    <row r="95" spans="1:10" ht="10.5" customHeight="1" x14ac:dyDescent="0.15">
      <c r="A95" s="442"/>
      <c r="B95" s="451" t="s">
        <v>1067</v>
      </c>
      <c r="C95" s="135" t="s">
        <v>1074</v>
      </c>
      <c r="D95" s="144">
        <v>0</v>
      </c>
      <c r="E95" s="144">
        <v>0</v>
      </c>
      <c r="F95" s="144">
        <v>0</v>
      </c>
      <c r="G95" s="144">
        <v>0</v>
      </c>
      <c r="H95" s="285">
        <v>0</v>
      </c>
      <c r="I95" s="507">
        <f t="shared" si="4"/>
        <v>0</v>
      </c>
    </row>
    <row r="96" spans="1:10" ht="10.5" customHeight="1" x14ac:dyDescent="0.15">
      <c r="A96" s="442"/>
      <c r="B96" s="451" t="s">
        <v>1068</v>
      </c>
      <c r="C96" s="135" t="s">
        <v>1075</v>
      </c>
      <c r="D96" s="144">
        <v>0</v>
      </c>
      <c r="E96" s="144">
        <v>0</v>
      </c>
      <c r="F96" s="144">
        <v>0</v>
      </c>
      <c r="G96" s="144">
        <v>0</v>
      </c>
      <c r="H96" s="285">
        <v>0</v>
      </c>
      <c r="I96" s="507">
        <f t="shared" si="4"/>
        <v>0</v>
      </c>
    </row>
    <row r="97" spans="1:9" ht="10.5" customHeight="1" x14ac:dyDescent="0.15">
      <c r="A97" s="442"/>
      <c r="B97" s="451" t="s">
        <v>1069</v>
      </c>
      <c r="C97" s="135" t="s">
        <v>1076</v>
      </c>
      <c r="D97" s="144">
        <v>0</v>
      </c>
      <c r="E97" s="144">
        <v>0</v>
      </c>
      <c r="F97" s="144">
        <v>0</v>
      </c>
      <c r="G97" s="144">
        <v>0</v>
      </c>
      <c r="H97" s="285">
        <v>0</v>
      </c>
      <c r="I97" s="507">
        <f t="shared" si="4"/>
        <v>0</v>
      </c>
    </row>
    <row r="98" spans="1:9" ht="10.5" customHeight="1" x14ac:dyDescent="0.15">
      <c r="A98" s="442"/>
      <c r="B98" s="451" t="s">
        <v>1071</v>
      </c>
      <c r="C98" s="135" t="s">
        <v>1077</v>
      </c>
      <c r="D98" s="144">
        <v>0</v>
      </c>
      <c r="E98" s="144">
        <v>0</v>
      </c>
      <c r="F98" s="144">
        <v>0</v>
      </c>
      <c r="G98" s="144">
        <v>0</v>
      </c>
      <c r="H98" s="285">
        <v>0</v>
      </c>
      <c r="I98" s="507">
        <f t="shared" si="4"/>
        <v>0</v>
      </c>
    </row>
    <row r="99" spans="1:9" ht="10.5" customHeight="1" x14ac:dyDescent="0.15">
      <c r="A99" s="442"/>
      <c r="B99" s="451" t="s">
        <v>1072</v>
      </c>
      <c r="C99" s="135" t="s">
        <v>920</v>
      </c>
      <c r="D99" s="144">
        <v>0</v>
      </c>
      <c r="E99" s="144">
        <v>0</v>
      </c>
      <c r="F99" s="144">
        <v>0</v>
      </c>
      <c r="G99" s="144">
        <v>0</v>
      </c>
      <c r="H99" s="285">
        <v>0</v>
      </c>
      <c r="I99" s="507">
        <f t="shared" si="4"/>
        <v>0</v>
      </c>
    </row>
    <row r="100" spans="1:9" ht="10.5" customHeight="1" x14ac:dyDescent="0.15">
      <c r="A100" s="442"/>
      <c r="B100" s="716" t="s">
        <v>155</v>
      </c>
      <c r="C100" s="703" t="s">
        <v>178</v>
      </c>
      <c r="D100" s="144">
        <v>0</v>
      </c>
      <c r="E100" s="144">
        <v>0</v>
      </c>
      <c r="F100" s="144">
        <v>0</v>
      </c>
      <c r="G100" s="144">
        <v>0</v>
      </c>
      <c r="H100" s="285">
        <v>0</v>
      </c>
      <c r="I100" s="507">
        <f t="shared" ref="I100" si="5">SUM(G100+H100)</f>
        <v>0</v>
      </c>
    </row>
    <row r="101" spans="1:9" ht="10.5" customHeight="1" x14ac:dyDescent="0.15">
      <c r="A101" s="442"/>
      <c r="B101" s="451" t="s">
        <v>927</v>
      </c>
      <c r="C101" s="135" t="s">
        <v>959</v>
      </c>
      <c r="D101" s="144">
        <v>0</v>
      </c>
      <c r="E101" s="144">
        <v>0</v>
      </c>
      <c r="F101" s="144">
        <v>0</v>
      </c>
      <c r="G101" s="144">
        <v>0</v>
      </c>
      <c r="H101" s="285">
        <v>0</v>
      </c>
      <c r="I101" s="507">
        <f t="shared" si="4"/>
        <v>0</v>
      </c>
    </row>
    <row r="102" spans="1:9" ht="10.5" customHeight="1" x14ac:dyDescent="0.15">
      <c r="A102" s="442"/>
      <c r="B102" s="451" t="s">
        <v>928</v>
      </c>
      <c r="C102" s="135" t="s">
        <v>961</v>
      </c>
      <c r="D102" s="144">
        <v>0</v>
      </c>
      <c r="E102" s="144">
        <v>0</v>
      </c>
      <c r="F102" s="144">
        <v>0</v>
      </c>
      <c r="G102" s="144">
        <v>0</v>
      </c>
      <c r="H102" s="285">
        <v>0</v>
      </c>
      <c r="I102" s="507">
        <f t="shared" si="4"/>
        <v>0</v>
      </c>
    </row>
    <row r="103" spans="1:9" ht="10.5" customHeight="1" x14ac:dyDescent="0.15">
      <c r="A103" s="442"/>
      <c r="B103" s="451" t="s">
        <v>962</v>
      </c>
      <c r="C103" s="135" t="s">
        <v>967</v>
      </c>
      <c r="D103" s="144">
        <v>0</v>
      </c>
      <c r="E103" s="144">
        <v>0</v>
      </c>
      <c r="F103" s="144">
        <v>0</v>
      </c>
      <c r="G103" s="144">
        <v>0</v>
      </c>
      <c r="H103" s="285">
        <v>0</v>
      </c>
      <c r="I103" s="507">
        <f t="shared" si="4"/>
        <v>0</v>
      </c>
    </row>
    <row r="104" spans="1:9" ht="10.5" customHeight="1" x14ac:dyDescent="0.15">
      <c r="A104" s="442"/>
      <c r="B104" s="451" t="s">
        <v>963</v>
      </c>
      <c r="C104" s="135" t="s">
        <v>1124</v>
      </c>
      <c r="D104" s="144">
        <v>0</v>
      </c>
      <c r="E104" s="144">
        <v>0</v>
      </c>
      <c r="F104" s="144">
        <v>0</v>
      </c>
      <c r="G104" s="144">
        <v>0</v>
      </c>
      <c r="H104" s="285">
        <v>0</v>
      </c>
      <c r="I104" s="507">
        <f t="shared" si="4"/>
        <v>0</v>
      </c>
    </row>
    <row r="105" spans="1:9" ht="10.5" customHeight="1" x14ac:dyDescent="0.15">
      <c r="A105" s="442"/>
      <c r="B105" s="451" t="s">
        <v>964</v>
      </c>
      <c r="C105" s="135" t="s">
        <v>1094</v>
      </c>
      <c r="D105" s="144">
        <v>0</v>
      </c>
      <c r="E105" s="144">
        <v>0</v>
      </c>
      <c r="F105" s="144">
        <v>0</v>
      </c>
      <c r="G105" s="144">
        <v>0</v>
      </c>
      <c r="H105" s="285">
        <v>0</v>
      </c>
      <c r="I105" s="507">
        <f t="shared" si="4"/>
        <v>0</v>
      </c>
    </row>
    <row r="106" spans="1:9" ht="10.5" customHeight="1" x14ac:dyDescent="0.15">
      <c r="A106" s="442"/>
      <c r="B106" s="451" t="s">
        <v>965</v>
      </c>
      <c r="C106" s="135" t="s">
        <v>1095</v>
      </c>
      <c r="D106" s="144">
        <v>0</v>
      </c>
      <c r="E106" s="144">
        <v>0</v>
      </c>
      <c r="F106" s="144">
        <v>0</v>
      </c>
      <c r="G106" s="144">
        <v>0</v>
      </c>
      <c r="H106" s="285">
        <v>0</v>
      </c>
      <c r="I106" s="507">
        <f t="shared" si="4"/>
        <v>0</v>
      </c>
    </row>
    <row r="107" spans="1:9" ht="10.5" customHeight="1" x14ac:dyDescent="0.15">
      <c r="A107" s="442"/>
      <c r="B107" s="451" t="s">
        <v>885</v>
      </c>
      <c r="C107" s="135" t="s">
        <v>1096</v>
      </c>
      <c r="D107" s="144">
        <v>0</v>
      </c>
      <c r="E107" s="144">
        <v>0</v>
      </c>
      <c r="F107" s="144">
        <v>0</v>
      </c>
      <c r="G107" s="144">
        <v>0</v>
      </c>
      <c r="H107" s="285">
        <v>0</v>
      </c>
      <c r="I107" s="507">
        <f t="shared" si="4"/>
        <v>0</v>
      </c>
    </row>
    <row r="108" spans="1:9" ht="10.5" customHeight="1" x14ac:dyDescent="0.15">
      <c r="A108" s="442"/>
      <c r="B108" s="451" t="s">
        <v>966</v>
      </c>
      <c r="C108" s="135" t="s">
        <v>1097</v>
      </c>
      <c r="D108" s="144">
        <v>0</v>
      </c>
      <c r="E108" s="144">
        <v>0</v>
      </c>
      <c r="F108" s="144">
        <v>0</v>
      </c>
      <c r="G108" s="144">
        <v>0</v>
      </c>
      <c r="H108" s="285">
        <v>0</v>
      </c>
      <c r="I108" s="507">
        <f t="shared" si="4"/>
        <v>0</v>
      </c>
    </row>
    <row r="109" spans="1:9" ht="10.5" customHeight="1" x14ac:dyDescent="0.15">
      <c r="A109" s="442"/>
      <c r="B109" s="451" t="s">
        <v>886</v>
      </c>
      <c r="C109" s="135" t="s">
        <v>1100</v>
      </c>
      <c r="D109" s="144">
        <v>0</v>
      </c>
      <c r="E109" s="144">
        <v>0</v>
      </c>
      <c r="F109" s="144">
        <v>0</v>
      </c>
      <c r="G109" s="144">
        <v>0</v>
      </c>
      <c r="H109" s="285">
        <v>0</v>
      </c>
      <c r="I109" s="507">
        <f t="shared" si="4"/>
        <v>0</v>
      </c>
    </row>
    <row r="110" spans="1:9" ht="10.5" customHeight="1" x14ac:dyDescent="0.15">
      <c r="A110" s="442"/>
      <c r="B110" s="451" t="s">
        <v>116</v>
      </c>
      <c r="C110" s="135" t="s">
        <v>1105</v>
      </c>
      <c r="D110" s="144">
        <v>0</v>
      </c>
      <c r="E110" s="144">
        <v>0</v>
      </c>
      <c r="F110" s="144">
        <v>0</v>
      </c>
      <c r="G110" s="144">
        <v>0</v>
      </c>
      <c r="H110" s="285">
        <v>0</v>
      </c>
      <c r="I110" s="507">
        <f t="shared" si="4"/>
        <v>0</v>
      </c>
    </row>
    <row r="111" spans="1:9" ht="10.5" customHeight="1" x14ac:dyDescent="0.15">
      <c r="A111" s="442"/>
      <c r="B111" s="451" t="s">
        <v>112</v>
      </c>
      <c r="C111" s="135" t="s">
        <v>1110</v>
      </c>
      <c r="D111" s="144">
        <v>0</v>
      </c>
      <c r="E111" s="144">
        <v>0</v>
      </c>
      <c r="F111" s="144">
        <v>0</v>
      </c>
      <c r="G111" s="144">
        <v>0</v>
      </c>
      <c r="H111" s="285">
        <v>0</v>
      </c>
      <c r="I111" s="507">
        <f t="shared" si="4"/>
        <v>0</v>
      </c>
    </row>
    <row r="112" spans="1:9" ht="10.5" customHeight="1" x14ac:dyDescent="0.15">
      <c r="A112" s="442"/>
      <c r="B112" s="451" t="s">
        <v>887</v>
      </c>
      <c r="C112" s="135" t="s">
        <v>1116</v>
      </c>
      <c r="D112" s="144">
        <v>0</v>
      </c>
      <c r="E112" s="144">
        <v>0</v>
      </c>
      <c r="F112" s="144">
        <v>0</v>
      </c>
      <c r="G112" s="144">
        <v>0</v>
      </c>
      <c r="H112" s="285">
        <v>0</v>
      </c>
      <c r="I112" s="507">
        <f t="shared" si="4"/>
        <v>0</v>
      </c>
    </row>
    <row r="113" spans="1:10" ht="10.5" customHeight="1" x14ac:dyDescent="0.15">
      <c r="A113" s="442"/>
      <c r="B113" s="451" t="s">
        <v>1112</v>
      </c>
      <c r="C113" s="135" t="s">
        <v>1117</v>
      </c>
      <c r="D113" s="144">
        <v>0</v>
      </c>
      <c r="E113" s="144">
        <v>0</v>
      </c>
      <c r="F113" s="144">
        <v>0</v>
      </c>
      <c r="G113" s="144">
        <v>0</v>
      </c>
      <c r="H113" s="285">
        <v>0</v>
      </c>
      <c r="I113" s="507">
        <f t="shared" si="4"/>
        <v>0</v>
      </c>
    </row>
    <row r="114" spans="1:10" ht="10.5" customHeight="1" x14ac:dyDescent="0.15">
      <c r="A114" s="442"/>
      <c r="B114" s="451" t="s">
        <v>1113</v>
      </c>
      <c r="C114" s="135" t="s">
        <v>1118</v>
      </c>
      <c r="D114" s="144">
        <v>0</v>
      </c>
      <c r="E114" s="144">
        <v>0</v>
      </c>
      <c r="F114" s="144">
        <v>0</v>
      </c>
      <c r="G114" s="144">
        <v>0</v>
      </c>
      <c r="H114" s="285">
        <v>0</v>
      </c>
      <c r="I114" s="507">
        <f t="shared" si="4"/>
        <v>0</v>
      </c>
    </row>
    <row r="115" spans="1:10" ht="10.5" customHeight="1" x14ac:dyDescent="0.15">
      <c r="A115" s="442"/>
      <c r="B115" s="451" t="s">
        <v>1114</v>
      </c>
      <c r="C115" s="135" t="s">
        <v>1119</v>
      </c>
      <c r="D115" s="144">
        <v>0</v>
      </c>
      <c r="E115" s="144">
        <v>0</v>
      </c>
      <c r="F115" s="144">
        <v>0</v>
      </c>
      <c r="G115" s="144">
        <v>0</v>
      </c>
      <c r="H115" s="285">
        <v>0</v>
      </c>
      <c r="I115" s="507">
        <f t="shared" si="4"/>
        <v>0</v>
      </c>
    </row>
    <row r="116" spans="1:10" ht="10.5" customHeight="1" x14ac:dyDescent="0.15">
      <c r="A116" s="442"/>
      <c r="B116" s="451" t="s">
        <v>1115</v>
      </c>
      <c r="C116" s="135" t="s">
        <v>1120</v>
      </c>
      <c r="D116" s="144">
        <v>0</v>
      </c>
      <c r="E116" s="144">
        <v>0</v>
      </c>
      <c r="F116" s="144">
        <v>0</v>
      </c>
      <c r="G116" s="144">
        <v>0</v>
      </c>
      <c r="H116" s="285">
        <v>0</v>
      </c>
      <c r="I116" s="507">
        <f t="shared" si="4"/>
        <v>0</v>
      </c>
    </row>
    <row r="117" spans="1:10" ht="10.5" customHeight="1" thickBot="1" x14ac:dyDescent="0.2">
      <c r="A117" s="442"/>
      <c r="B117" s="451" t="s">
        <v>114</v>
      </c>
      <c r="C117" s="135" t="s">
        <v>1121</v>
      </c>
      <c r="D117" s="141">
        <v>0</v>
      </c>
      <c r="E117" s="141">
        <v>0</v>
      </c>
      <c r="F117" s="141">
        <v>0</v>
      </c>
      <c r="G117" s="141">
        <v>0</v>
      </c>
      <c r="H117" s="285">
        <v>0</v>
      </c>
      <c r="I117" s="507">
        <f t="shared" si="4"/>
        <v>0</v>
      </c>
    </row>
    <row r="118" spans="1:10" ht="10.5" customHeight="1" thickTop="1" thickBot="1" x14ac:dyDescent="0.2">
      <c r="A118" s="442"/>
      <c r="B118" s="451"/>
      <c r="C118" s="135" t="s">
        <v>1198</v>
      </c>
      <c r="D118" s="166">
        <f>SUM(D84:D117)</f>
        <v>0</v>
      </c>
      <c r="E118" s="166">
        <f>SUM(E84:E117)</f>
        <v>0</v>
      </c>
      <c r="F118" s="166">
        <f>SUM(F84:F117)</f>
        <v>0</v>
      </c>
      <c r="G118" s="166">
        <f>SUM(G84:G117)</f>
        <v>0</v>
      </c>
      <c r="H118" s="166">
        <f>SUM(H84:H117)</f>
        <v>0</v>
      </c>
      <c r="I118" s="166">
        <f>SUM(G118+H118)</f>
        <v>0</v>
      </c>
    </row>
    <row r="119" spans="1:10" ht="10.5" customHeight="1" thickTop="1" x14ac:dyDescent="0.15">
      <c r="A119" s="442"/>
      <c r="B119" s="451"/>
      <c r="C119" s="135"/>
      <c r="D119" s="14"/>
      <c r="E119" s="14"/>
      <c r="F119" s="14"/>
      <c r="G119" s="14"/>
      <c r="H119" s="195"/>
      <c r="I119" s="167"/>
    </row>
    <row r="120" spans="1:10" ht="10.5" customHeight="1" x14ac:dyDescent="0.15">
      <c r="A120" s="442" t="s">
        <v>127</v>
      </c>
      <c r="C120" s="135"/>
      <c r="D120" s="14"/>
      <c r="E120" s="14"/>
      <c r="F120" s="14"/>
      <c r="G120" s="14"/>
      <c r="H120" s="195"/>
      <c r="I120" s="167"/>
    </row>
    <row r="121" spans="1:10" s="416" customFormat="1" hidden="1" x14ac:dyDescent="0.15">
      <c r="B121" s="453" t="s">
        <v>880</v>
      </c>
      <c r="C121" s="454" t="s">
        <v>1164</v>
      </c>
      <c r="D121" s="308">
        <v>0</v>
      </c>
      <c r="E121" s="308">
        <v>0</v>
      </c>
      <c r="F121" s="308">
        <v>0</v>
      </c>
      <c r="G121" s="458"/>
      <c r="H121" s="457">
        <v>0</v>
      </c>
      <c r="I121" s="494">
        <f>SUM(G121+H121)</f>
        <v>0</v>
      </c>
    </row>
    <row r="122" spans="1:10" s="416" customFormat="1" x14ac:dyDescent="0.15">
      <c r="B122" s="453" t="s">
        <v>880</v>
      </c>
      <c r="C122" s="454" t="s">
        <v>337</v>
      </c>
      <c r="D122" s="308">
        <v>0</v>
      </c>
      <c r="E122" s="308">
        <v>0</v>
      </c>
      <c r="F122" s="308">
        <v>0</v>
      </c>
      <c r="G122" s="308">
        <v>0</v>
      </c>
      <c r="H122" s="457">
        <v>0</v>
      </c>
      <c r="I122" s="494">
        <f>SUM(G122+H122)</f>
        <v>0</v>
      </c>
    </row>
    <row r="123" spans="1:10" s="416" customFormat="1" hidden="1" x14ac:dyDescent="0.15">
      <c r="A123" s="454"/>
      <c r="B123" s="453" t="s">
        <v>881</v>
      </c>
      <c r="C123" s="454" t="s">
        <v>382</v>
      </c>
      <c r="D123" s="308">
        <v>0</v>
      </c>
      <c r="E123" s="308">
        <v>0</v>
      </c>
      <c r="F123" s="308">
        <v>0</v>
      </c>
      <c r="G123" s="459"/>
      <c r="H123" s="457">
        <v>0</v>
      </c>
      <c r="I123" s="494">
        <f>SUM(G123+H123)</f>
        <v>0</v>
      </c>
    </row>
    <row r="124" spans="1:10" x14ac:dyDescent="0.15">
      <c r="A124" s="135"/>
      <c r="B124" s="451" t="s">
        <v>881</v>
      </c>
      <c r="C124" s="135" t="s">
        <v>338</v>
      </c>
      <c r="D124" s="144">
        <v>0</v>
      </c>
      <c r="E124" s="144">
        <v>0</v>
      </c>
      <c r="F124" s="144">
        <v>0</v>
      </c>
      <c r="G124" s="144">
        <v>0</v>
      </c>
      <c r="H124" s="147">
        <v>0</v>
      </c>
      <c r="I124" s="495">
        <f>SUM(G124+H124)</f>
        <v>0</v>
      </c>
      <c r="J124" s="416"/>
    </row>
    <row r="125" spans="1:10" ht="10.5" customHeight="1" x14ac:dyDescent="0.15">
      <c r="A125" s="442"/>
      <c r="B125" s="451" t="s">
        <v>882</v>
      </c>
      <c r="C125" s="135" t="s">
        <v>1058</v>
      </c>
      <c r="D125" s="144">
        <v>0</v>
      </c>
      <c r="E125" s="144">
        <v>0</v>
      </c>
      <c r="F125" s="144">
        <v>0</v>
      </c>
      <c r="G125" s="144">
        <v>0</v>
      </c>
      <c r="H125" s="285">
        <v>0</v>
      </c>
      <c r="I125" s="507">
        <f t="shared" ref="I125:I148" si="6">SUM(G125+H125)</f>
        <v>0</v>
      </c>
    </row>
    <row r="126" spans="1:10" ht="10.5" customHeight="1" x14ac:dyDescent="0.15">
      <c r="A126" s="442"/>
      <c r="B126" s="451" t="s">
        <v>883</v>
      </c>
      <c r="C126" s="135" t="s">
        <v>1059</v>
      </c>
      <c r="D126" s="144">
        <v>0</v>
      </c>
      <c r="E126" s="144">
        <v>0</v>
      </c>
      <c r="F126" s="144">
        <v>0</v>
      </c>
      <c r="G126" s="144">
        <v>0</v>
      </c>
      <c r="H126" s="285">
        <v>0</v>
      </c>
      <c r="I126" s="507">
        <f t="shared" si="6"/>
        <v>0</v>
      </c>
    </row>
    <row r="127" spans="1:10" ht="10.5" customHeight="1" x14ac:dyDescent="0.15">
      <c r="A127" s="442"/>
      <c r="B127" s="451" t="s">
        <v>1060</v>
      </c>
      <c r="C127" s="135" t="s">
        <v>1061</v>
      </c>
      <c r="D127" s="144">
        <v>0</v>
      </c>
      <c r="E127" s="144">
        <v>0</v>
      </c>
      <c r="F127" s="144">
        <v>0</v>
      </c>
      <c r="G127" s="144">
        <v>0</v>
      </c>
      <c r="H127" s="285">
        <v>0</v>
      </c>
      <c r="I127" s="507">
        <f t="shared" si="6"/>
        <v>0</v>
      </c>
    </row>
    <row r="128" spans="1:10" ht="10.5" customHeight="1" x14ac:dyDescent="0.15">
      <c r="A128" s="442"/>
      <c r="B128" s="451" t="s">
        <v>1062</v>
      </c>
      <c r="C128" s="135" t="s">
        <v>1063</v>
      </c>
      <c r="D128" s="144">
        <v>0</v>
      </c>
      <c r="E128" s="144">
        <v>0</v>
      </c>
      <c r="F128" s="144">
        <v>0</v>
      </c>
      <c r="G128" s="144">
        <v>0</v>
      </c>
      <c r="H128" s="285">
        <v>0</v>
      </c>
      <c r="I128" s="507">
        <f t="shared" si="6"/>
        <v>0</v>
      </c>
    </row>
    <row r="129" spans="1:9" ht="10.5" customHeight="1" x14ac:dyDescent="0.15">
      <c r="A129" s="442"/>
      <c r="B129" s="451" t="s">
        <v>884</v>
      </c>
      <c r="C129" s="135" t="s">
        <v>1064</v>
      </c>
      <c r="D129" s="144">
        <v>0</v>
      </c>
      <c r="E129" s="144">
        <v>0</v>
      </c>
      <c r="F129" s="144">
        <v>0</v>
      </c>
      <c r="G129" s="144">
        <v>0</v>
      </c>
      <c r="H129" s="285">
        <v>0</v>
      </c>
      <c r="I129" s="507">
        <f t="shared" si="6"/>
        <v>0</v>
      </c>
    </row>
    <row r="130" spans="1:9" ht="10.5" customHeight="1" x14ac:dyDescent="0.15">
      <c r="A130" s="442"/>
      <c r="B130" s="716" t="s">
        <v>155</v>
      </c>
      <c r="C130" s="703" t="s">
        <v>178</v>
      </c>
      <c r="D130" s="144">
        <v>0</v>
      </c>
      <c r="E130" s="144">
        <v>0</v>
      </c>
      <c r="F130" s="144">
        <v>0</v>
      </c>
      <c r="G130" s="144">
        <v>0</v>
      </c>
      <c r="H130" s="285">
        <v>0</v>
      </c>
      <c r="I130" s="507">
        <f t="shared" ref="I130" si="7">SUM(G130+H130)</f>
        <v>0</v>
      </c>
    </row>
    <row r="131" spans="1:9" ht="10.5" customHeight="1" x14ac:dyDescent="0.15">
      <c r="A131" s="442"/>
      <c r="B131" s="451" t="s">
        <v>927</v>
      </c>
      <c r="C131" s="135" t="s">
        <v>959</v>
      </c>
      <c r="D131" s="144">
        <v>0</v>
      </c>
      <c r="E131" s="144">
        <v>0</v>
      </c>
      <c r="F131" s="144">
        <v>0</v>
      </c>
      <c r="G131" s="144">
        <v>0</v>
      </c>
      <c r="H131" s="285">
        <v>0</v>
      </c>
      <c r="I131" s="507">
        <f t="shared" si="6"/>
        <v>0</v>
      </c>
    </row>
    <row r="132" spans="1:9" ht="10.5" customHeight="1" x14ac:dyDescent="0.15">
      <c r="A132" s="442"/>
      <c r="B132" s="451" t="s">
        <v>928</v>
      </c>
      <c r="C132" s="135" t="s">
        <v>961</v>
      </c>
      <c r="D132" s="144">
        <v>0</v>
      </c>
      <c r="E132" s="144">
        <v>0</v>
      </c>
      <c r="F132" s="144">
        <v>0</v>
      </c>
      <c r="G132" s="144">
        <v>0</v>
      </c>
      <c r="H132" s="285">
        <v>0</v>
      </c>
      <c r="I132" s="507">
        <f t="shared" si="6"/>
        <v>0</v>
      </c>
    </row>
    <row r="133" spans="1:9" ht="10.5" customHeight="1" x14ac:dyDescent="0.15">
      <c r="A133" s="442"/>
      <c r="B133" s="451" t="s">
        <v>962</v>
      </c>
      <c r="C133" s="135" t="s">
        <v>967</v>
      </c>
      <c r="D133" s="144">
        <v>0</v>
      </c>
      <c r="E133" s="144">
        <v>0</v>
      </c>
      <c r="F133" s="144">
        <v>0</v>
      </c>
      <c r="G133" s="144">
        <v>0</v>
      </c>
      <c r="H133" s="285">
        <v>0</v>
      </c>
      <c r="I133" s="507">
        <f t="shared" si="6"/>
        <v>0</v>
      </c>
    </row>
    <row r="134" spans="1:9" ht="10.5" customHeight="1" x14ac:dyDescent="0.15">
      <c r="A134" s="442"/>
      <c r="B134" s="451" t="s">
        <v>963</v>
      </c>
      <c r="C134" s="135" t="s">
        <v>1124</v>
      </c>
      <c r="D134" s="144">
        <v>0</v>
      </c>
      <c r="E134" s="144">
        <v>0</v>
      </c>
      <c r="F134" s="144">
        <v>0</v>
      </c>
      <c r="G134" s="144">
        <v>0</v>
      </c>
      <c r="H134" s="285">
        <v>0</v>
      </c>
      <c r="I134" s="507">
        <f t="shared" si="6"/>
        <v>0</v>
      </c>
    </row>
    <row r="135" spans="1:9" ht="10.5" customHeight="1" x14ac:dyDescent="0.15">
      <c r="A135" s="442"/>
      <c r="B135" s="451" t="s">
        <v>964</v>
      </c>
      <c r="C135" s="135" t="s">
        <v>1094</v>
      </c>
      <c r="D135" s="144">
        <v>0</v>
      </c>
      <c r="E135" s="144">
        <v>0</v>
      </c>
      <c r="F135" s="144">
        <v>0</v>
      </c>
      <c r="G135" s="144">
        <v>0</v>
      </c>
      <c r="H135" s="285">
        <v>0</v>
      </c>
      <c r="I135" s="507">
        <f t="shared" si="6"/>
        <v>0</v>
      </c>
    </row>
    <row r="136" spans="1:9" ht="10.5" customHeight="1" x14ac:dyDescent="0.15">
      <c r="A136" s="442"/>
      <c r="B136" s="451" t="s">
        <v>965</v>
      </c>
      <c r="C136" s="135" t="s">
        <v>1095</v>
      </c>
      <c r="D136" s="144">
        <v>0</v>
      </c>
      <c r="E136" s="144">
        <v>0</v>
      </c>
      <c r="F136" s="144">
        <v>0</v>
      </c>
      <c r="G136" s="144">
        <v>0</v>
      </c>
      <c r="H136" s="285">
        <v>0</v>
      </c>
      <c r="I136" s="507">
        <f t="shared" si="6"/>
        <v>0</v>
      </c>
    </row>
    <row r="137" spans="1:9" ht="10.5" customHeight="1" x14ac:dyDescent="0.15">
      <c r="A137" s="442"/>
      <c r="B137" s="451" t="s">
        <v>1239</v>
      </c>
      <c r="C137" s="135" t="s">
        <v>1352</v>
      </c>
      <c r="D137" s="144">
        <v>0</v>
      </c>
      <c r="E137" s="144">
        <v>0</v>
      </c>
      <c r="F137" s="144">
        <v>0</v>
      </c>
      <c r="G137" s="144">
        <v>0</v>
      </c>
      <c r="H137" s="285">
        <v>0</v>
      </c>
      <c r="I137" s="507">
        <f t="shared" si="6"/>
        <v>0</v>
      </c>
    </row>
    <row r="138" spans="1:9" ht="10.5" customHeight="1" x14ac:dyDescent="0.15">
      <c r="A138" s="442"/>
      <c r="B138" s="451" t="s">
        <v>885</v>
      </c>
      <c r="C138" s="135" t="s">
        <v>1096</v>
      </c>
      <c r="D138" s="144">
        <v>0</v>
      </c>
      <c r="E138" s="144">
        <v>0</v>
      </c>
      <c r="F138" s="144">
        <v>0</v>
      </c>
      <c r="G138" s="144">
        <v>0</v>
      </c>
      <c r="H138" s="285">
        <v>0</v>
      </c>
      <c r="I138" s="507">
        <f t="shared" si="6"/>
        <v>0</v>
      </c>
    </row>
    <row r="139" spans="1:9" ht="10.5" customHeight="1" x14ac:dyDescent="0.15">
      <c r="A139" s="442"/>
      <c r="B139" s="451" t="s">
        <v>966</v>
      </c>
      <c r="C139" s="135" t="s">
        <v>1097</v>
      </c>
      <c r="D139" s="144">
        <v>0</v>
      </c>
      <c r="E139" s="144">
        <v>0</v>
      </c>
      <c r="F139" s="144">
        <v>0</v>
      </c>
      <c r="G139" s="144">
        <v>0</v>
      </c>
      <c r="H139" s="285">
        <v>0</v>
      </c>
      <c r="I139" s="507">
        <f t="shared" si="6"/>
        <v>0</v>
      </c>
    </row>
    <row r="140" spans="1:9" ht="10.5" customHeight="1" x14ac:dyDescent="0.15">
      <c r="A140" s="442"/>
      <c r="B140" s="451" t="s">
        <v>886</v>
      </c>
      <c r="C140" s="135" t="s">
        <v>1100</v>
      </c>
      <c r="D140" s="144">
        <v>0</v>
      </c>
      <c r="E140" s="144">
        <v>0</v>
      </c>
      <c r="F140" s="144">
        <v>0</v>
      </c>
      <c r="G140" s="144">
        <v>0</v>
      </c>
      <c r="H140" s="285">
        <v>0</v>
      </c>
      <c r="I140" s="507">
        <f t="shared" si="6"/>
        <v>0</v>
      </c>
    </row>
    <row r="141" spans="1:9" ht="10.5" customHeight="1" x14ac:dyDescent="0.15">
      <c r="A141" s="442"/>
      <c r="B141" s="451" t="s">
        <v>116</v>
      </c>
      <c r="C141" s="135" t="s">
        <v>1105</v>
      </c>
      <c r="D141" s="144">
        <v>0</v>
      </c>
      <c r="E141" s="144">
        <v>0</v>
      </c>
      <c r="F141" s="144">
        <v>0</v>
      </c>
      <c r="G141" s="144">
        <v>0</v>
      </c>
      <c r="H141" s="285">
        <v>0</v>
      </c>
      <c r="I141" s="507">
        <f t="shared" si="6"/>
        <v>0</v>
      </c>
    </row>
    <row r="142" spans="1:9" ht="10.5" customHeight="1" x14ac:dyDescent="0.15">
      <c r="A142" s="442"/>
      <c r="B142" s="451" t="s">
        <v>112</v>
      </c>
      <c r="C142" s="135" t="s">
        <v>1110</v>
      </c>
      <c r="D142" s="144">
        <v>0</v>
      </c>
      <c r="E142" s="144">
        <v>0</v>
      </c>
      <c r="F142" s="144">
        <v>0</v>
      </c>
      <c r="G142" s="144">
        <v>0</v>
      </c>
      <c r="H142" s="285">
        <v>0</v>
      </c>
      <c r="I142" s="507">
        <f t="shared" si="6"/>
        <v>0</v>
      </c>
    </row>
    <row r="143" spans="1:9" ht="10.5" customHeight="1" x14ac:dyDescent="0.15">
      <c r="A143" s="442"/>
      <c r="B143" s="451" t="s">
        <v>887</v>
      </c>
      <c r="C143" s="135" t="s">
        <v>1116</v>
      </c>
      <c r="D143" s="144">
        <v>0</v>
      </c>
      <c r="E143" s="144">
        <v>0</v>
      </c>
      <c r="F143" s="144">
        <v>0</v>
      </c>
      <c r="G143" s="144">
        <v>0</v>
      </c>
      <c r="H143" s="285">
        <v>0</v>
      </c>
      <c r="I143" s="507">
        <f t="shared" si="6"/>
        <v>0</v>
      </c>
    </row>
    <row r="144" spans="1:9" ht="10.5" customHeight="1" x14ac:dyDescent="0.15">
      <c r="A144" s="442"/>
      <c r="B144" s="451" t="s">
        <v>1112</v>
      </c>
      <c r="C144" s="135" t="s">
        <v>1117</v>
      </c>
      <c r="D144" s="144">
        <v>0</v>
      </c>
      <c r="E144" s="144">
        <v>0</v>
      </c>
      <c r="F144" s="144">
        <v>0</v>
      </c>
      <c r="G144" s="144">
        <v>0</v>
      </c>
      <c r="H144" s="285">
        <v>0</v>
      </c>
      <c r="I144" s="507">
        <f t="shared" si="6"/>
        <v>0</v>
      </c>
    </row>
    <row r="145" spans="1:10" ht="10.5" customHeight="1" x14ac:dyDescent="0.15">
      <c r="A145" s="442"/>
      <c r="B145" s="451" t="s">
        <v>1113</v>
      </c>
      <c r="C145" s="135" t="s">
        <v>1118</v>
      </c>
      <c r="D145" s="144">
        <v>0</v>
      </c>
      <c r="E145" s="144">
        <v>0</v>
      </c>
      <c r="F145" s="144">
        <v>0</v>
      </c>
      <c r="G145" s="144">
        <v>0</v>
      </c>
      <c r="H145" s="285">
        <v>0</v>
      </c>
      <c r="I145" s="507">
        <f t="shared" si="6"/>
        <v>0</v>
      </c>
    </row>
    <row r="146" spans="1:10" ht="10.5" customHeight="1" x14ac:dyDescent="0.15">
      <c r="A146" s="442"/>
      <c r="B146" s="451" t="s">
        <v>1114</v>
      </c>
      <c r="C146" s="135" t="s">
        <v>1119</v>
      </c>
      <c r="D146" s="144">
        <v>0</v>
      </c>
      <c r="E146" s="144">
        <v>0</v>
      </c>
      <c r="F146" s="144">
        <v>0</v>
      </c>
      <c r="G146" s="144">
        <v>0</v>
      </c>
      <c r="H146" s="285">
        <v>0</v>
      </c>
      <c r="I146" s="507">
        <f t="shared" si="6"/>
        <v>0</v>
      </c>
    </row>
    <row r="147" spans="1:10" ht="10.5" customHeight="1" x14ac:dyDescent="0.15">
      <c r="A147" s="442"/>
      <c r="B147" s="451" t="s">
        <v>1115</v>
      </c>
      <c r="C147" s="135" t="s">
        <v>1120</v>
      </c>
      <c r="D147" s="144">
        <v>0</v>
      </c>
      <c r="E147" s="144">
        <v>0</v>
      </c>
      <c r="F147" s="144">
        <v>0</v>
      </c>
      <c r="G147" s="144">
        <v>0</v>
      </c>
      <c r="H147" s="285">
        <v>0</v>
      </c>
      <c r="I147" s="507">
        <f t="shared" si="6"/>
        <v>0</v>
      </c>
    </row>
    <row r="148" spans="1:10" ht="10.5" customHeight="1" thickBot="1" x14ac:dyDescent="0.2">
      <c r="A148" s="442"/>
      <c r="B148" s="451" t="s">
        <v>114</v>
      </c>
      <c r="C148" s="135" t="s">
        <v>1121</v>
      </c>
      <c r="D148" s="141">
        <v>0</v>
      </c>
      <c r="E148" s="141">
        <v>0</v>
      </c>
      <c r="F148" s="141">
        <v>0</v>
      </c>
      <c r="G148" s="141">
        <v>0</v>
      </c>
      <c r="H148" s="285">
        <v>0</v>
      </c>
      <c r="I148" s="507">
        <f t="shared" si="6"/>
        <v>0</v>
      </c>
    </row>
    <row r="149" spans="1:10" ht="10.5" customHeight="1" thickTop="1" thickBot="1" x14ac:dyDescent="0.2">
      <c r="A149" s="442"/>
      <c r="B149" s="451"/>
      <c r="C149" s="135" t="s">
        <v>128</v>
      </c>
      <c r="D149" s="166">
        <f>SUM(D121:D148)</f>
        <v>0</v>
      </c>
      <c r="E149" s="166">
        <f>SUM(E121:E148)</f>
        <v>0</v>
      </c>
      <c r="F149" s="166">
        <f>SUM(F121:F148)</f>
        <v>0</v>
      </c>
      <c r="G149" s="166">
        <f>SUM(G121:G148)</f>
        <v>0</v>
      </c>
      <c r="H149" s="166">
        <f>SUM(H121:H148)</f>
        <v>0</v>
      </c>
      <c r="I149" s="166">
        <f>SUM(G149+H149)</f>
        <v>0</v>
      </c>
    </row>
    <row r="150" spans="1:10" ht="10.5" customHeight="1" thickTop="1" x14ac:dyDescent="0.15">
      <c r="A150" s="442"/>
      <c r="B150" s="451"/>
      <c r="C150" s="135"/>
      <c r="D150" s="14"/>
      <c r="E150" s="14"/>
      <c r="F150" s="14"/>
      <c r="G150" s="14"/>
      <c r="H150" s="14"/>
      <c r="I150" s="491"/>
    </row>
    <row r="151" spans="1:10" ht="10.5" customHeight="1" x14ac:dyDescent="0.15">
      <c r="A151" s="442" t="s">
        <v>1587</v>
      </c>
      <c r="C151" s="135"/>
      <c r="D151" s="14"/>
      <c r="E151" s="14"/>
      <c r="F151" s="14"/>
      <c r="G151" s="14"/>
      <c r="H151" s="195"/>
      <c r="I151" s="167"/>
    </row>
    <row r="152" spans="1:10" s="416" customFormat="1" hidden="1" x14ac:dyDescent="0.15">
      <c r="B152" s="453" t="s">
        <v>880</v>
      </c>
      <c r="C152" s="454" t="s">
        <v>1164</v>
      </c>
      <c r="D152" s="308">
        <v>0</v>
      </c>
      <c r="E152" s="308">
        <v>0</v>
      </c>
      <c r="F152" s="308">
        <v>0</v>
      </c>
      <c r="G152" s="458"/>
      <c r="H152" s="457">
        <v>0</v>
      </c>
      <c r="I152" s="494">
        <f>SUM(G152+H152)</f>
        <v>0</v>
      </c>
    </row>
    <row r="153" spans="1:10" s="416" customFormat="1" x14ac:dyDescent="0.15">
      <c r="B153" s="453" t="s">
        <v>880</v>
      </c>
      <c r="C153" s="454" t="s">
        <v>337</v>
      </c>
      <c r="D153" s="308">
        <v>0</v>
      </c>
      <c r="E153" s="308">
        <v>0</v>
      </c>
      <c r="F153" s="308">
        <v>0</v>
      </c>
      <c r="G153" s="308">
        <v>0</v>
      </c>
      <c r="H153" s="457">
        <v>0</v>
      </c>
      <c r="I153" s="494">
        <f>SUM(G153+H153)</f>
        <v>0</v>
      </c>
    </row>
    <row r="154" spans="1:10" s="416" customFormat="1" hidden="1" x14ac:dyDescent="0.15">
      <c r="A154" s="454"/>
      <c r="B154" s="453" t="s">
        <v>881</v>
      </c>
      <c r="C154" s="454" t="s">
        <v>382</v>
      </c>
      <c r="D154" s="308">
        <v>0</v>
      </c>
      <c r="E154" s="308">
        <v>0</v>
      </c>
      <c r="F154" s="308">
        <v>0</v>
      </c>
      <c r="G154" s="459"/>
      <c r="H154" s="457">
        <v>0</v>
      </c>
      <c r="I154" s="494">
        <f>SUM(G154+H154)</f>
        <v>0</v>
      </c>
    </row>
    <row r="155" spans="1:10" x14ac:dyDescent="0.15">
      <c r="A155" s="135"/>
      <c r="B155" s="451" t="s">
        <v>881</v>
      </c>
      <c r="C155" s="135" t="s">
        <v>338</v>
      </c>
      <c r="D155" s="144">
        <v>0</v>
      </c>
      <c r="E155" s="144">
        <v>0</v>
      </c>
      <c r="F155" s="144">
        <v>0</v>
      </c>
      <c r="G155" s="144">
        <v>0</v>
      </c>
      <c r="H155" s="147">
        <v>0</v>
      </c>
      <c r="I155" s="495">
        <f>SUM(G155+H155)</f>
        <v>0</v>
      </c>
      <c r="J155" s="416"/>
    </row>
    <row r="156" spans="1:10" ht="10.5" customHeight="1" x14ac:dyDescent="0.15">
      <c r="A156" s="442"/>
      <c r="B156" s="451" t="s">
        <v>882</v>
      </c>
      <c r="C156" s="135" t="s">
        <v>1058</v>
      </c>
      <c r="D156" s="144">
        <v>0</v>
      </c>
      <c r="E156" s="144">
        <v>0</v>
      </c>
      <c r="F156" s="144">
        <v>0</v>
      </c>
      <c r="G156" s="144">
        <v>0</v>
      </c>
      <c r="H156" s="285">
        <v>0</v>
      </c>
      <c r="I156" s="507">
        <f t="shared" ref="I156:I179" si="8">SUM(G156+H156)</f>
        <v>0</v>
      </c>
    </row>
    <row r="157" spans="1:10" ht="10.5" customHeight="1" x14ac:dyDescent="0.15">
      <c r="A157" s="442"/>
      <c r="B157" s="451" t="s">
        <v>883</v>
      </c>
      <c r="C157" s="135" t="s">
        <v>1059</v>
      </c>
      <c r="D157" s="144">
        <v>0</v>
      </c>
      <c r="E157" s="144">
        <v>0</v>
      </c>
      <c r="F157" s="144">
        <v>0</v>
      </c>
      <c r="G157" s="144">
        <v>0</v>
      </c>
      <c r="H157" s="285">
        <v>0</v>
      </c>
      <c r="I157" s="507">
        <f t="shared" si="8"/>
        <v>0</v>
      </c>
    </row>
    <row r="158" spans="1:10" ht="10.5" customHeight="1" x14ac:dyDescent="0.15">
      <c r="A158" s="442"/>
      <c r="B158" s="451" t="s">
        <v>1060</v>
      </c>
      <c r="C158" s="135" t="s">
        <v>1061</v>
      </c>
      <c r="D158" s="144">
        <v>0</v>
      </c>
      <c r="E158" s="144">
        <v>0</v>
      </c>
      <c r="F158" s="144">
        <v>0</v>
      </c>
      <c r="G158" s="144">
        <v>0</v>
      </c>
      <c r="H158" s="285">
        <v>0</v>
      </c>
      <c r="I158" s="507">
        <f t="shared" si="8"/>
        <v>0</v>
      </c>
    </row>
    <row r="159" spans="1:10" ht="10.5" customHeight="1" x14ac:dyDescent="0.15">
      <c r="A159" s="442"/>
      <c r="B159" s="451" t="s">
        <v>1062</v>
      </c>
      <c r="C159" s="135" t="s">
        <v>1063</v>
      </c>
      <c r="D159" s="144">
        <v>0</v>
      </c>
      <c r="E159" s="144">
        <v>0</v>
      </c>
      <c r="F159" s="144">
        <v>0</v>
      </c>
      <c r="G159" s="144">
        <v>0</v>
      </c>
      <c r="H159" s="285">
        <v>0</v>
      </c>
      <c r="I159" s="507">
        <f t="shared" si="8"/>
        <v>0</v>
      </c>
    </row>
    <row r="160" spans="1:10" ht="10.5" customHeight="1" x14ac:dyDescent="0.15">
      <c r="A160" s="442"/>
      <c r="B160" s="451" t="s">
        <v>884</v>
      </c>
      <c r="C160" s="135" t="s">
        <v>1064</v>
      </c>
      <c r="D160" s="144">
        <v>0</v>
      </c>
      <c r="E160" s="144">
        <v>0</v>
      </c>
      <c r="F160" s="144">
        <v>0</v>
      </c>
      <c r="G160" s="144">
        <v>0</v>
      </c>
      <c r="H160" s="285">
        <v>0</v>
      </c>
      <c r="I160" s="507">
        <f t="shared" si="8"/>
        <v>0</v>
      </c>
    </row>
    <row r="161" spans="1:9" ht="10.5" customHeight="1" x14ac:dyDescent="0.15">
      <c r="A161" s="442"/>
      <c r="B161" s="716" t="s">
        <v>155</v>
      </c>
      <c r="C161" s="703" t="s">
        <v>178</v>
      </c>
      <c r="D161" s="144">
        <v>0</v>
      </c>
      <c r="E161" s="144">
        <v>0</v>
      </c>
      <c r="F161" s="144">
        <v>0</v>
      </c>
      <c r="G161" s="144">
        <v>0</v>
      </c>
      <c r="H161" s="285">
        <v>0</v>
      </c>
      <c r="I161" s="507">
        <f t="shared" si="8"/>
        <v>0</v>
      </c>
    </row>
    <row r="162" spans="1:9" ht="10.5" customHeight="1" x14ac:dyDescent="0.15">
      <c r="A162" s="442"/>
      <c r="B162" s="451" t="s">
        <v>927</v>
      </c>
      <c r="C162" s="135" t="s">
        <v>959</v>
      </c>
      <c r="D162" s="144">
        <v>0</v>
      </c>
      <c r="E162" s="144">
        <v>0</v>
      </c>
      <c r="F162" s="144">
        <v>0</v>
      </c>
      <c r="G162" s="144">
        <v>0</v>
      </c>
      <c r="H162" s="285">
        <v>0</v>
      </c>
      <c r="I162" s="507">
        <f t="shared" si="8"/>
        <v>0</v>
      </c>
    </row>
    <row r="163" spans="1:9" ht="10.5" customHeight="1" x14ac:dyDescent="0.15">
      <c r="A163" s="442"/>
      <c r="B163" s="451" t="s">
        <v>928</v>
      </c>
      <c r="C163" s="135" t="s">
        <v>961</v>
      </c>
      <c r="D163" s="144">
        <v>0</v>
      </c>
      <c r="E163" s="144">
        <v>0</v>
      </c>
      <c r="F163" s="144">
        <v>0</v>
      </c>
      <c r="G163" s="144">
        <v>0</v>
      </c>
      <c r="H163" s="285">
        <v>0</v>
      </c>
      <c r="I163" s="507">
        <f t="shared" si="8"/>
        <v>0</v>
      </c>
    </row>
    <row r="164" spans="1:9" ht="10.5" customHeight="1" x14ac:dyDescent="0.15">
      <c r="A164" s="442"/>
      <c r="B164" s="451" t="s">
        <v>962</v>
      </c>
      <c r="C164" s="135" t="s">
        <v>967</v>
      </c>
      <c r="D164" s="144">
        <v>0</v>
      </c>
      <c r="E164" s="144">
        <v>0</v>
      </c>
      <c r="F164" s="144">
        <v>0</v>
      </c>
      <c r="G164" s="144">
        <v>0</v>
      </c>
      <c r="H164" s="285">
        <v>0</v>
      </c>
      <c r="I164" s="507">
        <f t="shared" si="8"/>
        <v>0</v>
      </c>
    </row>
    <row r="165" spans="1:9" ht="10.5" customHeight="1" x14ac:dyDescent="0.15">
      <c r="A165" s="442"/>
      <c r="B165" s="451" t="s">
        <v>963</v>
      </c>
      <c r="C165" s="135" t="s">
        <v>1124</v>
      </c>
      <c r="D165" s="144">
        <v>0</v>
      </c>
      <c r="E165" s="144">
        <v>0</v>
      </c>
      <c r="F165" s="144">
        <v>0</v>
      </c>
      <c r="G165" s="144">
        <v>0</v>
      </c>
      <c r="H165" s="285">
        <v>0</v>
      </c>
      <c r="I165" s="507">
        <f t="shared" si="8"/>
        <v>0</v>
      </c>
    </row>
    <row r="166" spans="1:9" ht="10.5" customHeight="1" x14ac:dyDescent="0.15">
      <c r="A166" s="442"/>
      <c r="B166" s="451" t="s">
        <v>964</v>
      </c>
      <c r="C166" s="135" t="s">
        <v>1094</v>
      </c>
      <c r="D166" s="144">
        <v>0</v>
      </c>
      <c r="E166" s="144">
        <v>0</v>
      </c>
      <c r="F166" s="144">
        <v>0</v>
      </c>
      <c r="G166" s="144">
        <v>0</v>
      </c>
      <c r="H166" s="285">
        <v>0</v>
      </c>
      <c r="I166" s="507">
        <f t="shared" si="8"/>
        <v>0</v>
      </c>
    </row>
    <row r="167" spans="1:9" ht="10.5" customHeight="1" x14ac:dyDescent="0.15">
      <c r="A167" s="442"/>
      <c r="B167" s="451" t="s">
        <v>965</v>
      </c>
      <c r="C167" s="135" t="s">
        <v>1095</v>
      </c>
      <c r="D167" s="144">
        <v>0</v>
      </c>
      <c r="E167" s="144">
        <v>0</v>
      </c>
      <c r="F167" s="144">
        <v>0</v>
      </c>
      <c r="G167" s="144">
        <v>0</v>
      </c>
      <c r="H167" s="285">
        <v>0</v>
      </c>
      <c r="I167" s="507">
        <f t="shared" si="8"/>
        <v>0</v>
      </c>
    </row>
    <row r="168" spans="1:9" ht="10.5" customHeight="1" x14ac:dyDescent="0.15">
      <c r="A168" s="442"/>
      <c r="B168" s="451" t="s">
        <v>1239</v>
      </c>
      <c r="C168" s="135" t="s">
        <v>1352</v>
      </c>
      <c r="D168" s="144">
        <v>0</v>
      </c>
      <c r="E168" s="144">
        <v>0</v>
      </c>
      <c r="F168" s="144">
        <v>0</v>
      </c>
      <c r="G168" s="144">
        <v>0</v>
      </c>
      <c r="H168" s="285">
        <v>0</v>
      </c>
      <c r="I168" s="507">
        <f t="shared" si="8"/>
        <v>0</v>
      </c>
    </row>
    <row r="169" spans="1:9" ht="10.5" customHeight="1" x14ac:dyDescent="0.15">
      <c r="A169" s="442"/>
      <c r="B169" s="451" t="s">
        <v>885</v>
      </c>
      <c r="C169" s="135" t="s">
        <v>1096</v>
      </c>
      <c r="D169" s="144">
        <v>0</v>
      </c>
      <c r="E169" s="144">
        <v>0</v>
      </c>
      <c r="F169" s="144">
        <v>0</v>
      </c>
      <c r="G169" s="144">
        <v>0</v>
      </c>
      <c r="H169" s="285">
        <v>0</v>
      </c>
      <c r="I169" s="507">
        <f t="shared" si="8"/>
        <v>0</v>
      </c>
    </row>
    <row r="170" spans="1:9" ht="10.5" customHeight="1" x14ac:dyDescent="0.15">
      <c r="A170" s="442"/>
      <c r="B170" s="451" t="s">
        <v>966</v>
      </c>
      <c r="C170" s="135" t="s">
        <v>1097</v>
      </c>
      <c r="D170" s="144">
        <v>0</v>
      </c>
      <c r="E170" s="144">
        <v>0</v>
      </c>
      <c r="F170" s="144">
        <v>0</v>
      </c>
      <c r="G170" s="144">
        <v>0</v>
      </c>
      <c r="H170" s="285">
        <v>0</v>
      </c>
      <c r="I170" s="507">
        <f t="shared" si="8"/>
        <v>0</v>
      </c>
    </row>
    <row r="171" spans="1:9" ht="10.5" customHeight="1" x14ac:dyDescent="0.15">
      <c r="A171" s="442"/>
      <c r="B171" s="451" t="s">
        <v>886</v>
      </c>
      <c r="C171" s="135" t="s">
        <v>1100</v>
      </c>
      <c r="D171" s="144">
        <v>0</v>
      </c>
      <c r="E171" s="144">
        <v>0</v>
      </c>
      <c r="F171" s="144">
        <v>0</v>
      </c>
      <c r="G171" s="144">
        <v>0</v>
      </c>
      <c r="H171" s="285">
        <v>0</v>
      </c>
      <c r="I171" s="507">
        <f t="shared" si="8"/>
        <v>0</v>
      </c>
    </row>
    <row r="172" spans="1:9" ht="10.5" customHeight="1" x14ac:dyDescent="0.15">
      <c r="A172" s="442"/>
      <c r="B172" s="451" t="s">
        <v>116</v>
      </c>
      <c r="C172" s="135" t="s">
        <v>1105</v>
      </c>
      <c r="D172" s="144">
        <v>0</v>
      </c>
      <c r="E172" s="144">
        <v>0</v>
      </c>
      <c r="F172" s="144">
        <v>0</v>
      </c>
      <c r="G172" s="144">
        <v>0</v>
      </c>
      <c r="H172" s="285">
        <v>0</v>
      </c>
      <c r="I172" s="507">
        <f t="shared" si="8"/>
        <v>0</v>
      </c>
    </row>
    <row r="173" spans="1:9" ht="10.5" customHeight="1" x14ac:dyDescent="0.15">
      <c r="A173" s="442"/>
      <c r="B173" s="451" t="s">
        <v>112</v>
      </c>
      <c r="C173" s="135" t="s">
        <v>1110</v>
      </c>
      <c r="D173" s="144">
        <v>0</v>
      </c>
      <c r="E173" s="144">
        <v>0</v>
      </c>
      <c r="F173" s="144">
        <v>0</v>
      </c>
      <c r="G173" s="144">
        <v>0</v>
      </c>
      <c r="H173" s="285">
        <v>0</v>
      </c>
      <c r="I173" s="507">
        <f t="shared" si="8"/>
        <v>0</v>
      </c>
    </row>
    <row r="174" spans="1:9" ht="10.5" customHeight="1" x14ac:dyDescent="0.15">
      <c r="A174" s="442"/>
      <c r="B174" s="451" t="s">
        <v>887</v>
      </c>
      <c r="C174" s="135" t="s">
        <v>1116</v>
      </c>
      <c r="D174" s="144">
        <v>0</v>
      </c>
      <c r="E174" s="144">
        <v>0</v>
      </c>
      <c r="F174" s="144">
        <v>0</v>
      </c>
      <c r="G174" s="144">
        <v>0</v>
      </c>
      <c r="H174" s="285">
        <v>0</v>
      </c>
      <c r="I174" s="507">
        <f t="shared" si="8"/>
        <v>0</v>
      </c>
    </row>
    <row r="175" spans="1:9" ht="10.5" customHeight="1" x14ac:dyDescent="0.15">
      <c r="A175" s="442"/>
      <c r="B175" s="451" t="s">
        <v>1112</v>
      </c>
      <c r="C175" s="135" t="s">
        <v>1117</v>
      </c>
      <c r="D175" s="144">
        <v>0</v>
      </c>
      <c r="E175" s="144">
        <v>0</v>
      </c>
      <c r="F175" s="144">
        <v>0</v>
      </c>
      <c r="G175" s="144">
        <v>0</v>
      </c>
      <c r="H175" s="285">
        <v>0</v>
      </c>
      <c r="I175" s="507">
        <f t="shared" si="8"/>
        <v>0</v>
      </c>
    </row>
    <row r="176" spans="1:9" ht="10.5" customHeight="1" x14ac:dyDescent="0.15">
      <c r="A176" s="442"/>
      <c r="B176" s="451" t="s">
        <v>1113</v>
      </c>
      <c r="C176" s="135" t="s">
        <v>1118</v>
      </c>
      <c r="D176" s="144">
        <v>0</v>
      </c>
      <c r="E176" s="144">
        <v>0</v>
      </c>
      <c r="F176" s="144">
        <v>0</v>
      </c>
      <c r="G176" s="144">
        <v>0</v>
      </c>
      <c r="H176" s="285">
        <v>0</v>
      </c>
      <c r="I176" s="507">
        <f t="shared" si="8"/>
        <v>0</v>
      </c>
    </row>
    <row r="177" spans="1:10" ht="10.5" customHeight="1" x14ac:dyDescent="0.15">
      <c r="A177" s="442"/>
      <c r="B177" s="451" t="s">
        <v>1114</v>
      </c>
      <c r="C177" s="135" t="s">
        <v>1119</v>
      </c>
      <c r="D177" s="144">
        <v>0</v>
      </c>
      <c r="E177" s="144">
        <v>0</v>
      </c>
      <c r="F177" s="144">
        <v>0</v>
      </c>
      <c r="G177" s="144">
        <v>0</v>
      </c>
      <c r="H177" s="285">
        <v>0</v>
      </c>
      <c r="I177" s="507">
        <f t="shared" si="8"/>
        <v>0</v>
      </c>
    </row>
    <row r="178" spans="1:10" ht="10.5" customHeight="1" x14ac:dyDescent="0.15">
      <c r="A178" s="442"/>
      <c r="B178" s="451" t="s">
        <v>1115</v>
      </c>
      <c r="C178" s="135" t="s">
        <v>1120</v>
      </c>
      <c r="D178" s="144">
        <v>0</v>
      </c>
      <c r="E178" s="144">
        <v>0</v>
      </c>
      <c r="F178" s="144">
        <v>0</v>
      </c>
      <c r="G178" s="144">
        <v>0</v>
      </c>
      <c r="H178" s="285">
        <v>0</v>
      </c>
      <c r="I178" s="507">
        <f t="shared" si="8"/>
        <v>0</v>
      </c>
    </row>
    <row r="179" spans="1:10" ht="10.5" customHeight="1" thickBot="1" x14ac:dyDescent="0.2">
      <c r="A179" s="442"/>
      <c r="B179" s="451" t="s">
        <v>114</v>
      </c>
      <c r="C179" s="135" t="s">
        <v>1121</v>
      </c>
      <c r="D179" s="141">
        <v>0</v>
      </c>
      <c r="E179" s="141">
        <v>0</v>
      </c>
      <c r="F179" s="141">
        <v>0</v>
      </c>
      <c r="G179" s="141">
        <v>0</v>
      </c>
      <c r="H179" s="285">
        <v>0</v>
      </c>
      <c r="I179" s="507">
        <f t="shared" si="8"/>
        <v>0</v>
      </c>
    </row>
    <row r="180" spans="1:10" ht="10.5" customHeight="1" thickTop="1" thickBot="1" x14ac:dyDescent="0.2">
      <c r="A180" s="442"/>
      <c r="B180" s="451"/>
      <c r="C180" s="135" t="s">
        <v>128</v>
      </c>
      <c r="D180" s="166">
        <f>SUM(D152:D179)</f>
        <v>0</v>
      </c>
      <c r="E180" s="166">
        <f>SUM(E152:E179)</f>
        <v>0</v>
      </c>
      <c r="F180" s="166">
        <f>SUM(F152:F179)</f>
        <v>0</v>
      </c>
      <c r="G180" s="166">
        <f>SUM(G152:G179)</f>
        <v>0</v>
      </c>
      <c r="H180" s="166">
        <f>SUM(H152:H179)</f>
        <v>0</v>
      </c>
      <c r="I180" s="166">
        <f>SUM(G180+H180)</f>
        <v>0</v>
      </c>
    </row>
    <row r="181" spans="1:10" ht="10.5" customHeight="1" thickTop="1" x14ac:dyDescent="0.15">
      <c r="A181" s="442"/>
      <c r="B181" s="451"/>
      <c r="C181" s="135"/>
      <c r="D181" s="14"/>
      <c r="E181" s="14"/>
      <c r="F181" s="14"/>
      <c r="G181" s="14"/>
      <c r="H181" s="14"/>
      <c r="I181" s="491"/>
    </row>
    <row r="182" spans="1:10" ht="10.5" customHeight="1" x14ac:dyDescent="0.15">
      <c r="A182" s="442" t="s">
        <v>1588</v>
      </c>
      <c r="C182" s="135"/>
      <c r="D182" s="14"/>
      <c r="E182" s="14"/>
      <c r="F182" s="14"/>
      <c r="G182" s="14"/>
      <c r="H182" s="195"/>
      <c r="I182" s="167"/>
    </row>
    <row r="183" spans="1:10" s="416" customFormat="1" hidden="1" x14ac:dyDescent="0.15">
      <c r="B183" s="453" t="s">
        <v>880</v>
      </c>
      <c r="C183" s="454" t="s">
        <v>1164</v>
      </c>
      <c r="D183" s="308">
        <v>0</v>
      </c>
      <c r="E183" s="308">
        <v>0</v>
      </c>
      <c r="F183" s="308">
        <v>0</v>
      </c>
      <c r="G183" s="458"/>
      <c r="H183" s="457">
        <v>0</v>
      </c>
      <c r="I183" s="494">
        <f>SUM(G183+H183)</f>
        <v>0</v>
      </c>
    </row>
    <row r="184" spans="1:10" s="416" customFormat="1" x14ac:dyDescent="0.15">
      <c r="B184" s="453" t="s">
        <v>880</v>
      </c>
      <c r="C184" s="454" t="s">
        <v>337</v>
      </c>
      <c r="D184" s="308">
        <v>0</v>
      </c>
      <c r="E184" s="308">
        <v>0</v>
      </c>
      <c r="F184" s="308">
        <v>0</v>
      </c>
      <c r="G184" s="308">
        <v>0</v>
      </c>
      <c r="H184" s="457">
        <v>0</v>
      </c>
      <c r="I184" s="494">
        <f>SUM(G184+H184)</f>
        <v>0</v>
      </c>
    </row>
    <row r="185" spans="1:10" s="416" customFormat="1" hidden="1" x14ac:dyDescent="0.15">
      <c r="A185" s="454"/>
      <c r="B185" s="453" t="s">
        <v>881</v>
      </c>
      <c r="C185" s="454" t="s">
        <v>382</v>
      </c>
      <c r="D185" s="308">
        <v>0</v>
      </c>
      <c r="E185" s="308">
        <v>0</v>
      </c>
      <c r="F185" s="308">
        <v>0</v>
      </c>
      <c r="G185" s="459"/>
      <c r="H185" s="457">
        <v>0</v>
      </c>
      <c r="I185" s="494">
        <f>SUM(G185+H185)</f>
        <v>0</v>
      </c>
    </row>
    <row r="186" spans="1:10" x14ac:dyDescent="0.15">
      <c r="A186" s="135"/>
      <c r="B186" s="451" t="s">
        <v>881</v>
      </c>
      <c r="C186" s="135" t="s">
        <v>338</v>
      </c>
      <c r="D186" s="144">
        <v>0</v>
      </c>
      <c r="E186" s="144">
        <v>0</v>
      </c>
      <c r="F186" s="144">
        <v>0</v>
      </c>
      <c r="G186" s="144">
        <v>0</v>
      </c>
      <c r="H186" s="147">
        <v>0</v>
      </c>
      <c r="I186" s="495">
        <f>SUM(G186+H186)</f>
        <v>0</v>
      </c>
      <c r="J186" s="416"/>
    </row>
    <row r="187" spans="1:10" ht="10.5" customHeight="1" x14ac:dyDescent="0.15">
      <c r="A187" s="442"/>
      <c r="B187" s="451" t="s">
        <v>882</v>
      </c>
      <c r="C187" s="135" t="s">
        <v>1058</v>
      </c>
      <c r="D187" s="144">
        <v>0</v>
      </c>
      <c r="E187" s="144">
        <v>0</v>
      </c>
      <c r="F187" s="144">
        <v>0</v>
      </c>
      <c r="G187" s="144">
        <v>0</v>
      </c>
      <c r="H187" s="285">
        <v>0</v>
      </c>
      <c r="I187" s="507">
        <f t="shared" ref="I187:I210" si="9">SUM(G187+H187)</f>
        <v>0</v>
      </c>
    </row>
    <row r="188" spans="1:10" ht="10.5" customHeight="1" x14ac:dyDescent="0.15">
      <c r="A188" s="442"/>
      <c r="B188" s="451" t="s">
        <v>883</v>
      </c>
      <c r="C188" s="135" t="s">
        <v>1059</v>
      </c>
      <c r="D188" s="144">
        <v>0</v>
      </c>
      <c r="E188" s="144">
        <v>0</v>
      </c>
      <c r="F188" s="144">
        <v>0</v>
      </c>
      <c r="G188" s="144">
        <v>0</v>
      </c>
      <c r="H188" s="285">
        <v>0</v>
      </c>
      <c r="I188" s="507">
        <f t="shared" si="9"/>
        <v>0</v>
      </c>
    </row>
    <row r="189" spans="1:10" ht="10.5" customHeight="1" x14ac:dyDescent="0.15">
      <c r="A189" s="442"/>
      <c r="B189" s="451" t="s">
        <v>1060</v>
      </c>
      <c r="C189" s="135" t="s">
        <v>1061</v>
      </c>
      <c r="D189" s="144">
        <v>0</v>
      </c>
      <c r="E189" s="144">
        <v>0</v>
      </c>
      <c r="F189" s="144">
        <v>0</v>
      </c>
      <c r="G189" s="144">
        <v>0</v>
      </c>
      <c r="H189" s="285">
        <v>0</v>
      </c>
      <c r="I189" s="507">
        <f t="shared" si="9"/>
        <v>0</v>
      </c>
    </row>
    <row r="190" spans="1:10" ht="10.5" customHeight="1" x14ac:dyDescent="0.15">
      <c r="A190" s="442"/>
      <c r="B190" s="451" t="s">
        <v>1062</v>
      </c>
      <c r="C190" s="135" t="s">
        <v>1063</v>
      </c>
      <c r="D190" s="144">
        <v>0</v>
      </c>
      <c r="E190" s="144">
        <v>0</v>
      </c>
      <c r="F190" s="144">
        <v>0</v>
      </c>
      <c r="G190" s="144">
        <v>0</v>
      </c>
      <c r="H190" s="285">
        <v>0</v>
      </c>
      <c r="I190" s="507">
        <f t="shared" si="9"/>
        <v>0</v>
      </c>
    </row>
    <row r="191" spans="1:10" ht="10.5" customHeight="1" x14ac:dyDescent="0.15">
      <c r="A191" s="442"/>
      <c r="B191" s="451" t="s">
        <v>884</v>
      </c>
      <c r="C191" s="135" t="s">
        <v>1064</v>
      </c>
      <c r="D191" s="144">
        <v>0</v>
      </c>
      <c r="E191" s="144">
        <v>0</v>
      </c>
      <c r="F191" s="144">
        <v>0</v>
      </c>
      <c r="G191" s="144">
        <v>0</v>
      </c>
      <c r="H191" s="285">
        <v>0</v>
      </c>
      <c r="I191" s="507">
        <f t="shared" si="9"/>
        <v>0</v>
      </c>
    </row>
    <row r="192" spans="1:10" ht="10.5" customHeight="1" x14ac:dyDescent="0.15">
      <c r="A192" s="442"/>
      <c r="B192" s="716" t="s">
        <v>155</v>
      </c>
      <c r="C192" s="703" t="s">
        <v>178</v>
      </c>
      <c r="D192" s="144">
        <v>0</v>
      </c>
      <c r="E192" s="144">
        <v>0</v>
      </c>
      <c r="F192" s="144">
        <v>0</v>
      </c>
      <c r="G192" s="144">
        <v>0</v>
      </c>
      <c r="H192" s="285">
        <v>0</v>
      </c>
      <c r="I192" s="507">
        <f t="shared" si="9"/>
        <v>0</v>
      </c>
    </row>
    <row r="193" spans="1:9" ht="10.5" customHeight="1" x14ac:dyDescent="0.15">
      <c r="A193" s="442"/>
      <c r="B193" s="451" t="s">
        <v>927</v>
      </c>
      <c r="C193" s="135" t="s">
        <v>959</v>
      </c>
      <c r="D193" s="144">
        <v>0</v>
      </c>
      <c r="E193" s="144">
        <v>0</v>
      </c>
      <c r="F193" s="144">
        <v>0</v>
      </c>
      <c r="G193" s="144">
        <v>0</v>
      </c>
      <c r="H193" s="285">
        <v>0</v>
      </c>
      <c r="I193" s="507">
        <f t="shared" si="9"/>
        <v>0</v>
      </c>
    </row>
    <row r="194" spans="1:9" ht="10.5" customHeight="1" x14ac:dyDescent="0.15">
      <c r="A194" s="442"/>
      <c r="B194" s="451" t="s">
        <v>928</v>
      </c>
      <c r="C194" s="135" t="s">
        <v>961</v>
      </c>
      <c r="D194" s="144">
        <v>0</v>
      </c>
      <c r="E194" s="144">
        <v>0</v>
      </c>
      <c r="F194" s="144">
        <v>0</v>
      </c>
      <c r="G194" s="144">
        <v>0</v>
      </c>
      <c r="H194" s="285">
        <v>0</v>
      </c>
      <c r="I194" s="507">
        <f t="shared" si="9"/>
        <v>0</v>
      </c>
    </row>
    <row r="195" spans="1:9" ht="10.5" customHeight="1" x14ac:dyDescent="0.15">
      <c r="A195" s="442"/>
      <c r="B195" s="451" t="s">
        <v>962</v>
      </c>
      <c r="C195" s="135" t="s">
        <v>967</v>
      </c>
      <c r="D195" s="144">
        <v>0</v>
      </c>
      <c r="E195" s="144">
        <v>0</v>
      </c>
      <c r="F195" s="144">
        <v>0</v>
      </c>
      <c r="G195" s="144">
        <v>0</v>
      </c>
      <c r="H195" s="285">
        <v>0</v>
      </c>
      <c r="I195" s="507">
        <f t="shared" si="9"/>
        <v>0</v>
      </c>
    </row>
    <row r="196" spans="1:9" ht="10.5" customHeight="1" x14ac:dyDescent="0.15">
      <c r="A196" s="442"/>
      <c r="B196" s="451" t="s">
        <v>963</v>
      </c>
      <c r="C196" s="135" t="s">
        <v>1124</v>
      </c>
      <c r="D196" s="144">
        <v>0</v>
      </c>
      <c r="E196" s="144">
        <v>0</v>
      </c>
      <c r="F196" s="144">
        <v>0</v>
      </c>
      <c r="G196" s="144">
        <v>0</v>
      </c>
      <c r="H196" s="285">
        <v>0</v>
      </c>
      <c r="I196" s="507">
        <f t="shared" si="9"/>
        <v>0</v>
      </c>
    </row>
    <row r="197" spans="1:9" ht="10.5" customHeight="1" x14ac:dyDescent="0.15">
      <c r="A197" s="442"/>
      <c r="B197" s="451" t="s">
        <v>964</v>
      </c>
      <c r="C197" s="135" t="s">
        <v>1094</v>
      </c>
      <c r="D197" s="144">
        <v>0</v>
      </c>
      <c r="E197" s="144">
        <v>0</v>
      </c>
      <c r="F197" s="144">
        <v>0</v>
      </c>
      <c r="G197" s="144">
        <v>0</v>
      </c>
      <c r="H197" s="285">
        <v>0</v>
      </c>
      <c r="I197" s="507">
        <f t="shared" si="9"/>
        <v>0</v>
      </c>
    </row>
    <row r="198" spans="1:9" ht="10.5" customHeight="1" x14ac:dyDescent="0.15">
      <c r="A198" s="442"/>
      <c r="B198" s="451" t="s">
        <v>965</v>
      </c>
      <c r="C198" s="135" t="s">
        <v>1095</v>
      </c>
      <c r="D198" s="144">
        <v>0</v>
      </c>
      <c r="E198" s="144">
        <v>0</v>
      </c>
      <c r="F198" s="144">
        <v>0</v>
      </c>
      <c r="G198" s="144">
        <v>0</v>
      </c>
      <c r="H198" s="285">
        <v>0</v>
      </c>
      <c r="I198" s="507">
        <f t="shared" si="9"/>
        <v>0</v>
      </c>
    </row>
    <row r="199" spans="1:9" ht="10.5" customHeight="1" x14ac:dyDescent="0.15">
      <c r="A199" s="442"/>
      <c r="B199" s="451" t="s">
        <v>1239</v>
      </c>
      <c r="C199" s="135" t="s">
        <v>1352</v>
      </c>
      <c r="D199" s="144">
        <v>0</v>
      </c>
      <c r="E199" s="144">
        <v>0</v>
      </c>
      <c r="F199" s="144">
        <v>0</v>
      </c>
      <c r="G199" s="144">
        <v>0</v>
      </c>
      <c r="H199" s="285">
        <v>0</v>
      </c>
      <c r="I199" s="507">
        <f t="shared" si="9"/>
        <v>0</v>
      </c>
    </row>
    <row r="200" spans="1:9" ht="10.5" customHeight="1" x14ac:dyDescent="0.15">
      <c r="A200" s="442"/>
      <c r="B200" s="451" t="s">
        <v>885</v>
      </c>
      <c r="C200" s="135" t="s">
        <v>1096</v>
      </c>
      <c r="D200" s="144">
        <v>0</v>
      </c>
      <c r="E200" s="144">
        <v>0</v>
      </c>
      <c r="F200" s="144">
        <v>0</v>
      </c>
      <c r="G200" s="144">
        <v>0</v>
      </c>
      <c r="H200" s="285">
        <v>0</v>
      </c>
      <c r="I200" s="507">
        <f t="shared" si="9"/>
        <v>0</v>
      </c>
    </row>
    <row r="201" spans="1:9" ht="10.5" customHeight="1" x14ac:dyDescent="0.15">
      <c r="A201" s="442"/>
      <c r="B201" s="451" t="s">
        <v>966</v>
      </c>
      <c r="C201" s="135" t="s">
        <v>1097</v>
      </c>
      <c r="D201" s="144">
        <v>0</v>
      </c>
      <c r="E201" s="144">
        <v>0</v>
      </c>
      <c r="F201" s="144">
        <v>0</v>
      </c>
      <c r="G201" s="144">
        <v>0</v>
      </c>
      <c r="H201" s="285">
        <v>0</v>
      </c>
      <c r="I201" s="507">
        <f t="shared" si="9"/>
        <v>0</v>
      </c>
    </row>
    <row r="202" spans="1:9" ht="10.5" customHeight="1" x14ac:dyDescent="0.15">
      <c r="A202" s="442"/>
      <c r="B202" s="451" t="s">
        <v>886</v>
      </c>
      <c r="C202" s="135" t="s">
        <v>1100</v>
      </c>
      <c r="D202" s="144">
        <v>0</v>
      </c>
      <c r="E202" s="144">
        <v>0</v>
      </c>
      <c r="F202" s="144">
        <v>0</v>
      </c>
      <c r="G202" s="144">
        <v>0</v>
      </c>
      <c r="H202" s="285">
        <v>0</v>
      </c>
      <c r="I202" s="507">
        <f t="shared" si="9"/>
        <v>0</v>
      </c>
    </row>
    <row r="203" spans="1:9" ht="10.5" customHeight="1" x14ac:dyDescent="0.15">
      <c r="A203" s="442"/>
      <c r="B203" s="451" t="s">
        <v>116</v>
      </c>
      <c r="C203" s="135" t="s">
        <v>1105</v>
      </c>
      <c r="D203" s="144">
        <v>0</v>
      </c>
      <c r="E203" s="144">
        <v>0</v>
      </c>
      <c r="F203" s="144">
        <v>0</v>
      </c>
      <c r="G203" s="144">
        <v>0</v>
      </c>
      <c r="H203" s="285">
        <v>0</v>
      </c>
      <c r="I203" s="507">
        <f t="shared" si="9"/>
        <v>0</v>
      </c>
    </row>
    <row r="204" spans="1:9" ht="10.5" customHeight="1" x14ac:dyDescent="0.15">
      <c r="A204" s="442"/>
      <c r="B204" s="451" t="s">
        <v>112</v>
      </c>
      <c r="C204" s="135" t="s">
        <v>1110</v>
      </c>
      <c r="D204" s="144">
        <v>0</v>
      </c>
      <c r="E204" s="144">
        <v>0</v>
      </c>
      <c r="F204" s="144">
        <v>0</v>
      </c>
      <c r="G204" s="144">
        <v>0</v>
      </c>
      <c r="H204" s="285">
        <v>0</v>
      </c>
      <c r="I204" s="507">
        <f t="shared" si="9"/>
        <v>0</v>
      </c>
    </row>
    <row r="205" spans="1:9" ht="10.5" customHeight="1" x14ac:dyDescent="0.15">
      <c r="A205" s="442"/>
      <c r="B205" s="451" t="s">
        <v>887</v>
      </c>
      <c r="C205" s="135" t="s">
        <v>1116</v>
      </c>
      <c r="D205" s="144">
        <v>0</v>
      </c>
      <c r="E205" s="144">
        <v>0</v>
      </c>
      <c r="F205" s="144">
        <v>0</v>
      </c>
      <c r="G205" s="144">
        <v>0</v>
      </c>
      <c r="H205" s="285">
        <v>0</v>
      </c>
      <c r="I205" s="507">
        <f t="shared" si="9"/>
        <v>0</v>
      </c>
    </row>
    <row r="206" spans="1:9" ht="10.5" customHeight="1" x14ac:dyDescent="0.15">
      <c r="A206" s="442"/>
      <c r="B206" s="451" t="s">
        <v>1112</v>
      </c>
      <c r="C206" s="135" t="s">
        <v>1117</v>
      </c>
      <c r="D206" s="144">
        <v>0</v>
      </c>
      <c r="E206" s="144">
        <v>0</v>
      </c>
      <c r="F206" s="144">
        <v>0</v>
      </c>
      <c r="G206" s="144">
        <v>0</v>
      </c>
      <c r="H206" s="285">
        <v>0</v>
      </c>
      <c r="I206" s="507">
        <f t="shared" si="9"/>
        <v>0</v>
      </c>
    </row>
    <row r="207" spans="1:9" ht="10.5" customHeight="1" x14ac:dyDescent="0.15">
      <c r="A207" s="442"/>
      <c r="B207" s="451" t="s">
        <v>1113</v>
      </c>
      <c r="C207" s="135" t="s">
        <v>1118</v>
      </c>
      <c r="D207" s="144">
        <v>0</v>
      </c>
      <c r="E207" s="144">
        <v>0</v>
      </c>
      <c r="F207" s="144">
        <v>0</v>
      </c>
      <c r="G207" s="144">
        <v>0</v>
      </c>
      <c r="H207" s="285">
        <v>0</v>
      </c>
      <c r="I207" s="507">
        <f t="shared" si="9"/>
        <v>0</v>
      </c>
    </row>
    <row r="208" spans="1:9" ht="10.5" customHeight="1" x14ac:dyDescent="0.15">
      <c r="A208" s="442"/>
      <c r="B208" s="451" t="s">
        <v>1114</v>
      </c>
      <c r="C208" s="135" t="s">
        <v>1119</v>
      </c>
      <c r="D208" s="144">
        <v>0</v>
      </c>
      <c r="E208" s="144">
        <v>0</v>
      </c>
      <c r="F208" s="144">
        <v>0</v>
      </c>
      <c r="G208" s="144">
        <v>0</v>
      </c>
      <c r="H208" s="285">
        <v>0</v>
      </c>
      <c r="I208" s="507">
        <f t="shared" si="9"/>
        <v>0</v>
      </c>
    </row>
    <row r="209" spans="1:10" ht="10.5" customHeight="1" x14ac:dyDescent="0.15">
      <c r="A209" s="442"/>
      <c r="B209" s="451" t="s">
        <v>1115</v>
      </c>
      <c r="C209" s="135" t="s">
        <v>1120</v>
      </c>
      <c r="D209" s="144">
        <v>0</v>
      </c>
      <c r="E209" s="144">
        <v>0</v>
      </c>
      <c r="F209" s="144">
        <v>0</v>
      </c>
      <c r="G209" s="144">
        <v>0</v>
      </c>
      <c r="H209" s="285">
        <v>0</v>
      </c>
      <c r="I209" s="507">
        <f t="shared" si="9"/>
        <v>0</v>
      </c>
    </row>
    <row r="210" spans="1:10" ht="10.5" customHeight="1" thickBot="1" x14ac:dyDescent="0.2">
      <c r="A210" s="442"/>
      <c r="B210" s="451" t="s">
        <v>114</v>
      </c>
      <c r="C210" s="135" t="s">
        <v>1121</v>
      </c>
      <c r="D210" s="141">
        <v>0</v>
      </c>
      <c r="E210" s="141">
        <v>0</v>
      </c>
      <c r="F210" s="141">
        <v>0</v>
      </c>
      <c r="G210" s="141">
        <v>0</v>
      </c>
      <c r="H210" s="285">
        <v>0</v>
      </c>
      <c r="I210" s="507">
        <f t="shared" si="9"/>
        <v>0</v>
      </c>
    </row>
    <row r="211" spans="1:10" ht="10.5" customHeight="1" thickTop="1" thickBot="1" x14ac:dyDescent="0.2">
      <c r="A211" s="442"/>
      <c r="B211" s="451"/>
      <c r="C211" s="135" t="s">
        <v>128</v>
      </c>
      <c r="D211" s="166">
        <f>SUM(D183:D210)</f>
        <v>0</v>
      </c>
      <c r="E211" s="166">
        <f>SUM(E183:E210)</f>
        <v>0</v>
      </c>
      <c r="F211" s="166">
        <f>SUM(F183:F210)</f>
        <v>0</v>
      </c>
      <c r="G211" s="166">
        <f>SUM(G183:G210)</f>
        <v>0</v>
      </c>
      <c r="H211" s="166">
        <f>SUM(H183:H210)</f>
        <v>0</v>
      </c>
      <c r="I211" s="166">
        <f>SUM(G211+H211)</f>
        <v>0</v>
      </c>
    </row>
    <row r="212" spans="1:10" ht="10.5" customHeight="1" thickTop="1" x14ac:dyDescent="0.15">
      <c r="A212" s="442"/>
      <c r="B212" s="451"/>
      <c r="C212" s="135"/>
      <c r="D212" s="14"/>
      <c r="E212" s="14"/>
      <c r="F212" s="14"/>
      <c r="G212" s="14"/>
      <c r="H212" s="14"/>
      <c r="I212" s="491"/>
    </row>
    <row r="213" spans="1:10" ht="10.5" customHeight="1" x14ac:dyDescent="0.15">
      <c r="A213" s="442" t="s">
        <v>104</v>
      </c>
      <c r="C213" s="135"/>
      <c r="D213" s="14"/>
      <c r="E213" s="14"/>
      <c r="F213" s="14"/>
      <c r="G213" s="14"/>
      <c r="H213" s="14"/>
      <c r="I213" s="491"/>
    </row>
    <row r="214" spans="1:10" s="416" customFormat="1" hidden="1" x14ac:dyDescent="0.15">
      <c r="B214" s="453" t="s">
        <v>880</v>
      </c>
      <c r="C214" s="454" t="s">
        <v>1164</v>
      </c>
      <c r="D214" s="308">
        <v>0</v>
      </c>
      <c r="E214" s="308">
        <v>0</v>
      </c>
      <c r="F214" s="308">
        <v>0</v>
      </c>
      <c r="G214" s="458"/>
      <c r="H214" s="457">
        <v>0</v>
      </c>
      <c r="I214" s="494">
        <f>SUM(G214+H214)</f>
        <v>0</v>
      </c>
    </row>
    <row r="215" spans="1:10" s="416" customFormat="1" x14ac:dyDescent="0.15">
      <c r="B215" s="453" t="s">
        <v>880</v>
      </c>
      <c r="C215" s="454" t="s">
        <v>337</v>
      </c>
      <c r="D215" s="308">
        <v>0</v>
      </c>
      <c r="E215" s="308">
        <v>0</v>
      </c>
      <c r="F215" s="308">
        <v>0</v>
      </c>
      <c r="G215" s="308">
        <v>0</v>
      </c>
      <c r="H215" s="457">
        <v>0</v>
      </c>
      <c r="I215" s="494">
        <f>SUM(G215+H215)</f>
        <v>0</v>
      </c>
    </row>
    <row r="216" spans="1:10" s="416" customFormat="1" hidden="1" x14ac:dyDescent="0.15">
      <c r="A216" s="454"/>
      <c r="B216" s="453" t="s">
        <v>881</v>
      </c>
      <c r="C216" s="454" t="s">
        <v>382</v>
      </c>
      <c r="D216" s="308">
        <v>0</v>
      </c>
      <c r="E216" s="308">
        <v>0</v>
      </c>
      <c r="F216" s="308">
        <v>0</v>
      </c>
      <c r="G216" s="459"/>
      <c r="H216" s="457">
        <v>0</v>
      </c>
      <c r="I216" s="494">
        <f>SUM(G216+H216)</f>
        <v>0</v>
      </c>
    </row>
    <row r="217" spans="1:10" x14ac:dyDescent="0.15">
      <c r="A217" s="135"/>
      <c r="B217" s="451" t="s">
        <v>881</v>
      </c>
      <c r="C217" s="135" t="s">
        <v>338</v>
      </c>
      <c r="D217" s="144">
        <v>0</v>
      </c>
      <c r="E217" s="144">
        <v>0</v>
      </c>
      <c r="F217" s="144">
        <v>0</v>
      </c>
      <c r="G217" s="144">
        <v>0</v>
      </c>
      <c r="H217" s="147">
        <v>0</v>
      </c>
      <c r="I217" s="495">
        <f>SUM(G217+H217)</f>
        <v>0</v>
      </c>
      <c r="J217" s="416"/>
    </row>
    <row r="218" spans="1:10" ht="10.5" customHeight="1" x14ac:dyDescent="0.15">
      <c r="A218" s="442"/>
      <c r="B218" s="451" t="s">
        <v>882</v>
      </c>
      <c r="C218" s="135" t="s">
        <v>1058</v>
      </c>
      <c r="D218" s="144">
        <v>0</v>
      </c>
      <c r="E218" s="144">
        <v>0</v>
      </c>
      <c r="F218" s="144">
        <v>0</v>
      </c>
      <c r="G218" s="285">
        <v>0</v>
      </c>
      <c r="H218" s="285">
        <v>0</v>
      </c>
      <c r="I218" s="507">
        <f t="shared" ref="I218:I247" si="10">SUM(G218+H218)</f>
        <v>0</v>
      </c>
    </row>
    <row r="219" spans="1:10" ht="10.5" customHeight="1" x14ac:dyDescent="0.15">
      <c r="A219" s="442"/>
      <c r="B219" s="451" t="s">
        <v>883</v>
      </c>
      <c r="C219" s="135" t="s">
        <v>1059</v>
      </c>
      <c r="D219" s="144">
        <v>0</v>
      </c>
      <c r="E219" s="144">
        <v>0</v>
      </c>
      <c r="F219" s="144">
        <v>0</v>
      </c>
      <c r="G219" s="285">
        <v>0</v>
      </c>
      <c r="H219" s="285">
        <v>0</v>
      </c>
      <c r="I219" s="507">
        <f t="shared" si="10"/>
        <v>0</v>
      </c>
    </row>
    <row r="220" spans="1:10" ht="10.5" customHeight="1" x14ac:dyDescent="0.15">
      <c r="A220" s="442"/>
      <c r="B220" s="451" t="s">
        <v>1060</v>
      </c>
      <c r="C220" s="135" t="s">
        <v>1061</v>
      </c>
      <c r="D220" s="144">
        <v>0</v>
      </c>
      <c r="E220" s="144">
        <v>0</v>
      </c>
      <c r="F220" s="144">
        <v>0</v>
      </c>
      <c r="G220" s="144">
        <v>0</v>
      </c>
      <c r="H220" s="285">
        <v>0</v>
      </c>
      <c r="I220" s="507">
        <f t="shared" si="10"/>
        <v>0</v>
      </c>
    </row>
    <row r="221" spans="1:10" ht="10.5" customHeight="1" x14ac:dyDescent="0.15">
      <c r="A221" s="442"/>
      <c r="B221" s="451" t="s">
        <v>1062</v>
      </c>
      <c r="C221" s="135" t="s">
        <v>1063</v>
      </c>
      <c r="D221" s="144">
        <v>0</v>
      </c>
      <c r="E221" s="144">
        <v>0</v>
      </c>
      <c r="F221" s="144">
        <v>0</v>
      </c>
      <c r="G221" s="144">
        <v>0</v>
      </c>
      <c r="H221" s="285">
        <v>0</v>
      </c>
      <c r="I221" s="507">
        <f t="shared" si="10"/>
        <v>0</v>
      </c>
    </row>
    <row r="222" spans="1:10" ht="10.5" customHeight="1" x14ac:dyDescent="0.15">
      <c r="A222" s="442"/>
      <c r="B222" s="451" t="s">
        <v>884</v>
      </c>
      <c r="C222" s="135" t="s">
        <v>1064</v>
      </c>
      <c r="D222" s="144">
        <v>0</v>
      </c>
      <c r="E222" s="144">
        <v>0</v>
      </c>
      <c r="F222" s="144">
        <v>0</v>
      </c>
      <c r="G222" s="144">
        <v>0</v>
      </c>
      <c r="H222" s="285">
        <v>0</v>
      </c>
      <c r="I222" s="507">
        <f t="shared" si="10"/>
        <v>0</v>
      </c>
    </row>
    <row r="223" spans="1:10" ht="10.5" customHeight="1" x14ac:dyDescent="0.15">
      <c r="A223" s="442"/>
      <c r="B223" s="451" t="s">
        <v>1065</v>
      </c>
      <c r="C223" s="135" t="s">
        <v>1073</v>
      </c>
      <c r="D223" s="144">
        <v>0</v>
      </c>
      <c r="E223" s="144">
        <v>0</v>
      </c>
      <c r="F223" s="144">
        <v>0</v>
      </c>
      <c r="G223" s="144">
        <v>0</v>
      </c>
      <c r="H223" s="285">
        <v>0</v>
      </c>
      <c r="I223" s="507">
        <f t="shared" si="10"/>
        <v>0</v>
      </c>
    </row>
    <row r="224" spans="1:10" ht="10.5" customHeight="1" x14ac:dyDescent="0.15">
      <c r="A224" s="442"/>
      <c r="B224" s="451" t="s">
        <v>1066</v>
      </c>
      <c r="C224" s="135" t="s">
        <v>1125</v>
      </c>
      <c r="D224" s="144">
        <v>0</v>
      </c>
      <c r="E224" s="144">
        <v>0</v>
      </c>
      <c r="F224" s="144">
        <v>0</v>
      </c>
      <c r="G224" s="144">
        <v>0</v>
      </c>
      <c r="H224" s="285">
        <v>0</v>
      </c>
      <c r="I224" s="507">
        <f t="shared" si="10"/>
        <v>0</v>
      </c>
    </row>
    <row r="225" spans="1:9" ht="10.5" customHeight="1" x14ac:dyDescent="0.15">
      <c r="A225" s="442"/>
      <c r="B225" s="451" t="s">
        <v>1067</v>
      </c>
      <c r="C225" s="135" t="s">
        <v>1074</v>
      </c>
      <c r="D225" s="144">
        <v>0</v>
      </c>
      <c r="E225" s="144">
        <v>0</v>
      </c>
      <c r="F225" s="144">
        <v>0</v>
      </c>
      <c r="G225" s="144">
        <v>0</v>
      </c>
      <c r="H225" s="285">
        <v>0</v>
      </c>
      <c r="I225" s="507">
        <f t="shared" si="10"/>
        <v>0</v>
      </c>
    </row>
    <row r="226" spans="1:9" ht="10.5" customHeight="1" x14ac:dyDescent="0.15">
      <c r="A226" s="442"/>
      <c r="B226" s="451" t="s">
        <v>1068</v>
      </c>
      <c r="C226" s="135" t="s">
        <v>1075</v>
      </c>
      <c r="D226" s="144">
        <v>0</v>
      </c>
      <c r="E226" s="144">
        <v>0</v>
      </c>
      <c r="F226" s="144">
        <v>0</v>
      </c>
      <c r="G226" s="144">
        <v>0</v>
      </c>
      <c r="H226" s="285">
        <v>0</v>
      </c>
      <c r="I226" s="507">
        <f t="shared" si="10"/>
        <v>0</v>
      </c>
    </row>
    <row r="227" spans="1:9" ht="10.5" customHeight="1" x14ac:dyDescent="0.15">
      <c r="A227" s="442"/>
      <c r="B227" s="451" t="s">
        <v>1069</v>
      </c>
      <c r="C227" s="135" t="s">
        <v>1076</v>
      </c>
      <c r="D227" s="144">
        <v>0</v>
      </c>
      <c r="E227" s="144">
        <v>0</v>
      </c>
      <c r="F227" s="144">
        <v>0</v>
      </c>
      <c r="G227" s="144">
        <v>0</v>
      </c>
      <c r="H227" s="285">
        <v>0</v>
      </c>
      <c r="I227" s="507">
        <f t="shared" si="10"/>
        <v>0</v>
      </c>
    </row>
    <row r="228" spans="1:9" ht="10.5" customHeight="1" x14ac:dyDescent="0.15">
      <c r="A228" s="442"/>
      <c r="B228" s="451" t="s">
        <v>1070</v>
      </c>
      <c r="C228" s="135" t="s">
        <v>1126</v>
      </c>
      <c r="D228" s="144">
        <v>0</v>
      </c>
      <c r="E228" s="144">
        <v>0</v>
      </c>
      <c r="F228" s="144">
        <v>0</v>
      </c>
      <c r="G228" s="144">
        <v>0</v>
      </c>
      <c r="H228" s="285">
        <v>0</v>
      </c>
      <c r="I228" s="507">
        <f t="shared" si="10"/>
        <v>0</v>
      </c>
    </row>
    <row r="229" spans="1:9" ht="10.5" customHeight="1" x14ac:dyDescent="0.15">
      <c r="A229" s="442"/>
      <c r="B229" s="451" t="s">
        <v>1071</v>
      </c>
      <c r="C229" s="135" t="s">
        <v>1077</v>
      </c>
      <c r="D229" s="144">
        <v>0</v>
      </c>
      <c r="E229" s="144">
        <v>0</v>
      </c>
      <c r="F229" s="144">
        <v>0</v>
      </c>
      <c r="G229" s="144">
        <v>0</v>
      </c>
      <c r="H229" s="285">
        <v>0</v>
      </c>
      <c r="I229" s="507">
        <f t="shared" si="10"/>
        <v>0</v>
      </c>
    </row>
    <row r="230" spans="1:9" ht="10.5" customHeight="1" x14ac:dyDescent="0.15">
      <c r="A230" s="442"/>
      <c r="B230" s="451" t="s">
        <v>1072</v>
      </c>
      <c r="C230" s="135" t="s">
        <v>920</v>
      </c>
      <c r="D230" s="144">
        <v>0</v>
      </c>
      <c r="E230" s="144">
        <v>0</v>
      </c>
      <c r="F230" s="144">
        <v>0</v>
      </c>
      <c r="G230" s="144">
        <v>0</v>
      </c>
      <c r="H230" s="285">
        <v>0</v>
      </c>
      <c r="I230" s="507">
        <f t="shared" si="10"/>
        <v>0</v>
      </c>
    </row>
    <row r="231" spans="1:9" ht="10.5" customHeight="1" x14ac:dyDescent="0.15">
      <c r="A231" s="442"/>
      <c r="B231" s="716" t="s">
        <v>155</v>
      </c>
      <c r="C231" s="703" t="s">
        <v>178</v>
      </c>
      <c r="D231" s="144">
        <v>0</v>
      </c>
      <c r="E231" s="144">
        <v>0</v>
      </c>
      <c r="F231" s="144">
        <v>0</v>
      </c>
      <c r="G231" s="144">
        <v>0</v>
      </c>
      <c r="H231" s="285">
        <v>0</v>
      </c>
      <c r="I231" s="507">
        <f t="shared" ref="I231" si="11">SUM(G231+H231)</f>
        <v>0</v>
      </c>
    </row>
    <row r="232" spans="1:9" ht="10.5" customHeight="1" x14ac:dyDescent="0.15">
      <c r="A232" s="442"/>
      <c r="B232" s="451" t="s">
        <v>927</v>
      </c>
      <c r="C232" s="135" t="s">
        <v>959</v>
      </c>
      <c r="D232" s="144">
        <v>0</v>
      </c>
      <c r="E232" s="144">
        <v>0</v>
      </c>
      <c r="F232" s="144">
        <v>0</v>
      </c>
      <c r="G232" s="144">
        <v>0</v>
      </c>
      <c r="H232" s="285">
        <v>0</v>
      </c>
      <c r="I232" s="507">
        <f t="shared" si="10"/>
        <v>0</v>
      </c>
    </row>
    <row r="233" spans="1:9" ht="10.5" customHeight="1" x14ac:dyDescent="0.15">
      <c r="A233" s="442"/>
      <c r="B233" s="451" t="s">
        <v>928</v>
      </c>
      <c r="C233" s="135" t="s">
        <v>961</v>
      </c>
      <c r="D233" s="144">
        <v>0</v>
      </c>
      <c r="E233" s="144">
        <v>0</v>
      </c>
      <c r="F233" s="144">
        <v>0</v>
      </c>
      <c r="G233" s="144">
        <v>0</v>
      </c>
      <c r="H233" s="285">
        <v>0</v>
      </c>
      <c r="I233" s="507">
        <f t="shared" si="10"/>
        <v>0</v>
      </c>
    </row>
    <row r="234" spans="1:9" ht="10.5" customHeight="1" x14ac:dyDescent="0.15">
      <c r="A234" s="442"/>
      <c r="B234" s="451" t="s">
        <v>962</v>
      </c>
      <c r="C234" s="135" t="s">
        <v>967</v>
      </c>
      <c r="D234" s="144">
        <v>0</v>
      </c>
      <c r="E234" s="144">
        <v>0</v>
      </c>
      <c r="F234" s="144">
        <v>0</v>
      </c>
      <c r="G234" s="144">
        <v>0</v>
      </c>
      <c r="H234" s="285">
        <v>0</v>
      </c>
      <c r="I234" s="507">
        <f t="shared" si="10"/>
        <v>0</v>
      </c>
    </row>
    <row r="235" spans="1:9" ht="10.5" customHeight="1" x14ac:dyDescent="0.15">
      <c r="A235" s="442"/>
      <c r="B235" s="451" t="s">
        <v>963</v>
      </c>
      <c r="C235" s="135" t="s">
        <v>1124</v>
      </c>
      <c r="D235" s="144">
        <v>0</v>
      </c>
      <c r="E235" s="144">
        <v>0</v>
      </c>
      <c r="F235" s="144">
        <v>0</v>
      </c>
      <c r="G235" s="144">
        <v>0</v>
      </c>
      <c r="H235" s="285">
        <v>0</v>
      </c>
      <c r="I235" s="507">
        <f t="shared" si="10"/>
        <v>0</v>
      </c>
    </row>
    <row r="236" spans="1:9" ht="10.5" customHeight="1" x14ac:dyDescent="0.15">
      <c r="A236" s="442"/>
      <c r="B236" s="451" t="s">
        <v>964</v>
      </c>
      <c r="C236" s="135" t="s">
        <v>1094</v>
      </c>
      <c r="D236" s="144">
        <v>0</v>
      </c>
      <c r="E236" s="144">
        <v>0</v>
      </c>
      <c r="F236" s="144">
        <v>0</v>
      </c>
      <c r="G236" s="144">
        <v>0</v>
      </c>
      <c r="H236" s="285">
        <v>0</v>
      </c>
      <c r="I236" s="507">
        <f t="shared" si="10"/>
        <v>0</v>
      </c>
    </row>
    <row r="237" spans="1:9" ht="10.5" customHeight="1" x14ac:dyDescent="0.15">
      <c r="A237" s="442"/>
      <c r="B237" s="451" t="s">
        <v>965</v>
      </c>
      <c r="C237" s="135" t="s">
        <v>1095</v>
      </c>
      <c r="D237" s="144">
        <v>0</v>
      </c>
      <c r="E237" s="144">
        <v>0</v>
      </c>
      <c r="F237" s="144">
        <v>0</v>
      </c>
      <c r="G237" s="144">
        <v>0</v>
      </c>
      <c r="H237" s="285">
        <v>0</v>
      </c>
      <c r="I237" s="507">
        <f t="shared" si="10"/>
        <v>0</v>
      </c>
    </row>
    <row r="238" spans="1:9" ht="10.5" customHeight="1" x14ac:dyDescent="0.15">
      <c r="A238" s="442"/>
      <c r="B238" s="451" t="s">
        <v>885</v>
      </c>
      <c r="C238" s="135" t="s">
        <v>1096</v>
      </c>
      <c r="D238" s="144">
        <v>0</v>
      </c>
      <c r="E238" s="144">
        <v>0</v>
      </c>
      <c r="F238" s="144">
        <v>0</v>
      </c>
      <c r="G238" s="144">
        <v>0</v>
      </c>
      <c r="H238" s="285">
        <v>0</v>
      </c>
      <c r="I238" s="507">
        <f t="shared" si="10"/>
        <v>0</v>
      </c>
    </row>
    <row r="239" spans="1:9" ht="10.5" customHeight="1" x14ac:dyDescent="0.15">
      <c r="A239" s="442"/>
      <c r="B239" s="451" t="s">
        <v>966</v>
      </c>
      <c r="C239" s="135" t="s">
        <v>1097</v>
      </c>
      <c r="D239" s="144">
        <v>0</v>
      </c>
      <c r="E239" s="144">
        <v>0</v>
      </c>
      <c r="F239" s="144">
        <v>0</v>
      </c>
      <c r="G239" s="144">
        <v>0</v>
      </c>
      <c r="H239" s="285">
        <v>0</v>
      </c>
      <c r="I239" s="507">
        <f t="shared" si="10"/>
        <v>0</v>
      </c>
    </row>
    <row r="240" spans="1:9" ht="10.5" customHeight="1" x14ac:dyDescent="0.15">
      <c r="A240" s="442"/>
      <c r="B240" s="451" t="s">
        <v>886</v>
      </c>
      <c r="C240" s="135" t="s">
        <v>1100</v>
      </c>
      <c r="D240" s="144">
        <v>0</v>
      </c>
      <c r="E240" s="144">
        <v>0</v>
      </c>
      <c r="F240" s="144">
        <v>0</v>
      </c>
      <c r="G240" s="144">
        <v>0</v>
      </c>
      <c r="H240" s="285">
        <v>0</v>
      </c>
      <c r="I240" s="507">
        <f t="shared" si="10"/>
        <v>0</v>
      </c>
    </row>
    <row r="241" spans="1:9" ht="10.5" customHeight="1" x14ac:dyDescent="0.15">
      <c r="A241" s="442"/>
      <c r="B241" s="451" t="s">
        <v>116</v>
      </c>
      <c r="C241" s="135" t="s">
        <v>1105</v>
      </c>
      <c r="D241" s="144">
        <v>0</v>
      </c>
      <c r="E241" s="144">
        <v>0</v>
      </c>
      <c r="F241" s="144">
        <v>0</v>
      </c>
      <c r="G241" s="144">
        <v>0</v>
      </c>
      <c r="H241" s="285">
        <v>0</v>
      </c>
      <c r="I241" s="507">
        <f t="shared" si="10"/>
        <v>0</v>
      </c>
    </row>
    <row r="242" spans="1:9" ht="10.5" customHeight="1" x14ac:dyDescent="0.15">
      <c r="A242" s="442"/>
      <c r="B242" s="451" t="s">
        <v>112</v>
      </c>
      <c r="C242" s="135" t="s">
        <v>1110</v>
      </c>
      <c r="D242" s="144">
        <v>0</v>
      </c>
      <c r="E242" s="144">
        <v>0</v>
      </c>
      <c r="F242" s="144">
        <v>0</v>
      </c>
      <c r="G242" s="144">
        <v>0</v>
      </c>
      <c r="H242" s="285">
        <v>0</v>
      </c>
      <c r="I242" s="507">
        <f t="shared" si="10"/>
        <v>0</v>
      </c>
    </row>
    <row r="243" spans="1:9" ht="10.5" customHeight="1" x14ac:dyDescent="0.15">
      <c r="A243" s="442"/>
      <c r="B243" s="451" t="s">
        <v>887</v>
      </c>
      <c r="C243" s="135" t="s">
        <v>1116</v>
      </c>
      <c r="D243" s="144">
        <v>0</v>
      </c>
      <c r="E243" s="144">
        <v>0</v>
      </c>
      <c r="F243" s="144">
        <v>0</v>
      </c>
      <c r="G243" s="144">
        <v>0</v>
      </c>
      <c r="H243" s="285">
        <v>0</v>
      </c>
      <c r="I243" s="507">
        <f t="shared" si="10"/>
        <v>0</v>
      </c>
    </row>
    <row r="244" spans="1:9" ht="10.5" customHeight="1" x14ac:dyDescent="0.15">
      <c r="A244" s="442"/>
      <c r="B244" s="451" t="s">
        <v>1112</v>
      </c>
      <c r="C244" s="135" t="s">
        <v>1117</v>
      </c>
      <c r="D244" s="144">
        <v>0</v>
      </c>
      <c r="E244" s="144">
        <v>0</v>
      </c>
      <c r="F244" s="144">
        <v>0</v>
      </c>
      <c r="G244" s="144">
        <v>0</v>
      </c>
      <c r="H244" s="285">
        <v>0</v>
      </c>
      <c r="I244" s="507">
        <f t="shared" si="10"/>
        <v>0</v>
      </c>
    </row>
    <row r="245" spans="1:9" ht="10.5" customHeight="1" x14ac:dyDescent="0.15">
      <c r="A245" s="442"/>
      <c r="B245" s="451" t="s">
        <v>1113</v>
      </c>
      <c r="C245" s="135" t="s">
        <v>1118</v>
      </c>
      <c r="D245" s="144">
        <v>0</v>
      </c>
      <c r="E245" s="144">
        <v>0</v>
      </c>
      <c r="F245" s="144">
        <v>0</v>
      </c>
      <c r="G245" s="144">
        <v>0</v>
      </c>
      <c r="H245" s="285">
        <v>0</v>
      </c>
      <c r="I245" s="507">
        <f t="shared" si="10"/>
        <v>0</v>
      </c>
    </row>
    <row r="246" spans="1:9" ht="10.5" customHeight="1" x14ac:dyDescent="0.15">
      <c r="A246" s="442"/>
      <c r="B246" s="451" t="s">
        <v>1114</v>
      </c>
      <c r="C246" s="135" t="s">
        <v>1119</v>
      </c>
      <c r="D246" s="144">
        <v>0</v>
      </c>
      <c r="E246" s="144">
        <v>0</v>
      </c>
      <c r="F246" s="144">
        <v>0</v>
      </c>
      <c r="G246" s="144">
        <v>0</v>
      </c>
      <c r="H246" s="285">
        <v>0</v>
      </c>
      <c r="I246" s="507">
        <f t="shared" si="10"/>
        <v>0</v>
      </c>
    </row>
    <row r="247" spans="1:9" ht="10.5" customHeight="1" x14ac:dyDescent="0.15">
      <c r="A247" s="442"/>
      <c r="B247" s="451" t="s">
        <v>1115</v>
      </c>
      <c r="C247" s="135" t="s">
        <v>1120</v>
      </c>
      <c r="D247" s="144">
        <v>0</v>
      </c>
      <c r="E247" s="144">
        <v>0</v>
      </c>
      <c r="F247" s="144">
        <v>0</v>
      </c>
      <c r="G247" s="144">
        <v>0</v>
      </c>
      <c r="H247" s="285">
        <v>0</v>
      </c>
      <c r="I247" s="507">
        <f t="shared" si="10"/>
        <v>0</v>
      </c>
    </row>
    <row r="248" spans="1:9" ht="10.5" customHeight="1" thickBot="1" x14ac:dyDescent="0.2">
      <c r="A248" s="442"/>
      <c r="B248" s="451" t="s">
        <v>114</v>
      </c>
      <c r="C248" s="135" t="s">
        <v>1121</v>
      </c>
      <c r="D248" s="141">
        <v>0</v>
      </c>
      <c r="E248" s="141">
        <v>0</v>
      </c>
      <c r="F248" s="141">
        <v>0</v>
      </c>
      <c r="G248" s="141">
        <v>0</v>
      </c>
      <c r="H248" s="285">
        <v>0</v>
      </c>
      <c r="I248" s="507">
        <f>SUM(G248+H248)</f>
        <v>0</v>
      </c>
    </row>
    <row r="249" spans="1:9" ht="10.5" customHeight="1" thickTop="1" thickBot="1" x14ac:dyDescent="0.2">
      <c r="B249" s="451"/>
      <c r="C249" s="135" t="s">
        <v>105</v>
      </c>
      <c r="D249" s="166">
        <f>SUM(D214:D248)</f>
        <v>0</v>
      </c>
      <c r="E249" s="166">
        <f>SUM(E214:E248)</f>
        <v>0</v>
      </c>
      <c r="F249" s="166">
        <f>SUM(F214:F248)</f>
        <v>0</v>
      </c>
      <c r="G249" s="166">
        <f>SUM(G214:G248)</f>
        <v>0</v>
      </c>
      <c r="H249" s="166">
        <f>SUM(H214:H248)</f>
        <v>0</v>
      </c>
      <c r="I249" s="166">
        <f>SUM(G249+H249)</f>
        <v>0</v>
      </c>
    </row>
    <row r="250" spans="1:9" ht="10.5" customHeight="1" thickTop="1" x14ac:dyDescent="0.15">
      <c r="B250" s="451"/>
      <c r="C250" s="135"/>
      <c r="D250" s="14"/>
      <c r="E250" s="14"/>
      <c r="F250" s="14"/>
      <c r="G250" s="14"/>
      <c r="H250" s="195"/>
      <c r="I250" s="167"/>
    </row>
    <row r="251" spans="1:9" ht="10.5" customHeight="1" x14ac:dyDescent="0.15">
      <c r="A251" s="442" t="s">
        <v>106</v>
      </c>
      <c r="C251" s="135"/>
      <c r="D251" s="14"/>
      <c r="E251" s="14"/>
      <c r="F251" s="14"/>
      <c r="G251" s="14"/>
      <c r="H251" s="195"/>
      <c r="I251" s="167"/>
    </row>
    <row r="252" spans="1:9" s="416" customFormat="1" hidden="1" x14ac:dyDescent="0.15">
      <c r="B252" s="453" t="s">
        <v>880</v>
      </c>
      <c r="C252" s="454" t="s">
        <v>1164</v>
      </c>
      <c r="D252" s="308">
        <v>0</v>
      </c>
      <c r="E252" s="308">
        <v>0</v>
      </c>
      <c r="F252" s="308">
        <v>0</v>
      </c>
      <c r="G252" s="458"/>
      <c r="H252" s="457">
        <v>0</v>
      </c>
      <c r="I252" s="494">
        <f>SUM(G252+H252)</f>
        <v>0</v>
      </c>
    </row>
    <row r="253" spans="1:9" s="416" customFormat="1" x14ac:dyDescent="0.15">
      <c r="B253" s="453" t="s">
        <v>880</v>
      </c>
      <c r="C253" s="454" t="s">
        <v>337</v>
      </c>
      <c r="D253" s="308">
        <v>0</v>
      </c>
      <c r="E253" s="308">
        <v>0</v>
      </c>
      <c r="F253" s="308">
        <v>0</v>
      </c>
      <c r="G253" s="308">
        <v>0</v>
      </c>
      <c r="H253" s="457">
        <v>0</v>
      </c>
      <c r="I253" s="494">
        <f>SUM(G253+H253)</f>
        <v>0</v>
      </c>
    </row>
    <row r="254" spans="1:9" s="416" customFormat="1" hidden="1" x14ac:dyDescent="0.15">
      <c r="A254" s="454"/>
      <c r="B254" s="453" t="s">
        <v>881</v>
      </c>
      <c r="C254" s="454" t="s">
        <v>382</v>
      </c>
      <c r="D254" s="308">
        <v>0</v>
      </c>
      <c r="E254" s="308">
        <v>0</v>
      </c>
      <c r="F254" s="308">
        <v>0</v>
      </c>
      <c r="G254" s="459"/>
      <c r="H254" s="457">
        <v>0</v>
      </c>
      <c r="I254" s="494">
        <f>SUM(G254+H254)</f>
        <v>0</v>
      </c>
    </row>
    <row r="255" spans="1:9" s="416" customFormat="1" x14ac:dyDescent="0.15">
      <c r="A255" s="454"/>
      <c r="B255" s="453" t="s">
        <v>881</v>
      </c>
      <c r="C255" s="454" t="s">
        <v>338</v>
      </c>
      <c r="D255" s="308">
        <v>0</v>
      </c>
      <c r="E255" s="308">
        <v>0</v>
      </c>
      <c r="F255" s="308">
        <v>0</v>
      </c>
      <c r="G255" s="308">
        <v>0</v>
      </c>
      <c r="H255" s="457">
        <v>0</v>
      </c>
      <c r="I255" s="494">
        <f>SUM(G255+H255)</f>
        <v>0</v>
      </c>
    </row>
    <row r="256" spans="1:9" ht="10.5" customHeight="1" x14ac:dyDescent="0.15">
      <c r="A256" s="442"/>
      <c r="B256" s="451" t="s">
        <v>882</v>
      </c>
      <c r="C256" s="135" t="s">
        <v>1058</v>
      </c>
      <c r="D256" s="144">
        <v>0</v>
      </c>
      <c r="E256" s="144">
        <v>0</v>
      </c>
      <c r="F256" s="144">
        <v>0</v>
      </c>
      <c r="G256" s="144">
        <v>0</v>
      </c>
      <c r="H256" s="285">
        <v>0</v>
      </c>
      <c r="I256" s="507">
        <f t="shared" ref="I256:I279" si="12">SUM(G256+H256)</f>
        <v>0</v>
      </c>
    </row>
    <row r="257" spans="1:9" ht="10.5" customHeight="1" x14ac:dyDescent="0.15">
      <c r="A257" s="442"/>
      <c r="B257" s="451" t="s">
        <v>883</v>
      </c>
      <c r="C257" s="135" t="s">
        <v>1059</v>
      </c>
      <c r="D257" s="144">
        <v>0</v>
      </c>
      <c r="E257" s="144">
        <v>0</v>
      </c>
      <c r="F257" s="144">
        <v>0</v>
      </c>
      <c r="G257" s="144">
        <v>0</v>
      </c>
      <c r="H257" s="285">
        <v>0</v>
      </c>
      <c r="I257" s="507">
        <f t="shared" si="12"/>
        <v>0</v>
      </c>
    </row>
    <row r="258" spans="1:9" ht="10.5" customHeight="1" x14ac:dyDescent="0.15">
      <c r="A258" s="442"/>
      <c r="B258" s="451" t="s">
        <v>1060</v>
      </c>
      <c r="C258" s="135" t="s">
        <v>1061</v>
      </c>
      <c r="D258" s="144">
        <v>0</v>
      </c>
      <c r="E258" s="144">
        <v>0</v>
      </c>
      <c r="F258" s="144">
        <v>0</v>
      </c>
      <c r="G258" s="144">
        <v>0</v>
      </c>
      <c r="H258" s="285">
        <v>0</v>
      </c>
      <c r="I258" s="507">
        <f t="shared" si="12"/>
        <v>0</v>
      </c>
    </row>
    <row r="259" spans="1:9" ht="10.5" customHeight="1" x14ac:dyDescent="0.15">
      <c r="A259" s="442"/>
      <c r="B259" s="451" t="s">
        <v>1062</v>
      </c>
      <c r="C259" s="135" t="s">
        <v>1063</v>
      </c>
      <c r="D259" s="144">
        <v>0</v>
      </c>
      <c r="E259" s="144">
        <v>0</v>
      </c>
      <c r="F259" s="144">
        <v>0</v>
      </c>
      <c r="G259" s="144">
        <v>0</v>
      </c>
      <c r="H259" s="285">
        <v>0</v>
      </c>
      <c r="I259" s="507">
        <f t="shared" si="12"/>
        <v>0</v>
      </c>
    </row>
    <row r="260" spans="1:9" ht="10.5" customHeight="1" x14ac:dyDescent="0.15">
      <c r="A260" s="442"/>
      <c r="B260" s="451" t="s">
        <v>884</v>
      </c>
      <c r="C260" s="135" t="s">
        <v>1064</v>
      </c>
      <c r="D260" s="144">
        <v>0</v>
      </c>
      <c r="E260" s="144">
        <v>0</v>
      </c>
      <c r="F260" s="144">
        <v>0</v>
      </c>
      <c r="G260" s="144">
        <v>0</v>
      </c>
      <c r="H260" s="285">
        <v>0</v>
      </c>
      <c r="I260" s="507">
        <f t="shared" si="12"/>
        <v>0</v>
      </c>
    </row>
    <row r="261" spans="1:9" ht="10.5" customHeight="1" x14ac:dyDescent="0.15">
      <c r="A261" s="442"/>
      <c r="B261" s="716" t="s">
        <v>155</v>
      </c>
      <c r="C261" s="703" t="s">
        <v>178</v>
      </c>
      <c r="D261" s="144">
        <v>0</v>
      </c>
      <c r="E261" s="144">
        <v>0</v>
      </c>
      <c r="F261" s="144">
        <v>0</v>
      </c>
      <c r="G261" s="144">
        <v>0</v>
      </c>
      <c r="H261" s="285">
        <v>0</v>
      </c>
      <c r="I261" s="507">
        <f t="shared" ref="I261" si="13">SUM(G261+H261)</f>
        <v>0</v>
      </c>
    </row>
    <row r="262" spans="1:9" ht="10.5" customHeight="1" x14ac:dyDescent="0.15">
      <c r="A262" s="442"/>
      <c r="B262" s="451" t="s">
        <v>927</v>
      </c>
      <c r="C262" s="135" t="s">
        <v>959</v>
      </c>
      <c r="D262" s="144">
        <v>0</v>
      </c>
      <c r="E262" s="144">
        <v>0</v>
      </c>
      <c r="F262" s="144">
        <v>0</v>
      </c>
      <c r="G262" s="144">
        <v>0</v>
      </c>
      <c r="H262" s="285">
        <v>0</v>
      </c>
      <c r="I262" s="507">
        <f t="shared" si="12"/>
        <v>0</v>
      </c>
    </row>
    <row r="263" spans="1:9" ht="10.5" customHeight="1" x14ac:dyDescent="0.15">
      <c r="A263" s="442"/>
      <c r="B263" s="451" t="s">
        <v>928</v>
      </c>
      <c r="C263" s="135" t="s">
        <v>961</v>
      </c>
      <c r="D263" s="144">
        <v>0</v>
      </c>
      <c r="E263" s="144">
        <v>0</v>
      </c>
      <c r="F263" s="144">
        <v>0</v>
      </c>
      <c r="G263" s="144">
        <v>0</v>
      </c>
      <c r="H263" s="285">
        <v>0</v>
      </c>
      <c r="I263" s="507">
        <f t="shared" si="12"/>
        <v>0</v>
      </c>
    </row>
    <row r="264" spans="1:9" ht="10.5" customHeight="1" x14ac:dyDescent="0.15">
      <c r="A264" s="442"/>
      <c r="B264" s="451" t="s">
        <v>962</v>
      </c>
      <c r="C264" s="135" t="s">
        <v>967</v>
      </c>
      <c r="D264" s="144">
        <v>0</v>
      </c>
      <c r="E264" s="144">
        <v>0</v>
      </c>
      <c r="F264" s="144">
        <v>0</v>
      </c>
      <c r="G264" s="144">
        <v>0</v>
      </c>
      <c r="H264" s="285">
        <v>0</v>
      </c>
      <c r="I264" s="507">
        <f t="shared" si="12"/>
        <v>0</v>
      </c>
    </row>
    <row r="265" spans="1:9" ht="10.5" customHeight="1" x14ac:dyDescent="0.15">
      <c r="A265" s="442"/>
      <c r="B265" s="451" t="s">
        <v>963</v>
      </c>
      <c r="C265" s="135" t="s">
        <v>1124</v>
      </c>
      <c r="D265" s="144">
        <v>0</v>
      </c>
      <c r="E265" s="144">
        <v>0</v>
      </c>
      <c r="F265" s="144">
        <v>0</v>
      </c>
      <c r="G265" s="144">
        <v>0</v>
      </c>
      <c r="H265" s="285">
        <v>0</v>
      </c>
      <c r="I265" s="507">
        <f t="shared" si="12"/>
        <v>0</v>
      </c>
    </row>
    <row r="266" spans="1:9" ht="10.5" customHeight="1" x14ac:dyDescent="0.15">
      <c r="A266" s="442"/>
      <c r="B266" s="451" t="s">
        <v>964</v>
      </c>
      <c r="C266" s="135" t="s">
        <v>1094</v>
      </c>
      <c r="D266" s="144">
        <v>0</v>
      </c>
      <c r="E266" s="144">
        <v>0</v>
      </c>
      <c r="F266" s="144">
        <v>0</v>
      </c>
      <c r="G266" s="144">
        <v>0</v>
      </c>
      <c r="H266" s="285">
        <v>0</v>
      </c>
      <c r="I266" s="507">
        <f t="shared" si="12"/>
        <v>0</v>
      </c>
    </row>
    <row r="267" spans="1:9" ht="10.5" customHeight="1" x14ac:dyDescent="0.15">
      <c r="A267" s="442"/>
      <c r="B267" s="451" t="s">
        <v>965</v>
      </c>
      <c r="C267" s="135" t="s">
        <v>1095</v>
      </c>
      <c r="D267" s="144">
        <v>0</v>
      </c>
      <c r="E267" s="144">
        <v>0</v>
      </c>
      <c r="F267" s="144">
        <v>0</v>
      </c>
      <c r="G267" s="144">
        <v>0</v>
      </c>
      <c r="H267" s="285">
        <v>0</v>
      </c>
      <c r="I267" s="507">
        <f t="shared" si="12"/>
        <v>0</v>
      </c>
    </row>
    <row r="268" spans="1:9" ht="10.5" customHeight="1" x14ac:dyDescent="0.15">
      <c r="A268" s="442"/>
      <c r="B268" s="451" t="s">
        <v>1239</v>
      </c>
      <c r="C268" s="135" t="s">
        <v>1352</v>
      </c>
      <c r="D268" s="144">
        <v>0</v>
      </c>
      <c r="E268" s="144">
        <v>0</v>
      </c>
      <c r="F268" s="144">
        <v>0</v>
      </c>
      <c r="G268" s="144">
        <v>0</v>
      </c>
      <c r="H268" s="285">
        <v>0</v>
      </c>
      <c r="I268" s="507">
        <f t="shared" si="12"/>
        <v>0</v>
      </c>
    </row>
    <row r="269" spans="1:9" ht="10.5" customHeight="1" x14ac:dyDescent="0.15">
      <c r="A269" s="442"/>
      <c r="B269" s="451" t="s">
        <v>885</v>
      </c>
      <c r="C269" s="135" t="s">
        <v>1096</v>
      </c>
      <c r="D269" s="144">
        <v>0</v>
      </c>
      <c r="E269" s="144">
        <v>0</v>
      </c>
      <c r="F269" s="144">
        <v>0</v>
      </c>
      <c r="G269" s="144">
        <v>0</v>
      </c>
      <c r="H269" s="285">
        <v>0</v>
      </c>
      <c r="I269" s="507">
        <f t="shared" si="12"/>
        <v>0</v>
      </c>
    </row>
    <row r="270" spans="1:9" ht="10.5" customHeight="1" x14ac:dyDescent="0.15">
      <c r="A270" s="442"/>
      <c r="B270" s="451" t="s">
        <v>966</v>
      </c>
      <c r="C270" s="135" t="s">
        <v>1097</v>
      </c>
      <c r="D270" s="144">
        <v>0</v>
      </c>
      <c r="E270" s="144">
        <v>0</v>
      </c>
      <c r="F270" s="144">
        <v>0</v>
      </c>
      <c r="G270" s="144">
        <v>0</v>
      </c>
      <c r="H270" s="285">
        <v>0</v>
      </c>
      <c r="I270" s="507">
        <f t="shared" si="12"/>
        <v>0</v>
      </c>
    </row>
    <row r="271" spans="1:9" ht="10.5" customHeight="1" x14ac:dyDescent="0.15">
      <c r="A271" s="442"/>
      <c r="B271" s="451" t="s">
        <v>886</v>
      </c>
      <c r="C271" s="135" t="s">
        <v>1100</v>
      </c>
      <c r="D271" s="144">
        <v>0</v>
      </c>
      <c r="E271" s="144">
        <v>0</v>
      </c>
      <c r="F271" s="144">
        <v>0</v>
      </c>
      <c r="G271" s="144">
        <v>0</v>
      </c>
      <c r="H271" s="285">
        <v>0</v>
      </c>
      <c r="I271" s="507">
        <f t="shared" si="12"/>
        <v>0</v>
      </c>
    </row>
    <row r="272" spans="1:9" ht="10.5" customHeight="1" x14ac:dyDescent="0.15">
      <c r="A272" s="442"/>
      <c r="B272" s="451" t="s">
        <v>116</v>
      </c>
      <c r="C272" s="135" t="s">
        <v>1105</v>
      </c>
      <c r="D272" s="144">
        <v>0</v>
      </c>
      <c r="E272" s="144">
        <v>0</v>
      </c>
      <c r="F272" s="144">
        <v>0</v>
      </c>
      <c r="G272" s="144">
        <v>0</v>
      </c>
      <c r="H272" s="285">
        <v>0</v>
      </c>
      <c r="I272" s="507">
        <f t="shared" si="12"/>
        <v>0</v>
      </c>
    </row>
    <row r="273" spans="1:9" ht="10.5" customHeight="1" x14ac:dyDescent="0.15">
      <c r="A273" s="442"/>
      <c r="B273" s="451" t="s">
        <v>112</v>
      </c>
      <c r="C273" s="135" t="s">
        <v>1110</v>
      </c>
      <c r="D273" s="144">
        <v>0</v>
      </c>
      <c r="E273" s="144">
        <v>0</v>
      </c>
      <c r="F273" s="144">
        <v>0</v>
      </c>
      <c r="G273" s="144">
        <v>0</v>
      </c>
      <c r="H273" s="285">
        <v>0</v>
      </c>
      <c r="I273" s="507">
        <f t="shared" si="12"/>
        <v>0</v>
      </c>
    </row>
    <row r="274" spans="1:9" ht="10.5" customHeight="1" x14ac:dyDescent="0.15">
      <c r="A274" s="442"/>
      <c r="B274" s="451" t="s">
        <v>887</v>
      </c>
      <c r="C274" s="135" t="s">
        <v>1116</v>
      </c>
      <c r="D274" s="144">
        <v>0</v>
      </c>
      <c r="E274" s="144">
        <v>0</v>
      </c>
      <c r="F274" s="144">
        <v>0</v>
      </c>
      <c r="G274" s="144">
        <v>0</v>
      </c>
      <c r="H274" s="285">
        <v>0</v>
      </c>
      <c r="I274" s="507">
        <f t="shared" si="12"/>
        <v>0</v>
      </c>
    </row>
    <row r="275" spans="1:9" ht="10.5" customHeight="1" x14ac:dyDescent="0.15">
      <c r="A275" s="442"/>
      <c r="B275" s="451" t="s">
        <v>1112</v>
      </c>
      <c r="C275" s="135" t="s">
        <v>1117</v>
      </c>
      <c r="D275" s="144">
        <v>0</v>
      </c>
      <c r="E275" s="144">
        <v>0</v>
      </c>
      <c r="F275" s="144">
        <v>0</v>
      </c>
      <c r="G275" s="144">
        <v>0</v>
      </c>
      <c r="H275" s="285">
        <v>0</v>
      </c>
      <c r="I275" s="507">
        <f t="shared" si="12"/>
        <v>0</v>
      </c>
    </row>
    <row r="276" spans="1:9" ht="10.5" customHeight="1" x14ac:dyDescent="0.15">
      <c r="A276" s="442"/>
      <c r="B276" s="451" t="s">
        <v>1113</v>
      </c>
      <c r="C276" s="135" t="s">
        <v>1118</v>
      </c>
      <c r="D276" s="144">
        <v>0</v>
      </c>
      <c r="E276" s="144">
        <v>0</v>
      </c>
      <c r="F276" s="144">
        <v>0</v>
      </c>
      <c r="G276" s="144">
        <v>0</v>
      </c>
      <c r="H276" s="285">
        <v>0</v>
      </c>
      <c r="I276" s="507">
        <f t="shared" si="12"/>
        <v>0</v>
      </c>
    </row>
    <row r="277" spans="1:9" ht="10.5" customHeight="1" x14ac:dyDescent="0.15">
      <c r="A277" s="442"/>
      <c r="B277" s="451" t="s">
        <v>1114</v>
      </c>
      <c r="C277" s="135" t="s">
        <v>1119</v>
      </c>
      <c r="D277" s="144">
        <v>0</v>
      </c>
      <c r="E277" s="144">
        <v>0</v>
      </c>
      <c r="F277" s="144">
        <v>0</v>
      </c>
      <c r="G277" s="144">
        <v>0</v>
      </c>
      <c r="H277" s="285">
        <v>0</v>
      </c>
      <c r="I277" s="507">
        <f t="shared" si="12"/>
        <v>0</v>
      </c>
    </row>
    <row r="278" spans="1:9" ht="10.5" customHeight="1" x14ac:dyDescent="0.15">
      <c r="A278" s="442"/>
      <c r="B278" s="451" t="s">
        <v>1115</v>
      </c>
      <c r="C278" s="135" t="s">
        <v>1120</v>
      </c>
      <c r="D278" s="144">
        <v>0</v>
      </c>
      <c r="E278" s="144">
        <v>0</v>
      </c>
      <c r="F278" s="144">
        <v>0</v>
      </c>
      <c r="G278" s="144">
        <v>0</v>
      </c>
      <c r="H278" s="285">
        <v>0</v>
      </c>
      <c r="I278" s="507">
        <f t="shared" si="12"/>
        <v>0</v>
      </c>
    </row>
    <row r="279" spans="1:9" ht="10.5" customHeight="1" thickBot="1" x14ac:dyDescent="0.2">
      <c r="A279" s="442"/>
      <c r="B279" s="451" t="s">
        <v>114</v>
      </c>
      <c r="C279" s="135" t="s">
        <v>1121</v>
      </c>
      <c r="D279" s="141">
        <v>0</v>
      </c>
      <c r="E279" s="141">
        <v>0</v>
      </c>
      <c r="F279" s="141">
        <v>0</v>
      </c>
      <c r="G279" s="141">
        <v>0</v>
      </c>
      <c r="H279" s="285">
        <v>0</v>
      </c>
      <c r="I279" s="507">
        <f t="shared" si="12"/>
        <v>0</v>
      </c>
    </row>
    <row r="280" spans="1:9" ht="10.5" customHeight="1" thickTop="1" thickBot="1" x14ac:dyDescent="0.2">
      <c r="A280" s="442"/>
      <c r="B280" s="451"/>
      <c r="C280" s="135" t="s">
        <v>107</v>
      </c>
      <c r="D280" s="166">
        <f>SUM(D252:D279)</f>
        <v>0</v>
      </c>
      <c r="E280" s="166">
        <f>SUM(E252:E279)</f>
        <v>0</v>
      </c>
      <c r="F280" s="166">
        <f>SUM(F252:F279)</f>
        <v>0</v>
      </c>
      <c r="G280" s="166">
        <f>SUM(G252:G279)</f>
        <v>0</v>
      </c>
      <c r="H280" s="166">
        <f>SUM(H252:H279)</f>
        <v>0</v>
      </c>
      <c r="I280" s="166">
        <f>G280+H280</f>
        <v>0</v>
      </c>
    </row>
    <row r="281" spans="1:9" ht="10.5" customHeight="1" thickTop="1" x14ac:dyDescent="0.15">
      <c r="A281" s="442"/>
      <c r="B281" s="451"/>
      <c r="C281" s="135"/>
      <c r="D281" s="14"/>
      <c r="E281" s="14"/>
      <c r="F281" s="14"/>
      <c r="G281" s="14"/>
      <c r="H281" s="14"/>
      <c r="I281" s="491"/>
    </row>
    <row r="282" spans="1:9" ht="10.5" customHeight="1" x14ac:dyDescent="0.15">
      <c r="A282" s="442" t="s">
        <v>1589</v>
      </c>
      <c r="C282" s="135"/>
      <c r="D282" s="14"/>
      <c r="E282" s="14"/>
      <c r="F282" s="14"/>
      <c r="G282" s="14"/>
      <c r="H282" s="195"/>
      <c r="I282" s="167"/>
    </row>
    <row r="283" spans="1:9" s="416" customFormat="1" hidden="1" x14ac:dyDescent="0.15">
      <c r="B283" s="453" t="s">
        <v>880</v>
      </c>
      <c r="C283" s="454" t="s">
        <v>1164</v>
      </c>
      <c r="D283" s="308">
        <v>0</v>
      </c>
      <c r="E283" s="308">
        <v>0</v>
      </c>
      <c r="F283" s="308">
        <v>0</v>
      </c>
      <c r="G283" s="458"/>
      <c r="H283" s="457">
        <v>0</v>
      </c>
      <c r="I283" s="494">
        <f>SUM(G283+H283)</f>
        <v>0</v>
      </c>
    </row>
    <row r="284" spans="1:9" s="416" customFormat="1" x14ac:dyDescent="0.15">
      <c r="B284" s="453" t="s">
        <v>880</v>
      </c>
      <c r="C284" s="454" t="s">
        <v>337</v>
      </c>
      <c r="D284" s="308">
        <v>0</v>
      </c>
      <c r="E284" s="308">
        <v>0</v>
      </c>
      <c r="F284" s="308">
        <v>0</v>
      </c>
      <c r="G284" s="308">
        <v>0</v>
      </c>
      <c r="H284" s="457">
        <v>0</v>
      </c>
      <c r="I284" s="494">
        <f>SUM(G284+H284)</f>
        <v>0</v>
      </c>
    </row>
    <row r="285" spans="1:9" s="416" customFormat="1" hidden="1" x14ac:dyDescent="0.15">
      <c r="A285" s="454"/>
      <c r="B285" s="453" t="s">
        <v>881</v>
      </c>
      <c r="C285" s="454" t="s">
        <v>382</v>
      </c>
      <c r="D285" s="308">
        <v>0</v>
      </c>
      <c r="E285" s="308">
        <v>0</v>
      </c>
      <c r="F285" s="308">
        <v>0</v>
      </c>
      <c r="G285" s="459"/>
      <c r="H285" s="457">
        <v>0</v>
      </c>
      <c r="I285" s="494">
        <f>SUM(G285+H285)</f>
        <v>0</v>
      </c>
    </row>
    <row r="286" spans="1:9" s="416" customFormat="1" x14ac:dyDescent="0.15">
      <c r="A286" s="454"/>
      <c r="B286" s="453" t="s">
        <v>881</v>
      </c>
      <c r="C286" s="454" t="s">
        <v>338</v>
      </c>
      <c r="D286" s="308">
        <v>0</v>
      </c>
      <c r="E286" s="308">
        <v>0</v>
      </c>
      <c r="F286" s="308">
        <v>0</v>
      </c>
      <c r="G286" s="308">
        <v>0</v>
      </c>
      <c r="H286" s="457">
        <v>0</v>
      </c>
      <c r="I286" s="494">
        <f>SUM(G286+H286)</f>
        <v>0</v>
      </c>
    </row>
    <row r="287" spans="1:9" ht="10.5" customHeight="1" x14ac:dyDescent="0.15">
      <c r="A287" s="442"/>
      <c r="B287" s="451" t="s">
        <v>882</v>
      </c>
      <c r="C287" s="135" t="s">
        <v>1058</v>
      </c>
      <c r="D287" s="144">
        <v>0</v>
      </c>
      <c r="E287" s="144">
        <v>0</v>
      </c>
      <c r="F287" s="144">
        <v>0</v>
      </c>
      <c r="G287" s="144">
        <v>0</v>
      </c>
      <c r="H287" s="285">
        <v>0</v>
      </c>
      <c r="I287" s="507">
        <f t="shared" ref="I287:I310" si="14">SUM(G287+H287)</f>
        <v>0</v>
      </c>
    </row>
    <row r="288" spans="1:9" ht="10.5" customHeight="1" x14ac:dyDescent="0.15">
      <c r="A288" s="442"/>
      <c r="B288" s="451" t="s">
        <v>883</v>
      </c>
      <c r="C288" s="135" t="s">
        <v>1059</v>
      </c>
      <c r="D288" s="144">
        <v>0</v>
      </c>
      <c r="E288" s="144">
        <v>0</v>
      </c>
      <c r="F288" s="144">
        <v>0</v>
      </c>
      <c r="G288" s="144">
        <v>0</v>
      </c>
      <c r="H288" s="285">
        <v>0</v>
      </c>
      <c r="I288" s="507">
        <f t="shared" si="14"/>
        <v>0</v>
      </c>
    </row>
    <row r="289" spans="1:9" ht="10.5" customHeight="1" x14ac:dyDescent="0.15">
      <c r="A289" s="442"/>
      <c r="B289" s="451" t="s">
        <v>1060</v>
      </c>
      <c r="C289" s="135" t="s">
        <v>1061</v>
      </c>
      <c r="D289" s="144">
        <v>0</v>
      </c>
      <c r="E289" s="144">
        <v>0</v>
      </c>
      <c r="F289" s="144">
        <v>0</v>
      </c>
      <c r="G289" s="144">
        <v>0</v>
      </c>
      <c r="H289" s="285">
        <v>0</v>
      </c>
      <c r="I289" s="507">
        <f t="shared" si="14"/>
        <v>0</v>
      </c>
    </row>
    <row r="290" spans="1:9" ht="10.5" customHeight="1" x14ac:dyDescent="0.15">
      <c r="A290" s="442"/>
      <c r="B290" s="451" t="s">
        <v>1062</v>
      </c>
      <c r="C290" s="135" t="s">
        <v>1063</v>
      </c>
      <c r="D290" s="144">
        <v>0</v>
      </c>
      <c r="E290" s="144">
        <v>0</v>
      </c>
      <c r="F290" s="144">
        <v>0</v>
      </c>
      <c r="G290" s="144">
        <v>0</v>
      </c>
      <c r="H290" s="285">
        <v>0</v>
      </c>
      <c r="I290" s="507">
        <f t="shared" si="14"/>
        <v>0</v>
      </c>
    </row>
    <row r="291" spans="1:9" ht="10.5" customHeight="1" x14ac:dyDescent="0.15">
      <c r="A291" s="442"/>
      <c r="B291" s="451" t="s">
        <v>884</v>
      </c>
      <c r="C291" s="135" t="s">
        <v>1064</v>
      </c>
      <c r="D291" s="144">
        <v>0</v>
      </c>
      <c r="E291" s="144">
        <v>0</v>
      </c>
      <c r="F291" s="144">
        <v>0</v>
      </c>
      <c r="G291" s="144">
        <v>0</v>
      </c>
      <c r="H291" s="285">
        <v>0</v>
      </c>
      <c r="I291" s="507">
        <f t="shared" si="14"/>
        <v>0</v>
      </c>
    </row>
    <row r="292" spans="1:9" ht="10.5" customHeight="1" x14ac:dyDescent="0.15">
      <c r="A292" s="442"/>
      <c r="B292" s="716" t="s">
        <v>155</v>
      </c>
      <c r="C292" s="703" t="s">
        <v>178</v>
      </c>
      <c r="D292" s="144">
        <v>0</v>
      </c>
      <c r="E292" s="144">
        <v>0</v>
      </c>
      <c r="F292" s="144">
        <v>0</v>
      </c>
      <c r="G292" s="144">
        <v>0</v>
      </c>
      <c r="H292" s="285">
        <v>0</v>
      </c>
      <c r="I292" s="507">
        <f t="shared" si="14"/>
        <v>0</v>
      </c>
    </row>
    <row r="293" spans="1:9" ht="10.5" customHeight="1" x14ac:dyDescent="0.15">
      <c r="A293" s="442"/>
      <c r="B293" s="451" t="s">
        <v>927</v>
      </c>
      <c r="C293" s="135" t="s">
        <v>959</v>
      </c>
      <c r="D293" s="144">
        <v>0</v>
      </c>
      <c r="E293" s="144">
        <v>0</v>
      </c>
      <c r="F293" s="144">
        <v>0</v>
      </c>
      <c r="G293" s="144">
        <v>0</v>
      </c>
      <c r="H293" s="285">
        <v>0</v>
      </c>
      <c r="I293" s="507">
        <f t="shared" si="14"/>
        <v>0</v>
      </c>
    </row>
    <row r="294" spans="1:9" ht="10.5" customHeight="1" x14ac:dyDescent="0.15">
      <c r="A294" s="442"/>
      <c r="B294" s="451" t="s">
        <v>928</v>
      </c>
      <c r="C294" s="135" t="s">
        <v>961</v>
      </c>
      <c r="D294" s="144">
        <v>0</v>
      </c>
      <c r="E294" s="144">
        <v>0</v>
      </c>
      <c r="F294" s="144">
        <v>0</v>
      </c>
      <c r="G294" s="144">
        <v>0</v>
      </c>
      <c r="H294" s="285">
        <v>0</v>
      </c>
      <c r="I294" s="507">
        <f t="shared" si="14"/>
        <v>0</v>
      </c>
    </row>
    <row r="295" spans="1:9" ht="10.5" customHeight="1" x14ac:dyDescent="0.15">
      <c r="A295" s="442"/>
      <c r="B295" s="451" t="s">
        <v>962</v>
      </c>
      <c r="C295" s="135" t="s">
        <v>967</v>
      </c>
      <c r="D295" s="144">
        <v>0</v>
      </c>
      <c r="E295" s="144">
        <v>0</v>
      </c>
      <c r="F295" s="144">
        <v>0</v>
      </c>
      <c r="G295" s="144">
        <v>0</v>
      </c>
      <c r="H295" s="285">
        <v>0</v>
      </c>
      <c r="I295" s="507">
        <f t="shared" si="14"/>
        <v>0</v>
      </c>
    </row>
    <row r="296" spans="1:9" ht="10.5" customHeight="1" x14ac:dyDescent="0.15">
      <c r="A296" s="442"/>
      <c r="B296" s="451" t="s">
        <v>963</v>
      </c>
      <c r="C296" s="135" t="s">
        <v>1124</v>
      </c>
      <c r="D296" s="144">
        <v>0</v>
      </c>
      <c r="E296" s="144">
        <v>0</v>
      </c>
      <c r="F296" s="144">
        <v>0</v>
      </c>
      <c r="G296" s="144">
        <v>0</v>
      </c>
      <c r="H296" s="285">
        <v>0</v>
      </c>
      <c r="I296" s="507">
        <f t="shared" si="14"/>
        <v>0</v>
      </c>
    </row>
    <row r="297" spans="1:9" ht="10.5" customHeight="1" x14ac:dyDescent="0.15">
      <c r="A297" s="442"/>
      <c r="B297" s="451" t="s">
        <v>964</v>
      </c>
      <c r="C297" s="135" t="s">
        <v>1094</v>
      </c>
      <c r="D297" s="144">
        <v>0</v>
      </c>
      <c r="E297" s="144">
        <v>0</v>
      </c>
      <c r="F297" s="144">
        <v>0</v>
      </c>
      <c r="G297" s="144">
        <v>0</v>
      </c>
      <c r="H297" s="285">
        <v>0</v>
      </c>
      <c r="I297" s="507">
        <f t="shared" si="14"/>
        <v>0</v>
      </c>
    </row>
    <row r="298" spans="1:9" ht="10.5" customHeight="1" x14ac:dyDescent="0.15">
      <c r="A298" s="442"/>
      <c r="B298" s="451" t="s">
        <v>965</v>
      </c>
      <c r="C298" s="135" t="s">
        <v>1095</v>
      </c>
      <c r="D298" s="144">
        <v>0</v>
      </c>
      <c r="E298" s="144">
        <v>0</v>
      </c>
      <c r="F298" s="144">
        <v>0</v>
      </c>
      <c r="G298" s="144">
        <v>0</v>
      </c>
      <c r="H298" s="285">
        <v>0</v>
      </c>
      <c r="I298" s="507">
        <f t="shared" si="14"/>
        <v>0</v>
      </c>
    </row>
    <row r="299" spans="1:9" ht="10.5" customHeight="1" x14ac:dyDescent="0.15">
      <c r="A299" s="442"/>
      <c r="B299" s="451" t="s">
        <v>1239</v>
      </c>
      <c r="C299" s="135" t="s">
        <v>1352</v>
      </c>
      <c r="D299" s="144">
        <v>0</v>
      </c>
      <c r="E299" s="144">
        <v>0</v>
      </c>
      <c r="F299" s="144">
        <v>0</v>
      </c>
      <c r="G299" s="144">
        <v>0</v>
      </c>
      <c r="H299" s="285">
        <v>0</v>
      </c>
      <c r="I299" s="507">
        <f t="shared" si="14"/>
        <v>0</v>
      </c>
    </row>
    <row r="300" spans="1:9" ht="10.5" customHeight="1" x14ac:dyDescent="0.15">
      <c r="A300" s="442"/>
      <c r="B300" s="451" t="s">
        <v>885</v>
      </c>
      <c r="C300" s="135" t="s">
        <v>1096</v>
      </c>
      <c r="D300" s="144">
        <v>0</v>
      </c>
      <c r="E300" s="144">
        <v>0</v>
      </c>
      <c r="F300" s="144">
        <v>0</v>
      </c>
      <c r="G300" s="144">
        <v>0</v>
      </c>
      <c r="H300" s="285">
        <v>0</v>
      </c>
      <c r="I300" s="507">
        <f t="shared" si="14"/>
        <v>0</v>
      </c>
    </row>
    <row r="301" spans="1:9" ht="10.5" customHeight="1" x14ac:dyDescent="0.15">
      <c r="A301" s="442"/>
      <c r="B301" s="451" t="s">
        <v>966</v>
      </c>
      <c r="C301" s="135" t="s">
        <v>1097</v>
      </c>
      <c r="D301" s="144">
        <v>0</v>
      </c>
      <c r="E301" s="144">
        <v>0</v>
      </c>
      <c r="F301" s="144">
        <v>0</v>
      </c>
      <c r="G301" s="144">
        <v>0</v>
      </c>
      <c r="H301" s="285">
        <v>0</v>
      </c>
      <c r="I301" s="507">
        <f t="shared" si="14"/>
        <v>0</v>
      </c>
    </row>
    <row r="302" spans="1:9" ht="10.5" customHeight="1" x14ac:dyDescent="0.15">
      <c r="A302" s="442"/>
      <c r="B302" s="451" t="s">
        <v>886</v>
      </c>
      <c r="C302" s="135" t="s">
        <v>1100</v>
      </c>
      <c r="D302" s="144">
        <v>0</v>
      </c>
      <c r="E302" s="144">
        <v>0</v>
      </c>
      <c r="F302" s="144">
        <v>0</v>
      </c>
      <c r="G302" s="144">
        <v>0</v>
      </c>
      <c r="H302" s="285">
        <v>0</v>
      </c>
      <c r="I302" s="507">
        <f t="shared" si="14"/>
        <v>0</v>
      </c>
    </row>
    <row r="303" spans="1:9" ht="10.5" customHeight="1" x14ac:dyDescent="0.15">
      <c r="A303" s="442"/>
      <c r="B303" s="451" t="s">
        <v>116</v>
      </c>
      <c r="C303" s="135" t="s">
        <v>1105</v>
      </c>
      <c r="D303" s="144">
        <v>0</v>
      </c>
      <c r="E303" s="144">
        <v>0</v>
      </c>
      <c r="F303" s="144">
        <v>0</v>
      </c>
      <c r="G303" s="144">
        <v>0</v>
      </c>
      <c r="H303" s="285">
        <v>0</v>
      </c>
      <c r="I303" s="507">
        <f t="shared" si="14"/>
        <v>0</v>
      </c>
    </row>
    <row r="304" spans="1:9" ht="10.5" customHeight="1" x14ac:dyDescent="0.15">
      <c r="A304" s="442"/>
      <c r="B304" s="451" t="s">
        <v>112</v>
      </c>
      <c r="C304" s="135" t="s">
        <v>1110</v>
      </c>
      <c r="D304" s="144">
        <v>0</v>
      </c>
      <c r="E304" s="144">
        <v>0</v>
      </c>
      <c r="F304" s="144">
        <v>0</v>
      </c>
      <c r="G304" s="144">
        <v>0</v>
      </c>
      <c r="H304" s="285">
        <v>0</v>
      </c>
      <c r="I304" s="507">
        <f t="shared" si="14"/>
        <v>0</v>
      </c>
    </row>
    <row r="305" spans="1:10" ht="10.5" customHeight="1" x14ac:dyDescent="0.15">
      <c r="A305" s="442"/>
      <c r="B305" s="451" t="s">
        <v>887</v>
      </c>
      <c r="C305" s="135" t="s">
        <v>1116</v>
      </c>
      <c r="D305" s="144">
        <v>0</v>
      </c>
      <c r="E305" s="144">
        <v>0</v>
      </c>
      <c r="F305" s="144">
        <v>0</v>
      </c>
      <c r="G305" s="144">
        <v>0</v>
      </c>
      <c r="H305" s="285">
        <v>0</v>
      </c>
      <c r="I305" s="507">
        <f t="shared" si="14"/>
        <v>0</v>
      </c>
    </row>
    <row r="306" spans="1:10" ht="10.5" customHeight="1" x14ac:dyDescent="0.15">
      <c r="A306" s="442"/>
      <c r="B306" s="451" t="s">
        <v>1112</v>
      </c>
      <c r="C306" s="135" t="s">
        <v>1117</v>
      </c>
      <c r="D306" s="144">
        <v>0</v>
      </c>
      <c r="E306" s="144">
        <v>0</v>
      </c>
      <c r="F306" s="144">
        <v>0</v>
      </c>
      <c r="G306" s="144">
        <v>0</v>
      </c>
      <c r="H306" s="285">
        <v>0</v>
      </c>
      <c r="I306" s="507">
        <f t="shared" si="14"/>
        <v>0</v>
      </c>
    </row>
    <row r="307" spans="1:10" ht="10.5" customHeight="1" x14ac:dyDescent="0.15">
      <c r="A307" s="442"/>
      <c r="B307" s="451" t="s">
        <v>1113</v>
      </c>
      <c r="C307" s="135" t="s">
        <v>1118</v>
      </c>
      <c r="D307" s="144">
        <v>0</v>
      </c>
      <c r="E307" s="144">
        <v>0</v>
      </c>
      <c r="F307" s="144">
        <v>0</v>
      </c>
      <c r="G307" s="144">
        <v>0</v>
      </c>
      <c r="H307" s="285">
        <v>0</v>
      </c>
      <c r="I307" s="507">
        <f t="shared" si="14"/>
        <v>0</v>
      </c>
    </row>
    <row r="308" spans="1:10" ht="10.5" customHeight="1" x14ac:dyDescent="0.15">
      <c r="A308" s="442"/>
      <c r="B308" s="451" t="s">
        <v>1114</v>
      </c>
      <c r="C308" s="135" t="s">
        <v>1119</v>
      </c>
      <c r="D308" s="144">
        <v>0</v>
      </c>
      <c r="E308" s="144">
        <v>0</v>
      </c>
      <c r="F308" s="144">
        <v>0</v>
      </c>
      <c r="G308" s="144">
        <v>0</v>
      </c>
      <c r="H308" s="285">
        <v>0</v>
      </c>
      <c r="I308" s="507">
        <f t="shared" si="14"/>
        <v>0</v>
      </c>
    </row>
    <row r="309" spans="1:10" ht="10.5" customHeight="1" x14ac:dyDescent="0.15">
      <c r="A309" s="442"/>
      <c r="B309" s="451" t="s">
        <v>1115</v>
      </c>
      <c r="C309" s="135" t="s">
        <v>1120</v>
      </c>
      <c r="D309" s="144">
        <v>0</v>
      </c>
      <c r="E309" s="144">
        <v>0</v>
      </c>
      <c r="F309" s="144">
        <v>0</v>
      </c>
      <c r="G309" s="144">
        <v>0</v>
      </c>
      <c r="H309" s="285">
        <v>0</v>
      </c>
      <c r="I309" s="507">
        <f t="shared" si="14"/>
        <v>0</v>
      </c>
    </row>
    <row r="310" spans="1:10" ht="10.5" customHeight="1" thickBot="1" x14ac:dyDescent="0.2">
      <c r="A310" s="442"/>
      <c r="B310" s="451" t="s">
        <v>114</v>
      </c>
      <c r="C310" s="135" t="s">
        <v>1121</v>
      </c>
      <c r="D310" s="141">
        <v>0</v>
      </c>
      <c r="E310" s="141">
        <v>0</v>
      </c>
      <c r="F310" s="141">
        <v>0</v>
      </c>
      <c r="G310" s="141">
        <v>0</v>
      </c>
      <c r="H310" s="285">
        <v>0</v>
      </c>
      <c r="I310" s="507">
        <f t="shared" si="14"/>
        <v>0</v>
      </c>
    </row>
    <row r="311" spans="1:10" ht="10.5" customHeight="1" thickTop="1" thickBot="1" x14ac:dyDescent="0.2">
      <c r="A311" s="442"/>
      <c r="B311" s="451"/>
      <c r="C311" s="135" t="s">
        <v>107</v>
      </c>
      <c r="D311" s="166">
        <f>SUM(D283:D310)</f>
        <v>0</v>
      </c>
      <c r="E311" s="166">
        <f>SUM(E283:E310)</f>
        <v>0</v>
      </c>
      <c r="F311" s="166">
        <f>SUM(F283:F310)</f>
        <v>0</v>
      </c>
      <c r="G311" s="166">
        <f>SUM(G283:G310)</f>
        <v>0</v>
      </c>
      <c r="H311" s="166">
        <f>SUM(H283:H310)</f>
        <v>0</v>
      </c>
      <c r="I311" s="166">
        <f>G311+H311</f>
        <v>0</v>
      </c>
    </row>
    <row r="312" spans="1:10" ht="10.5" customHeight="1" thickTop="1" x14ac:dyDescent="0.15">
      <c r="A312" s="442"/>
      <c r="B312" s="451"/>
      <c r="C312" s="135"/>
      <c r="D312" s="14"/>
      <c r="E312" s="14"/>
      <c r="F312" s="14"/>
      <c r="G312" s="14"/>
      <c r="H312" s="14"/>
      <c r="I312" s="491"/>
    </row>
    <row r="313" spans="1:10" ht="10.5" customHeight="1" x14ac:dyDescent="0.15">
      <c r="A313" s="442" t="s">
        <v>136</v>
      </c>
      <c r="C313" s="135"/>
      <c r="D313" s="14"/>
      <c r="E313" s="14"/>
      <c r="F313" s="14"/>
      <c r="G313" s="14"/>
      <c r="H313" s="14"/>
      <c r="I313" s="491"/>
    </row>
    <row r="314" spans="1:10" s="416" customFormat="1" hidden="1" x14ac:dyDescent="0.15">
      <c r="B314" s="453" t="s">
        <v>880</v>
      </c>
      <c r="C314" s="454" t="s">
        <v>1164</v>
      </c>
      <c r="D314" s="308">
        <v>0</v>
      </c>
      <c r="E314" s="308">
        <v>0</v>
      </c>
      <c r="F314" s="308">
        <v>0</v>
      </c>
      <c r="G314" s="458"/>
      <c r="H314" s="457">
        <v>0</v>
      </c>
      <c r="I314" s="494">
        <f>SUM(G314+H314)</f>
        <v>0</v>
      </c>
    </row>
    <row r="315" spans="1:10" s="416" customFormat="1" x14ac:dyDescent="0.15">
      <c r="B315" s="453" t="s">
        <v>880</v>
      </c>
      <c r="C315" s="454" t="s">
        <v>337</v>
      </c>
      <c r="D315" s="308">
        <v>0</v>
      </c>
      <c r="E315" s="308">
        <v>0</v>
      </c>
      <c r="F315" s="308">
        <v>0</v>
      </c>
      <c r="G315" s="308">
        <v>0</v>
      </c>
      <c r="H315" s="457">
        <v>0</v>
      </c>
      <c r="I315" s="494">
        <f>SUM(G315+H315)</f>
        <v>0</v>
      </c>
    </row>
    <row r="316" spans="1:10" s="416" customFormat="1" hidden="1" x14ac:dyDescent="0.15">
      <c r="A316" s="454"/>
      <c r="B316" s="453" t="s">
        <v>881</v>
      </c>
      <c r="C316" s="454" t="s">
        <v>382</v>
      </c>
      <c r="D316" s="308">
        <v>0</v>
      </c>
      <c r="E316" s="308">
        <v>0</v>
      </c>
      <c r="F316" s="308">
        <v>0</v>
      </c>
      <c r="G316" s="459"/>
      <c r="H316" s="457">
        <v>0</v>
      </c>
      <c r="I316" s="494">
        <f>SUM(G316+H316)</f>
        <v>0</v>
      </c>
    </row>
    <row r="317" spans="1:10" x14ac:dyDescent="0.15">
      <c r="A317" s="135"/>
      <c r="B317" s="451" t="s">
        <v>881</v>
      </c>
      <c r="C317" s="135" t="s">
        <v>338</v>
      </c>
      <c r="D317" s="144">
        <v>0</v>
      </c>
      <c r="E317" s="144">
        <v>0</v>
      </c>
      <c r="F317" s="144">
        <v>0</v>
      </c>
      <c r="G317" s="144">
        <v>0</v>
      </c>
      <c r="H317" s="147">
        <v>0</v>
      </c>
      <c r="I317" s="495">
        <f>SUM(G317+H317)</f>
        <v>0</v>
      </c>
      <c r="J317" s="416"/>
    </row>
    <row r="318" spans="1:10" ht="10.5" customHeight="1" x14ac:dyDescent="0.15">
      <c r="A318" s="442"/>
      <c r="B318" s="451" t="s">
        <v>882</v>
      </c>
      <c r="C318" s="135" t="s">
        <v>1058</v>
      </c>
      <c r="D318" s="144">
        <v>0</v>
      </c>
      <c r="E318" s="144">
        <v>0</v>
      </c>
      <c r="F318" s="144">
        <v>0</v>
      </c>
      <c r="G318" s="285">
        <v>0</v>
      </c>
      <c r="H318" s="285">
        <v>0</v>
      </c>
      <c r="I318" s="507">
        <f t="shared" ref="I318:I340" si="15">SUM(G318+H318)</f>
        <v>0</v>
      </c>
    </row>
    <row r="319" spans="1:10" ht="10.5" customHeight="1" x14ac:dyDescent="0.15">
      <c r="A319" s="442"/>
      <c r="B319" s="451" t="s">
        <v>883</v>
      </c>
      <c r="C319" s="135" t="s">
        <v>1059</v>
      </c>
      <c r="D319" s="144">
        <v>0</v>
      </c>
      <c r="E319" s="144">
        <v>0</v>
      </c>
      <c r="F319" s="144">
        <v>0</v>
      </c>
      <c r="G319" s="285">
        <v>0</v>
      </c>
      <c r="H319" s="285">
        <v>0</v>
      </c>
      <c r="I319" s="507">
        <f t="shared" si="15"/>
        <v>0</v>
      </c>
    </row>
    <row r="320" spans="1:10" ht="10.5" customHeight="1" x14ac:dyDescent="0.15">
      <c r="A320" s="442"/>
      <c r="B320" s="451" t="s">
        <v>1060</v>
      </c>
      <c r="C320" s="135" t="s">
        <v>1061</v>
      </c>
      <c r="D320" s="144">
        <v>0</v>
      </c>
      <c r="E320" s="144">
        <v>0</v>
      </c>
      <c r="F320" s="144">
        <v>0</v>
      </c>
      <c r="G320" s="285">
        <v>0</v>
      </c>
      <c r="H320" s="285">
        <v>0</v>
      </c>
      <c r="I320" s="507">
        <f t="shared" si="15"/>
        <v>0</v>
      </c>
    </row>
    <row r="321" spans="1:9" ht="10.5" customHeight="1" x14ac:dyDescent="0.15">
      <c r="A321" s="442"/>
      <c r="B321" s="451" t="s">
        <v>1062</v>
      </c>
      <c r="C321" s="135" t="s">
        <v>1063</v>
      </c>
      <c r="D321" s="144">
        <v>0</v>
      </c>
      <c r="E321" s="144">
        <v>0</v>
      </c>
      <c r="F321" s="144">
        <v>0</v>
      </c>
      <c r="G321" s="144">
        <v>0</v>
      </c>
      <c r="H321" s="285">
        <v>0</v>
      </c>
      <c r="I321" s="507">
        <f t="shared" si="15"/>
        <v>0</v>
      </c>
    </row>
    <row r="322" spans="1:9" ht="10.5" customHeight="1" x14ac:dyDescent="0.15">
      <c r="A322" s="442"/>
      <c r="B322" s="451" t="s">
        <v>884</v>
      </c>
      <c r="C322" s="135" t="s">
        <v>1064</v>
      </c>
      <c r="D322" s="144">
        <v>0</v>
      </c>
      <c r="E322" s="144">
        <v>0</v>
      </c>
      <c r="F322" s="144">
        <v>0</v>
      </c>
      <c r="G322" s="144">
        <v>0</v>
      </c>
      <c r="H322" s="285">
        <v>0</v>
      </c>
      <c r="I322" s="507">
        <f t="shared" si="15"/>
        <v>0</v>
      </c>
    </row>
    <row r="323" spans="1:9" ht="10.5" customHeight="1" x14ac:dyDescent="0.15">
      <c r="A323" s="442"/>
      <c r="B323" s="451" t="s">
        <v>1072</v>
      </c>
      <c r="C323" s="135" t="s">
        <v>920</v>
      </c>
      <c r="D323" s="144">
        <v>0</v>
      </c>
      <c r="E323" s="144">
        <v>0</v>
      </c>
      <c r="F323" s="144">
        <v>0</v>
      </c>
      <c r="G323" s="144">
        <v>0</v>
      </c>
      <c r="H323" s="285">
        <v>0</v>
      </c>
      <c r="I323" s="507">
        <f t="shared" si="15"/>
        <v>0</v>
      </c>
    </row>
    <row r="324" spans="1:9" ht="10.5" customHeight="1" x14ac:dyDescent="0.15">
      <c r="A324" s="442"/>
      <c r="B324" s="451" t="s">
        <v>155</v>
      </c>
      <c r="C324" s="135" t="s">
        <v>178</v>
      </c>
      <c r="D324" s="144">
        <v>0</v>
      </c>
      <c r="E324" s="144">
        <v>0</v>
      </c>
      <c r="F324" s="144">
        <v>0</v>
      </c>
      <c r="G324" s="144">
        <v>0</v>
      </c>
      <c r="H324" s="285">
        <v>0</v>
      </c>
      <c r="I324" s="507">
        <f t="shared" si="15"/>
        <v>0</v>
      </c>
    </row>
    <row r="325" spans="1:9" ht="10.5" customHeight="1" x14ac:dyDescent="0.15">
      <c r="A325" s="442"/>
      <c r="B325" s="451" t="s">
        <v>927</v>
      </c>
      <c r="C325" s="135" t="s">
        <v>959</v>
      </c>
      <c r="D325" s="144">
        <v>0</v>
      </c>
      <c r="E325" s="144">
        <v>0</v>
      </c>
      <c r="F325" s="144">
        <v>0</v>
      </c>
      <c r="G325" s="144">
        <v>0</v>
      </c>
      <c r="H325" s="285">
        <v>0</v>
      </c>
      <c r="I325" s="507">
        <f t="shared" si="15"/>
        <v>0</v>
      </c>
    </row>
    <row r="326" spans="1:9" ht="10.5" customHeight="1" x14ac:dyDescent="0.15">
      <c r="A326" s="442"/>
      <c r="B326" s="451" t="s">
        <v>928</v>
      </c>
      <c r="C326" s="135" t="s">
        <v>961</v>
      </c>
      <c r="D326" s="144">
        <v>0</v>
      </c>
      <c r="E326" s="144">
        <v>0</v>
      </c>
      <c r="F326" s="144">
        <v>0</v>
      </c>
      <c r="G326" s="144">
        <v>0</v>
      </c>
      <c r="H326" s="285">
        <v>0</v>
      </c>
      <c r="I326" s="507">
        <f t="shared" si="15"/>
        <v>0</v>
      </c>
    </row>
    <row r="327" spans="1:9" ht="10.5" customHeight="1" x14ac:dyDescent="0.15">
      <c r="A327" s="442"/>
      <c r="B327" s="451" t="s">
        <v>962</v>
      </c>
      <c r="C327" s="135" t="s">
        <v>967</v>
      </c>
      <c r="D327" s="144">
        <v>0</v>
      </c>
      <c r="E327" s="144">
        <v>0</v>
      </c>
      <c r="F327" s="144">
        <v>0</v>
      </c>
      <c r="G327" s="144">
        <v>0</v>
      </c>
      <c r="H327" s="285">
        <v>0</v>
      </c>
      <c r="I327" s="507">
        <f t="shared" si="15"/>
        <v>0</v>
      </c>
    </row>
    <row r="328" spans="1:9" ht="10.5" customHeight="1" x14ac:dyDescent="0.15">
      <c r="A328" s="442"/>
      <c r="B328" s="451" t="s">
        <v>963</v>
      </c>
      <c r="C328" s="135" t="s">
        <v>1124</v>
      </c>
      <c r="D328" s="144">
        <v>0</v>
      </c>
      <c r="E328" s="144">
        <v>0</v>
      </c>
      <c r="F328" s="144">
        <v>0</v>
      </c>
      <c r="G328" s="144">
        <v>0</v>
      </c>
      <c r="H328" s="285">
        <v>0</v>
      </c>
      <c r="I328" s="507">
        <f t="shared" si="15"/>
        <v>0</v>
      </c>
    </row>
    <row r="329" spans="1:9" ht="10.5" customHeight="1" x14ac:dyDescent="0.15">
      <c r="A329" s="442"/>
      <c r="B329" s="451" t="s">
        <v>964</v>
      </c>
      <c r="C329" s="135" t="s">
        <v>1094</v>
      </c>
      <c r="D329" s="144">
        <v>0</v>
      </c>
      <c r="E329" s="144">
        <v>0</v>
      </c>
      <c r="F329" s="144">
        <v>0</v>
      </c>
      <c r="G329" s="144">
        <v>0</v>
      </c>
      <c r="H329" s="285">
        <v>0</v>
      </c>
      <c r="I329" s="507">
        <f t="shared" si="15"/>
        <v>0</v>
      </c>
    </row>
    <row r="330" spans="1:9" ht="10.5" customHeight="1" x14ac:dyDescent="0.15">
      <c r="A330" s="442"/>
      <c r="B330" s="451" t="s">
        <v>965</v>
      </c>
      <c r="C330" s="135" t="s">
        <v>1095</v>
      </c>
      <c r="D330" s="144">
        <v>0</v>
      </c>
      <c r="E330" s="144">
        <v>0</v>
      </c>
      <c r="F330" s="144">
        <v>0</v>
      </c>
      <c r="G330" s="144">
        <v>0</v>
      </c>
      <c r="H330" s="285">
        <v>0</v>
      </c>
      <c r="I330" s="507">
        <f t="shared" si="15"/>
        <v>0</v>
      </c>
    </row>
    <row r="331" spans="1:9" ht="10.5" customHeight="1" x14ac:dyDescent="0.15">
      <c r="A331" s="442"/>
      <c r="B331" s="451" t="s">
        <v>885</v>
      </c>
      <c r="C331" s="135" t="s">
        <v>1096</v>
      </c>
      <c r="D331" s="144">
        <v>0</v>
      </c>
      <c r="E331" s="144">
        <v>0</v>
      </c>
      <c r="F331" s="144">
        <v>0</v>
      </c>
      <c r="G331" s="144">
        <v>0</v>
      </c>
      <c r="H331" s="285">
        <v>0</v>
      </c>
      <c r="I331" s="507">
        <f t="shared" si="15"/>
        <v>0</v>
      </c>
    </row>
    <row r="332" spans="1:9" ht="10.5" customHeight="1" x14ac:dyDescent="0.15">
      <c r="A332" s="442"/>
      <c r="B332" s="451" t="s">
        <v>966</v>
      </c>
      <c r="C332" s="135" t="s">
        <v>1097</v>
      </c>
      <c r="D332" s="144">
        <v>0</v>
      </c>
      <c r="E332" s="144">
        <v>0</v>
      </c>
      <c r="F332" s="144">
        <v>0</v>
      </c>
      <c r="G332" s="144">
        <v>0</v>
      </c>
      <c r="H332" s="285">
        <v>0</v>
      </c>
      <c r="I332" s="507">
        <f t="shared" si="15"/>
        <v>0</v>
      </c>
    </row>
    <row r="333" spans="1:9" ht="10.5" customHeight="1" x14ac:dyDescent="0.15">
      <c r="A333" s="442"/>
      <c r="B333" s="451" t="s">
        <v>886</v>
      </c>
      <c r="C333" s="135" t="s">
        <v>1100</v>
      </c>
      <c r="D333" s="144">
        <v>0</v>
      </c>
      <c r="E333" s="144">
        <v>0</v>
      </c>
      <c r="F333" s="144">
        <v>0</v>
      </c>
      <c r="G333" s="144">
        <v>0</v>
      </c>
      <c r="H333" s="285">
        <v>0</v>
      </c>
      <c r="I333" s="507">
        <f t="shared" si="15"/>
        <v>0</v>
      </c>
    </row>
    <row r="334" spans="1:9" ht="10.5" customHeight="1" x14ac:dyDescent="0.15">
      <c r="A334" s="442"/>
      <c r="B334" s="451" t="s">
        <v>116</v>
      </c>
      <c r="C334" s="135" t="s">
        <v>1105</v>
      </c>
      <c r="D334" s="144">
        <v>0</v>
      </c>
      <c r="E334" s="144">
        <v>0</v>
      </c>
      <c r="F334" s="144">
        <v>0</v>
      </c>
      <c r="G334" s="144">
        <v>0</v>
      </c>
      <c r="H334" s="285">
        <v>0</v>
      </c>
      <c r="I334" s="507">
        <f t="shared" si="15"/>
        <v>0</v>
      </c>
    </row>
    <row r="335" spans="1:9" ht="10.5" customHeight="1" x14ac:dyDescent="0.15">
      <c r="A335" s="442"/>
      <c r="B335" s="451" t="s">
        <v>1139</v>
      </c>
      <c r="C335" s="135" t="s">
        <v>1109</v>
      </c>
      <c r="D335" s="144">
        <v>0</v>
      </c>
      <c r="E335" s="144">
        <v>0</v>
      </c>
      <c r="F335" s="144">
        <v>0</v>
      </c>
      <c r="G335" s="144">
        <v>0</v>
      </c>
      <c r="H335" s="285">
        <v>0</v>
      </c>
      <c r="I335" s="507">
        <f t="shared" si="15"/>
        <v>0</v>
      </c>
    </row>
    <row r="336" spans="1:9" ht="10.5" customHeight="1" x14ac:dyDescent="0.15">
      <c r="A336" s="442"/>
      <c r="B336" s="451" t="s">
        <v>112</v>
      </c>
      <c r="C336" s="135" t="s">
        <v>1110</v>
      </c>
      <c r="D336" s="144">
        <v>0</v>
      </c>
      <c r="E336" s="144">
        <v>0</v>
      </c>
      <c r="F336" s="144">
        <v>0</v>
      </c>
      <c r="G336" s="144">
        <v>0</v>
      </c>
      <c r="H336" s="285">
        <v>0</v>
      </c>
      <c r="I336" s="507">
        <f t="shared" si="15"/>
        <v>0</v>
      </c>
    </row>
    <row r="337" spans="1:10" ht="10.5" customHeight="1" x14ac:dyDescent="0.15">
      <c r="A337" s="442"/>
      <c r="B337" s="451" t="s">
        <v>887</v>
      </c>
      <c r="C337" s="135" t="s">
        <v>1116</v>
      </c>
      <c r="D337" s="144">
        <v>0</v>
      </c>
      <c r="E337" s="144">
        <v>0</v>
      </c>
      <c r="F337" s="144">
        <v>0</v>
      </c>
      <c r="G337" s="144">
        <v>0</v>
      </c>
      <c r="H337" s="285">
        <v>0</v>
      </c>
      <c r="I337" s="507">
        <f t="shared" si="15"/>
        <v>0</v>
      </c>
    </row>
    <row r="338" spans="1:10" ht="10.5" customHeight="1" x14ac:dyDescent="0.15">
      <c r="A338" s="442"/>
      <c r="B338" s="451" t="s">
        <v>1112</v>
      </c>
      <c r="C338" s="135" t="s">
        <v>1117</v>
      </c>
      <c r="D338" s="144">
        <v>0</v>
      </c>
      <c r="E338" s="144">
        <v>0</v>
      </c>
      <c r="F338" s="144">
        <v>0</v>
      </c>
      <c r="G338" s="144">
        <v>0</v>
      </c>
      <c r="H338" s="285">
        <v>0</v>
      </c>
      <c r="I338" s="507">
        <f t="shared" si="15"/>
        <v>0</v>
      </c>
    </row>
    <row r="339" spans="1:10" ht="10.5" customHeight="1" x14ac:dyDescent="0.15">
      <c r="A339" s="442"/>
      <c r="B339" s="451" t="s">
        <v>1113</v>
      </c>
      <c r="C339" s="135" t="s">
        <v>1118</v>
      </c>
      <c r="D339" s="144">
        <v>0</v>
      </c>
      <c r="E339" s="144">
        <v>0</v>
      </c>
      <c r="F339" s="144">
        <v>0</v>
      </c>
      <c r="G339" s="144">
        <v>0</v>
      </c>
      <c r="H339" s="285">
        <v>0</v>
      </c>
      <c r="I339" s="507">
        <f t="shared" si="15"/>
        <v>0</v>
      </c>
    </row>
    <row r="340" spans="1:10" ht="10.5" customHeight="1" x14ac:dyDescent="0.15">
      <c r="A340" s="442"/>
      <c r="B340" s="451" t="s">
        <v>1114</v>
      </c>
      <c r="C340" s="135" t="s">
        <v>1119</v>
      </c>
      <c r="D340" s="144">
        <v>0</v>
      </c>
      <c r="E340" s="144">
        <v>0</v>
      </c>
      <c r="F340" s="144">
        <v>0</v>
      </c>
      <c r="G340" s="144">
        <v>0</v>
      </c>
      <c r="H340" s="285">
        <v>0</v>
      </c>
      <c r="I340" s="507">
        <f t="shared" si="15"/>
        <v>0</v>
      </c>
    </row>
    <row r="341" spans="1:10" ht="10.5" customHeight="1" x14ac:dyDescent="0.15">
      <c r="A341" s="442"/>
      <c r="B341" s="451" t="s">
        <v>1115</v>
      </c>
      <c r="C341" s="135" t="s">
        <v>1120</v>
      </c>
      <c r="D341" s="144">
        <v>0</v>
      </c>
      <c r="E341" s="144">
        <v>0</v>
      </c>
      <c r="F341" s="144">
        <v>0</v>
      </c>
      <c r="G341" s="144">
        <v>0</v>
      </c>
      <c r="H341" s="285">
        <v>0</v>
      </c>
      <c r="I341" s="507">
        <f>SUM(G341+H341)</f>
        <v>0</v>
      </c>
    </row>
    <row r="342" spans="1:10" ht="10.5" customHeight="1" thickBot="1" x14ac:dyDescent="0.2">
      <c r="A342" s="442"/>
      <c r="B342" s="451" t="s">
        <v>114</v>
      </c>
      <c r="C342" s="135" t="s">
        <v>1121</v>
      </c>
      <c r="D342" s="141">
        <v>0</v>
      </c>
      <c r="E342" s="141">
        <v>0</v>
      </c>
      <c r="F342" s="141">
        <v>0</v>
      </c>
      <c r="G342" s="141">
        <v>0</v>
      </c>
      <c r="H342" s="285">
        <v>0</v>
      </c>
      <c r="I342" s="507">
        <f>SUM(G342+H342)</f>
        <v>0</v>
      </c>
    </row>
    <row r="343" spans="1:10" ht="10.5" customHeight="1" thickTop="1" thickBot="1" x14ac:dyDescent="0.2">
      <c r="A343" s="442"/>
      <c r="B343" s="451"/>
      <c r="C343" s="135" t="s">
        <v>137</v>
      </c>
      <c r="D343" s="166">
        <f>SUM(D314:D342)</f>
        <v>0</v>
      </c>
      <c r="E343" s="166">
        <f>SUM(E314:E342)</f>
        <v>0</v>
      </c>
      <c r="F343" s="166">
        <f>SUM(F314:F342)</f>
        <v>0</v>
      </c>
      <c r="G343" s="166">
        <f>SUM(G314:G342)</f>
        <v>0</v>
      </c>
      <c r="H343" s="166">
        <f>SUM(H314:H342)</f>
        <v>0</v>
      </c>
      <c r="I343" s="166">
        <f>G343+H343</f>
        <v>0</v>
      </c>
    </row>
    <row r="344" spans="1:10" ht="10.5" customHeight="1" thickTop="1" x14ac:dyDescent="0.15">
      <c r="A344" s="442"/>
      <c r="B344" s="451"/>
      <c r="C344" s="135"/>
      <c r="D344" s="14"/>
      <c r="E344" s="14"/>
      <c r="F344" s="14"/>
      <c r="G344" s="14"/>
      <c r="H344" s="195"/>
      <c r="I344" s="167"/>
    </row>
    <row r="345" spans="1:10" ht="10.5" customHeight="1" x14ac:dyDescent="0.15">
      <c r="A345" s="442" t="s">
        <v>138</v>
      </c>
      <c r="C345" s="135"/>
      <c r="D345" s="14"/>
      <c r="E345" s="14"/>
      <c r="F345" s="14"/>
      <c r="G345" s="14"/>
      <c r="H345" s="195"/>
      <c r="I345" s="167"/>
    </row>
    <row r="346" spans="1:10" s="416" customFormat="1" hidden="1" x14ac:dyDescent="0.15">
      <c r="B346" s="453" t="s">
        <v>880</v>
      </c>
      <c r="C346" s="454" t="s">
        <v>1164</v>
      </c>
      <c r="D346" s="308">
        <v>0</v>
      </c>
      <c r="E346" s="308">
        <v>0</v>
      </c>
      <c r="F346" s="308">
        <v>0</v>
      </c>
      <c r="G346" s="458"/>
      <c r="H346" s="457">
        <v>0</v>
      </c>
      <c r="I346" s="494">
        <f>SUM(G346+H346)</f>
        <v>0</v>
      </c>
    </row>
    <row r="347" spans="1:10" s="416" customFormat="1" x14ac:dyDescent="0.15">
      <c r="B347" s="453" t="s">
        <v>880</v>
      </c>
      <c r="C347" s="454" t="s">
        <v>337</v>
      </c>
      <c r="D347" s="308">
        <v>0</v>
      </c>
      <c r="E347" s="308">
        <v>0</v>
      </c>
      <c r="F347" s="308">
        <v>0</v>
      </c>
      <c r="G347" s="308">
        <v>0</v>
      </c>
      <c r="H347" s="457">
        <v>0</v>
      </c>
      <c r="I347" s="494">
        <f>SUM(G347+H347)</f>
        <v>0</v>
      </c>
    </row>
    <row r="348" spans="1:10" s="416" customFormat="1" hidden="1" x14ac:dyDescent="0.15">
      <c r="A348" s="454"/>
      <c r="B348" s="453" t="s">
        <v>881</v>
      </c>
      <c r="C348" s="454" t="s">
        <v>382</v>
      </c>
      <c r="D348" s="308">
        <v>0</v>
      </c>
      <c r="E348" s="308">
        <v>0</v>
      </c>
      <c r="F348" s="308">
        <v>0</v>
      </c>
      <c r="G348" s="459"/>
      <c r="H348" s="457">
        <v>0</v>
      </c>
      <c r="I348" s="494">
        <f>SUM(G348+H348)</f>
        <v>0</v>
      </c>
    </row>
    <row r="349" spans="1:10" x14ac:dyDescent="0.15">
      <c r="A349" s="135"/>
      <c r="B349" s="451" t="s">
        <v>881</v>
      </c>
      <c r="C349" s="135" t="s">
        <v>338</v>
      </c>
      <c r="D349" s="144">
        <v>0</v>
      </c>
      <c r="E349" s="144">
        <v>0</v>
      </c>
      <c r="F349" s="144">
        <v>0</v>
      </c>
      <c r="G349" s="144">
        <v>0</v>
      </c>
      <c r="H349" s="147">
        <v>0</v>
      </c>
      <c r="I349" s="495">
        <f>SUM(G349+H349)</f>
        <v>0</v>
      </c>
      <c r="J349" s="416"/>
    </row>
    <row r="350" spans="1:10" ht="10.5" customHeight="1" x14ac:dyDescent="0.15">
      <c r="A350" s="442"/>
      <c r="B350" s="451" t="s">
        <v>882</v>
      </c>
      <c r="C350" s="135" t="s">
        <v>1058</v>
      </c>
      <c r="D350" s="144">
        <v>0</v>
      </c>
      <c r="E350" s="144">
        <v>0</v>
      </c>
      <c r="F350" s="144">
        <v>0</v>
      </c>
      <c r="G350" s="144">
        <v>0</v>
      </c>
      <c r="H350" s="285">
        <v>0</v>
      </c>
      <c r="I350" s="507">
        <f t="shared" ref="I350:I379" si="16">SUM(G350+H350)</f>
        <v>0</v>
      </c>
    </row>
    <row r="351" spans="1:10" ht="10.5" customHeight="1" x14ac:dyDescent="0.15">
      <c r="A351" s="442"/>
      <c r="B351" s="451" t="s">
        <v>883</v>
      </c>
      <c r="C351" s="135" t="s">
        <v>1059</v>
      </c>
      <c r="D351" s="144">
        <v>0</v>
      </c>
      <c r="E351" s="144">
        <v>0</v>
      </c>
      <c r="F351" s="144">
        <v>0</v>
      </c>
      <c r="G351" s="144">
        <v>0</v>
      </c>
      <c r="H351" s="285">
        <v>0</v>
      </c>
      <c r="I351" s="507">
        <f t="shared" si="16"/>
        <v>0</v>
      </c>
    </row>
    <row r="352" spans="1:10" ht="10.5" customHeight="1" x14ac:dyDescent="0.15">
      <c r="A352" s="442"/>
      <c r="B352" s="451" t="s">
        <v>1060</v>
      </c>
      <c r="C352" s="135" t="s">
        <v>1061</v>
      </c>
      <c r="D352" s="144">
        <v>0</v>
      </c>
      <c r="E352" s="144">
        <v>0</v>
      </c>
      <c r="F352" s="144">
        <v>0</v>
      </c>
      <c r="G352" s="144">
        <v>0</v>
      </c>
      <c r="H352" s="285">
        <v>0</v>
      </c>
      <c r="I352" s="507">
        <f t="shared" si="16"/>
        <v>0</v>
      </c>
    </row>
    <row r="353" spans="1:9" ht="10.5" customHeight="1" x14ac:dyDescent="0.15">
      <c r="A353" s="442"/>
      <c r="B353" s="451" t="s">
        <v>1062</v>
      </c>
      <c r="C353" s="135" t="s">
        <v>1063</v>
      </c>
      <c r="D353" s="144">
        <v>0</v>
      </c>
      <c r="E353" s="144">
        <v>0</v>
      </c>
      <c r="F353" s="144">
        <v>0</v>
      </c>
      <c r="G353" s="144">
        <v>0</v>
      </c>
      <c r="H353" s="285">
        <v>0</v>
      </c>
      <c r="I353" s="507">
        <f t="shared" si="16"/>
        <v>0</v>
      </c>
    </row>
    <row r="354" spans="1:9" ht="10.5" customHeight="1" x14ac:dyDescent="0.15">
      <c r="A354" s="442"/>
      <c r="B354" s="451" t="s">
        <v>884</v>
      </c>
      <c r="C354" s="135" t="s">
        <v>1064</v>
      </c>
      <c r="D354" s="144">
        <v>0</v>
      </c>
      <c r="E354" s="144">
        <v>0</v>
      </c>
      <c r="F354" s="144">
        <v>0</v>
      </c>
      <c r="G354" s="144">
        <v>0</v>
      </c>
      <c r="H354" s="285">
        <v>0</v>
      </c>
      <c r="I354" s="507">
        <f t="shared" si="16"/>
        <v>0</v>
      </c>
    </row>
    <row r="355" spans="1:9" ht="10.5" customHeight="1" x14ac:dyDescent="0.15">
      <c r="A355" s="442"/>
      <c r="B355" s="451" t="s">
        <v>1065</v>
      </c>
      <c r="C355" s="135" t="s">
        <v>1073</v>
      </c>
      <c r="D355" s="144">
        <v>0</v>
      </c>
      <c r="E355" s="144">
        <v>0</v>
      </c>
      <c r="F355" s="144">
        <v>0</v>
      </c>
      <c r="G355" s="144">
        <v>0</v>
      </c>
      <c r="H355" s="285">
        <v>0</v>
      </c>
      <c r="I355" s="507">
        <f t="shared" si="16"/>
        <v>0</v>
      </c>
    </row>
    <row r="356" spans="1:9" ht="10.5" customHeight="1" x14ac:dyDescent="0.15">
      <c r="A356" s="442"/>
      <c r="B356" s="451" t="s">
        <v>1066</v>
      </c>
      <c r="C356" s="135" t="s">
        <v>1125</v>
      </c>
      <c r="D356" s="144">
        <v>0</v>
      </c>
      <c r="E356" s="144">
        <v>0</v>
      </c>
      <c r="F356" s="144">
        <v>0</v>
      </c>
      <c r="G356" s="144">
        <v>0</v>
      </c>
      <c r="H356" s="285">
        <v>0</v>
      </c>
      <c r="I356" s="507">
        <f t="shared" si="16"/>
        <v>0</v>
      </c>
    </row>
    <row r="357" spans="1:9" ht="10.5" customHeight="1" x14ac:dyDescent="0.15">
      <c r="A357" s="442"/>
      <c r="B357" s="451" t="s">
        <v>1067</v>
      </c>
      <c r="C357" s="135" t="s">
        <v>1074</v>
      </c>
      <c r="D357" s="144">
        <v>0</v>
      </c>
      <c r="E357" s="144">
        <v>0</v>
      </c>
      <c r="F357" s="144">
        <v>0</v>
      </c>
      <c r="G357" s="144">
        <v>0</v>
      </c>
      <c r="H357" s="285">
        <v>0</v>
      </c>
      <c r="I357" s="507">
        <f t="shared" si="16"/>
        <v>0</v>
      </c>
    </row>
    <row r="358" spans="1:9" ht="10.5" customHeight="1" x14ac:dyDescent="0.15">
      <c r="A358" s="442"/>
      <c r="B358" s="451" t="s">
        <v>1068</v>
      </c>
      <c r="C358" s="135" t="s">
        <v>1075</v>
      </c>
      <c r="D358" s="144">
        <v>0</v>
      </c>
      <c r="E358" s="144">
        <v>0</v>
      </c>
      <c r="F358" s="144">
        <v>0</v>
      </c>
      <c r="G358" s="144">
        <v>0</v>
      </c>
      <c r="H358" s="285">
        <v>0</v>
      </c>
      <c r="I358" s="507">
        <f t="shared" si="16"/>
        <v>0</v>
      </c>
    </row>
    <row r="359" spans="1:9" ht="10.5" customHeight="1" x14ac:dyDescent="0.15">
      <c r="A359" s="442"/>
      <c r="B359" s="451" t="s">
        <v>1069</v>
      </c>
      <c r="C359" s="135" t="s">
        <v>1076</v>
      </c>
      <c r="D359" s="144">
        <v>0</v>
      </c>
      <c r="E359" s="144">
        <v>0</v>
      </c>
      <c r="F359" s="144">
        <v>0</v>
      </c>
      <c r="G359" s="144">
        <v>0</v>
      </c>
      <c r="H359" s="285">
        <v>0</v>
      </c>
      <c r="I359" s="507">
        <f t="shared" si="16"/>
        <v>0</v>
      </c>
    </row>
    <row r="360" spans="1:9" ht="10.5" customHeight="1" x14ac:dyDescent="0.15">
      <c r="A360" s="442"/>
      <c r="B360" s="451" t="s">
        <v>1070</v>
      </c>
      <c r="C360" s="135" t="s">
        <v>1126</v>
      </c>
      <c r="D360" s="144">
        <v>0</v>
      </c>
      <c r="E360" s="144">
        <v>0</v>
      </c>
      <c r="F360" s="144">
        <v>0</v>
      </c>
      <c r="G360" s="144">
        <v>0</v>
      </c>
      <c r="H360" s="285">
        <v>0</v>
      </c>
      <c r="I360" s="507">
        <f t="shared" si="16"/>
        <v>0</v>
      </c>
    </row>
    <row r="361" spans="1:9" ht="10.5" customHeight="1" x14ac:dyDescent="0.15">
      <c r="A361" s="442"/>
      <c r="B361" s="451" t="s">
        <v>1071</v>
      </c>
      <c r="C361" s="135" t="s">
        <v>1077</v>
      </c>
      <c r="D361" s="144">
        <v>0</v>
      </c>
      <c r="E361" s="144">
        <v>0</v>
      </c>
      <c r="F361" s="144">
        <v>0</v>
      </c>
      <c r="G361" s="144">
        <v>0</v>
      </c>
      <c r="H361" s="285">
        <v>0</v>
      </c>
      <c r="I361" s="507">
        <f t="shared" si="16"/>
        <v>0</v>
      </c>
    </row>
    <row r="362" spans="1:9" ht="10.5" customHeight="1" x14ac:dyDescent="0.15">
      <c r="A362" s="442"/>
      <c r="B362" s="451" t="s">
        <v>1072</v>
      </c>
      <c r="C362" s="135" t="s">
        <v>920</v>
      </c>
      <c r="D362" s="144">
        <v>0</v>
      </c>
      <c r="E362" s="144">
        <v>0</v>
      </c>
      <c r="F362" s="144">
        <v>0</v>
      </c>
      <c r="G362" s="144">
        <v>0</v>
      </c>
      <c r="H362" s="285">
        <v>0</v>
      </c>
      <c r="I362" s="507">
        <f t="shared" si="16"/>
        <v>0</v>
      </c>
    </row>
    <row r="363" spans="1:9" ht="10.5" customHeight="1" x14ac:dyDescent="0.15">
      <c r="A363" s="442"/>
      <c r="B363" s="451" t="s">
        <v>155</v>
      </c>
      <c r="C363" s="135" t="s">
        <v>178</v>
      </c>
      <c r="D363" s="144">
        <v>0</v>
      </c>
      <c r="E363" s="144">
        <v>0</v>
      </c>
      <c r="F363" s="144">
        <v>0</v>
      </c>
      <c r="G363" s="144">
        <v>0</v>
      </c>
      <c r="H363" s="285">
        <v>0</v>
      </c>
      <c r="I363" s="507">
        <f t="shared" si="16"/>
        <v>0</v>
      </c>
    </row>
    <row r="364" spans="1:9" ht="10.5" customHeight="1" x14ac:dyDescent="0.15">
      <c r="A364" s="442"/>
      <c r="B364" s="451" t="s">
        <v>927</v>
      </c>
      <c r="C364" s="135" t="s">
        <v>959</v>
      </c>
      <c r="D364" s="144">
        <v>0</v>
      </c>
      <c r="E364" s="144">
        <v>0</v>
      </c>
      <c r="F364" s="144">
        <v>0</v>
      </c>
      <c r="G364" s="144">
        <v>0</v>
      </c>
      <c r="H364" s="285">
        <v>0</v>
      </c>
      <c r="I364" s="507">
        <f t="shared" si="16"/>
        <v>0</v>
      </c>
    </row>
    <row r="365" spans="1:9" ht="10.5" customHeight="1" x14ac:dyDescent="0.15">
      <c r="A365" s="442"/>
      <c r="B365" s="451" t="s">
        <v>928</v>
      </c>
      <c r="C365" s="135" t="s">
        <v>961</v>
      </c>
      <c r="D365" s="144">
        <v>0</v>
      </c>
      <c r="E365" s="144">
        <v>0</v>
      </c>
      <c r="F365" s="144">
        <v>0</v>
      </c>
      <c r="G365" s="144">
        <v>0</v>
      </c>
      <c r="H365" s="285">
        <v>0</v>
      </c>
      <c r="I365" s="507">
        <f t="shared" si="16"/>
        <v>0</v>
      </c>
    </row>
    <row r="366" spans="1:9" ht="10.5" customHeight="1" x14ac:dyDescent="0.15">
      <c r="A366" s="442"/>
      <c r="B366" s="451" t="s">
        <v>962</v>
      </c>
      <c r="C366" s="135" t="s">
        <v>967</v>
      </c>
      <c r="D366" s="144">
        <v>0</v>
      </c>
      <c r="E366" s="144">
        <v>0</v>
      </c>
      <c r="F366" s="144">
        <v>0</v>
      </c>
      <c r="G366" s="144">
        <v>0</v>
      </c>
      <c r="H366" s="285">
        <v>0</v>
      </c>
      <c r="I366" s="507">
        <f t="shared" si="16"/>
        <v>0</v>
      </c>
    </row>
    <row r="367" spans="1:9" ht="10.5" customHeight="1" x14ac:dyDescent="0.15">
      <c r="A367" s="442"/>
      <c r="B367" s="451" t="s">
        <v>963</v>
      </c>
      <c r="C367" s="135" t="s">
        <v>1124</v>
      </c>
      <c r="D367" s="144">
        <v>0</v>
      </c>
      <c r="E367" s="144">
        <v>0</v>
      </c>
      <c r="F367" s="144">
        <v>0</v>
      </c>
      <c r="G367" s="144">
        <v>0</v>
      </c>
      <c r="H367" s="285">
        <v>0</v>
      </c>
      <c r="I367" s="507">
        <f t="shared" si="16"/>
        <v>0</v>
      </c>
    </row>
    <row r="368" spans="1:9" ht="10.5" customHeight="1" x14ac:dyDescent="0.15">
      <c r="A368" s="442"/>
      <c r="B368" s="451" t="s">
        <v>964</v>
      </c>
      <c r="C368" s="135" t="s">
        <v>1094</v>
      </c>
      <c r="D368" s="144">
        <v>0</v>
      </c>
      <c r="E368" s="144">
        <v>0</v>
      </c>
      <c r="F368" s="144">
        <v>0</v>
      </c>
      <c r="G368" s="144">
        <v>0</v>
      </c>
      <c r="H368" s="285">
        <v>0</v>
      </c>
      <c r="I368" s="507">
        <f t="shared" si="16"/>
        <v>0</v>
      </c>
    </row>
    <row r="369" spans="1:9" ht="10.5" customHeight="1" x14ac:dyDescent="0.15">
      <c r="A369" s="442"/>
      <c r="B369" s="451" t="s">
        <v>965</v>
      </c>
      <c r="C369" s="135" t="s">
        <v>1095</v>
      </c>
      <c r="D369" s="144">
        <v>0</v>
      </c>
      <c r="E369" s="144">
        <v>0</v>
      </c>
      <c r="F369" s="144">
        <v>0</v>
      </c>
      <c r="G369" s="144">
        <v>0</v>
      </c>
      <c r="H369" s="285">
        <v>0</v>
      </c>
      <c r="I369" s="507">
        <f t="shared" si="16"/>
        <v>0</v>
      </c>
    </row>
    <row r="370" spans="1:9" ht="10.5" customHeight="1" x14ac:dyDescent="0.15">
      <c r="A370" s="442"/>
      <c r="B370" s="451" t="s">
        <v>885</v>
      </c>
      <c r="C370" s="135" t="s">
        <v>1096</v>
      </c>
      <c r="D370" s="144">
        <v>0</v>
      </c>
      <c r="E370" s="144">
        <v>0</v>
      </c>
      <c r="F370" s="144">
        <v>0</v>
      </c>
      <c r="G370" s="144">
        <v>0</v>
      </c>
      <c r="H370" s="285">
        <v>0</v>
      </c>
      <c r="I370" s="507">
        <f t="shared" si="16"/>
        <v>0</v>
      </c>
    </row>
    <row r="371" spans="1:9" ht="10.5" customHeight="1" x14ac:dyDescent="0.15">
      <c r="A371" s="442"/>
      <c r="B371" s="451" t="s">
        <v>966</v>
      </c>
      <c r="C371" s="135" t="s">
        <v>1097</v>
      </c>
      <c r="D371" s="144">
        <v>0</v>
      </c>
      <c r="E371" s="144">
        <v>0</v>
      </c>
      <c r="F371" s="144">
        <v>0</v>
      </c>
      <c r="G371" s="144">
        <v>0</v>
      </c>
      <c r="H371" s="285">
        <v>0</v>
      </c>
      <c r="I371" s="507">
        <f t="shared" si="16"/>
        <v>0</v>
      </c>
    </row>
    <row r="372" spans="1:9" ht="10.5" customHeight="1" x14ac:dyDescent="0.15">
      <c r="A372" s="442"/>
      <c r="B372" s="451" t="s">
        <v>886</v>
      </c>
      <c r="C372" s="135" t="s">
        <v>1100</v>
      </c>
      <c r="D372" s="144">
        <v>0</v>
      </c>
      <c r="E372" s="144">
        <v>0</v>
      </c>
      <c r="F372" s="144">
        <v>0</v>
      </c>
      <c r="G372" s="144">
        <v>0</v>
      </c>
      <c r="H372" s="285">
        <v>0</v>
      </c>
      <c r="I372" s="507">
        <f t="shared" si="16"/>
        <v>0</v>
      </c>
    </row>
    <row r="373" spans="1:9" ht="10.5" customHeight="1" x14ac:dyDescent="0.15">
      <c r="A373" s="442"/>
      <c r="B373" s="451" t="s">
        <v>116</v>
      </c>
      <c r="C373" s="135" t="s">
        <v>1105</v>
      </c>
      <c r="D373" s="144">
        <v>0</v>
      </c>
      <c r="E373" s="144">
        <v>0</v>
      </c>
      <c r="F373" s="144">
        <v>0</v>
      </c>
      <c r="G373" s="144">
        <v>0</v>
      </c>
      <c r="H373" s="285">
        <v>0</v>
      </c>
      <c r="I373" s="507">
        <f t="shared" si="16"/>
        <v>0</v>
      </c>
    </row>
    <row r="374" spans="1:9" ht="10.5" customHeight="1" x14ac:dyDescent="0.15">
      <c r="A374" s="442"/>
      <c r="B374" s="451" t="s">
        <v>1139</v>
      </c>
      <c r="C374" s="135" t="s">
        <v>1109</v>
      </c>
      <c r="D374" s="144">
        <v>0</v>
      </c>
      <c r="E374" s="144">
        <v>0</v>
      </c>
      <c r="F374" s="144">
        <v>0</v>
      </c>
      <c r="G374" s="144">
        <v>0</v>
      </c>
      <c r="H374" s="285">
        <v>0</v>
      </c>
      <c r="I374" s="507">
        <f t="shared" si="16"/>
        <v>0</v>
      </c>
    </row>
    <row r="375" spans="1:9" ht="10.5" customHeight="1" x14ac:dyDescent="0.15">
      <c r="A375" s="442"/>
      <c r="B375" s="451" t="s">
        <v>112</v>
      </c>
      <c r="C375" s="135" t="s">
        <v>1110</v>
      </c>
      <c r="D375" s="144">
        <v>0</v>
      </c>
      <c r="E375" s="144">
        <v>0</v>
      </c>
      <c r="F375" s="144">
        <v>0</v>
      </c>
      <c r="G375" s="144">
        <v>0</v>
      </c>
      <c r="H375" s="285">
        <v>0</v>
      </c>
      <c r="I375" s="507">
        <f t="shared" si="16"/>
        <v>0</v>
      </c>
    </row>
    <row r="376" spans="1:9" ht="10.5" customHeight="1" x14ac:dyDescent="0.15">
      <c r="A376" s="442"/>
      <c r="B376" s="451" t="s">
        <v>887</v>
      </c>
      <c r="C376" s="135" t="s">
        <v>1116</v>
      </c>
      <c r="D376" s="144">
        <v>0</v>
      </c>
      <c r="E376" s="144">
        <v>0</v>
      </c>
      <c r="F376" s="144">
        <v>0</v>
      </c>
      <c r="G376" s="144">
        <v>0</v>
      </c>
      <c r="H376" s="285">
        <v>0</v>
      </c>
      <c r="I376" s="507">
        <f t="shared" si="16"/>
        <v>0</v>
      </c>
    </row>
    <row r="377" spans="1:9" ht="10.5" customHeight="1" x14ac:dyDescent="0.15">
      <c r="A377" s="442"/>
      <c r="B377" s="451" t="s">
        <v>1112</v>
      </c>
      <c r="C377" s="135" t="s">
        <v>1117</v>
      </c>
      <c r="D377" s="144">
        <v>0</v>
      </c>
      <c r="E377" s="144">
        <v>0</v>
      </c>
      <c r="F377" s="144">
        <v>0</v>
      </c>
      <c r="G377" s="144">
        <v>0</v>
      </c>
      <c r="H377" s="285">
        <v>0</v>
      </c>
      <c r="I377" s="507">
        <f t="shared" si="16"/>
        <v>0</v>
      </c>
    </row>
    <row r="378" spans="1:9" ht="10.5" customHeight="1" x14ac:dyDescent="0.15">
      <c r="A378" s="442"/>
      <c r="B378" s="451" t="s">
        <v>1113</v>
      </c>
      <c r="C378" s="135" t="s">
        <v>1118</v>
      </c>
      <c r="D378" s="144">
        <v>0</v>
      </c>
      <c r="E378" s="144">
        <v>0</v>
      </c>
      <c r="F378" s="144">
        <v>0</v>
      </c>
      <c r="G378" s="144">
        <v>0</v>
      </c>
      <c r="H378" s="285">
        <v>0</v>
      </c>
      <c r="I378" s="507">
        <f t="shared" si="16"/>
        <v>0</v>
      </c>
    </row>
    <row r="379" spans="1:9" ht="10.5" customHeight="1" x14ac:dyDescent="0.15">
      <c r="A379" s="442"/>
      <c r="B379" s="451" t="s">
        <v>1114</v>
      </c>
      <c r="C379" s="135" t="s">
        <v>1119</v>
      </c>
      <c r="D379" s="144">
        <v>0</v>
      </c>
      <c r="E379" s="144">
        <v>0</v>
      </c>
      <c r="F379" s="144">
        <v>0</v>
      </c>
      <c r="G379" s="144">
        <v>0</v>
      </c>
      <c r="H379" s="285">
        <v>0</v>
      </c>
      <c r="I379" s="507">
        <f t="shared" si="16"/>
        <v>0</v>
      </c>
    </row>
    <row r="380" spans="1:9" ht="10.5" customHeight="1" x14ac:dyDescent="0.15">
      <c r="A380" s="442"/>
      <c r="B380" s="451" t="s">
        <v>1115</v>
      </c>
      <c r="C380" s="135" t="s">
        <v>1120</v>
      </c>
      <c r="D380" s="144">
        <v>0</v>
      </c>
      <c r="E380" s="144">
        <v>0</v>
      </c>
      <c r="F380" s="144">
        <v>0</v>
      </c>
      <c r="G380" s="144">
        <v>0</v>
      </c>
      <c r="H380" s="285">
        <v>0</v>
      </c>
      <c r="I380" s="507">
        <f>SUM(G380+H380)</f>
        <v>0</v>
      </c>
    </row>
    <row r="381" spans="1:9" ht="10.5" customHeight="1" thickBot="1" x14ac:dyDescent="0.2">
      <c r="A381" s="442"/>
      <c r="B381" s="451" t="s">
        <v>114</v>
      </c>
      <c r="C381" s="135" t="s">
        <v>1121</v>
      </c>
      <c r="D381" s="141">
        <v>0</v>
      </c>
      <c r="E381" s="141">
        <v>0</v>
      </c>
      <c r="F381" s="141">
        <v>0</v>
      </c>
      <c r="G381" s="141">
        <v>0</v>
      </c>
      <c r="H381" s="285">
        <v>0</v>
      </c>
      <c r="I381" s="507">
        <f>SUM(G381+H381)</f>
        <v>0</v>
      </c>
    </row>
    <row r="382" spans="1:9" ht="10.5" customHeight="1" thickTop="1" thickBot="1" x14ac:dyDescent="0.2">
      <c r="A382" s="442"/>
      <c r="B382" s="451"/>
      <c r="C382" s="135" t="s">
        <v>139</v>
      </c>
      <c r="D382" s="166">
        <f>SUM(D346:D381)</f>
        <v>0</v>
      </c>
      <c r="E382" s="166">
        <f>SUM(E346:E381)</f>
        <v>0</v>
      </c>
      <c r="F382" s="166">
        <f>SUM(F346:F381)</f>
        <v>0</v>
      </c>
      <c r="G382" s="166">
        <f>SUM(G346:G381)</f>
        <v>0</v>
      </c>
      <c r="H382" s="166">
        <f>SUM(H346:H381)</f>
        <v>0</v>
      </c>
      <c r="I382" s="166">
        <f>G382+H382</f>
        <v>0</v>
      </c>
    </row>
    <row r="383" spans="1:9" ht="10.5" customHeight="1" thickTop="1" x14ac:dyDescent="0.15">
      <c r="A383" s="442"/>
      <c r="B383" s="451"/>
      <c r="C383" s="135"/>
      <c r="D383" s="14"/>
      <c r="E383" s="14"/>
      <c r="F383" s="14"/>
      <c r="G383" s="14"/>
      <c r="H383" s="195"/>
      <c r="I383" s="167"/>
    </row>
    <row r="384" spans="1:9" ht="10.5" customHeight="1" x14ac:dyDescent="0.15">
      <c r="A384" s="442" t="s">
        <v>140</v>
      </c>
      <c r="C384" s="135"/>
      <c r="D384" s="14"/>
      <c r="E384" s="14"/>
      <c r="F384" s="14"/>
      <c r="G384" s="14"/>
      <c r="H384" s="195"/>
      <c r="I384" s="167"/>
    </row>
    <row r="385" spans="1:10" s="416" customFormat="1" hidden="1" x14ac:dyDescent="0.15">
      <c r="B385" s="453" t="s">
        <v>880</v>
      </c>
      <c r="C385" s="454" t="s">
        <v>1164</v>
      </c>
      <c r="D385" s="308">
        <v>0</v>
      </c>
      <c r="E385" s="308">
        <v>0</v>
      </c>
      <c r="F385" s="308">
        <v>0</v>
      </c>
      <c r="G385" s="458"/>
      <c r="H385" s="457">
        <v>0</v>
      </c>
      <c r="I385" s="494">
        <f>SUM(G385+H385)</f>
        <v>0</v>
      </c>
    </row>
    <row r="386" spans="1:10" s="416" customFormat="1" x14ac:dyDescent="0.15">
      <c r="B386" s="453" t="s">
        <v>880</v>
      </c>
      <c r="C386" s="454" t="s">
        <v>337</v>
      </c>
      <c r="D386" s="308">
        <v>0</v>
      </c>
      <c r="E386" s="308">
        <v>0</v>
      </c>
      <c r="F386" s="308">
        <v>0</v>
      </c>
      <c r="G386" s="308">
        <v>0</v>
      </c>
      <c r="H386" s="457">
        <v>0</v>
      </c>
      <c r="I386" s="494">
        <f>SUM(G386+H386)</f>
        <v>0</v>
      </c>
    </row>
    <row r="387" spans="1:10" s="416" customFormat="1" hidden="1" x14ac:dyDescent="0.15">
      <c r="A387" s="454"/>
      <c r="B387" s="453" t="s">
        <v>881</v>
      </c>
      <c r="C387" s="454" t="s">
        <v>382</v>
      </c>
      <c r="D387" s="308">
        <v>0</v>
      </c>
      <c r="E387" s="308">
        <v>0</v>
      </c>
      <c r="F387" s="308">
        <v>0</v>
      </c>
      <c r="G387" s="459"/>
      <c r="H387" s="457">
        <v>0</v>
      </c>
      <c r="I387" s="494">
        <f>SUM(G387+H387)</f>
        <v>0</v>
      </c>
    </row>
    <row r="388" spans="1:10" x14ac:dyDescent="0.15">
      <c r="A388" s="135"/>
      <c r="B388" s="451" t="s">
        <v>881</v>
      </c>
      <c r="C388" s="135" t="s">
        <v>338</v>
      </c>
      <c r="D388" s="144">
        <v>0</v>
      </c>
      <c r="E388" s="144">
        <v>0</v>
      </c>
      <c r="F388" s="144">
        <v>0</v>
      </c>
      <c r="G388" s="144">
        <v>0</v>
      </c>
      <c r="H388" s="147">
        <v>0</v>
      </c>
      <c r="I388" s="495">
        <f>SUM(G388+H388)</f>
        <v>0</v>
      </c>
      <c r="J388" s="416"/>
    </row>
    <row r="389" spans="1:10" ht="10.5" customHeight="1" x14ac:dyDescent="0.15">
      <c r="A389" s="442"/>
      <c r="B389" s="451" t="s">
        <v>882</v>
      </c>
      <c r="C389" s="135" t="s">
        <v>1058</v>
      </c>
      <c r="D389" s="144">
        <v>0</v>
      </c>
      <c r="E389" s="144">
        <v>0</v>
      </c>
      <c r="F389" s="144">
        <v>0</v>
      </c>
      <c r="G389" s="144">
        <v>0</v>
      </c>
      <c r="H389" s="285">
        <v>0</v>
      </c>
      <c r="I389" s="507">
        <f t="shared" ref="I389:I412" si="17">SUM(G389+H389)</f>
        <v>0</v>
      </c>
    </row>
    <row r="390" spans="1:10" ht="10.5" customHeight="1" x14ac:dyDescent="0.15">
      <c r="A390" s="442"/>
      <c r="B390" s="451" t="s">
        <v>883</v>
      </c>
      <c r="C390" s="135" t="s">
        <v>1059</v>
      </c>
      <c r="D390" s="144">
        <v>0</v>
      </c>
      <c r="E390" s="144">
        <v>0</v>
      </c>
      <c r="F390" s="144">
        <v>0</v>
      </c>
      <c r="G390" s="144">
        <v>0</v>
      </c>
      <c r="H390" s="285">
        <v>0</v>
      </c>
      <c r="I390" s="507">
        <f t="shared" si="17"/>
        <v>0</v>
      </c>
    </row>
    <row r="391" spans="1:10" ht="10.5" customHeight="1" x14ac:dyDescent="0.15">
      <c r="A391" s="442"/>
      <c r="B391" s="451" t="s">
        <v>1060</v>
      </c>
      <c r="C391" s="135" t="s">
        <v>1061</v>
      </c>
      <c r="D391" s="144">
        <v>0</v>
      </c>
      <c r="E391" s="144">
        <v>0</v>
      </c>
      <c r="F391" s="144">
        <v>0</v>
      </c>
      <c r="G391" s="144">
        <v>0</v>
      </c>
      <c r="H391" s="285">
        <v>0</v>
      </c>
      <c r="I391" s="507">
        <f t="shared" si="17"/>
        <v>0</v>
      </c>
    </row>
    <row r="392" spans="1:10" ht="10.5" customHeight="1" x14ac:dyDescent="0.15">
      <c r="A392" s="442"/>
      <c r="B392" s="451" t="s">
        <v>1062</v>
      </c>
      <c r="C392" s="135" t="s">
        <v>1063</v>
      </c>
      <c r="D392" s="144">
        <v>0</v>
      </c>
      <c r="E392" s="144">
        <v>0</v>
      </c>
      <c r="F392" s="144">
        <v>0</v>
      </c>
      <c r="G392" s="144">
        <v>0</v>
      </c>
      <c r="H392" s="285">
        <v>0</v>
      </c>
      <c r="I392" s="507">
        <f t="shared" si="17"/>
        <v>0</v>
      </c>
    </row>
    <row r="393" spans="1:10" ht="10.5" customHeight="1" x14ac:dyDescent="0.15">
      <c r="A393" s="442"/>
      <c r="B393" s="451" t="s">
        <v>884</v>
      </c>
      <c r="C393" s="135" t="s">
        <v>1064</v>
      </c>
      <c r="D393" s="144">
        <v>0</v>
      </c>
      <c r="E393" s="144">
        <v>0</v>
      </c>
      <c r="F393" s="144">
        <v>0</v>
      </c>
      <c r="G393" s="144">
        <v>0</v>
      </c>
      <c r="H393" s="285">
        <v>0</v>
      </c>
      <c r="I393" s="507">
        <f t="shared" si="17"/>
        <v>0</v>
      </c>
    </row>
    <row r="394" spans="1:10" ht="10.5" customHeight="1" x14ac:dyDescent="0.15">
      <c r="A394" s="442"/>
      <c r="B394" s="451" t="s">
        <v>155</v>
      </c>
      <c r="C394" s="135" t="s">
        <v>178</v>
      </c>
      <c r="D394" s="144">
        <v>0</v>
      </c>
      <c r="E394" s="144">
        <v>0</v>
      </c>
      <c r="F394" s="144">
        <v>0</v>
      </c>
      <c r="G394" s="144">
        <v>0</v>
      </c>
      <c r="H394" s="285">
        <v>0</v>
      </c>
      <c r="I394" s="507">
        <f t="shared" si="17"/>
        <v>0</v>
      </c>
    </row>
    <row r="395" spans="1:10" ht="10.5" customHeight="1" x14ac:dyDescent="0.15">
      <c r="A395" s="442"/>
      <c r="B395" s="451" t="s">
        <v>927</v>
      </c>
      <c r="C395" s="135" t="s">
        <v>959</v>
      </c>
      <c r="D395" s="144">
        <v>0</v>
      </c>
      <c r="E395" s="144">
        <v>0</v>
      </c>
      <c r="F395" s="144">
        <v>0</v>
      </c>
      <c r="G395" s="144">
        <v>0</v>
      </c>
      <c r="H395" s="285">
        <v>0</v>
      </c>
      <c r="I395" s="507">
        <f t="shared" si="17"/>
        <v>0</v>
      </c>
    </row>
    <row r="396" spans="1:10" ht="10.5" customHeight="1" x14ac:dyDescent="0.15">
      <c r="A396" s="442"/>
      <c r="B396" s="451" t="s">
        <v>928</v>
      </c>
      <c r="C396" s="135" t="s">
        <v>961</v>
      </c>
      <c r="D396" s="144">
        <v>0</v>
      </c>
      <c r="E396" s="144">
        <v>0</v>
      </c>
      <c r="F396" s="144">
        <v>0</v>
      </c>
      <c r="G396" s="144">
        <v>0</v>
      </c>
      <c r="H396" s="285">
        <v>0</v>
      </c>
      <c r="I396" s="507">
        <f t="shared" si="17"/>
        <v>0</v>
      </c>
    </row>
    <row r="397" spans="1:10" ht="10.5" customHeight="1" x14ac:dyDescent="0.15">
      <c r="A397" s="442"/>
      <c r="B397" s="451" t="s">
        <v>962</v>
      </c>
      <c r="C397" s="135" t="s">
        <v>967</v>
      </c>
      <c r="D397" s="144">
        <v>0</v>
      </c>
      <c r="E397" s="144">
        <v>0</v>
      </c>
      <c r="F397" s="144">
        <v>0</v>
      </c>
      <c r="G397" s="144">
        <v>0</v>
      </c>
      <c r="H397" s="285">
        <v>0</v>
      </c>
      <c r="I397" s="507">
        <f t="shared" si="17"/>
        <v>0</v>
      </c>
    </row>
    <row r="398" spans="1:10" ht="10.5" customHeight="1" x14ac:dyDescent="0.15">
      <c r="A398" s="442"/>
      <c r="B398" s="451" t="s">
        <v>963</v>
      </c>
      <c r="C398" s="135" t="s">
        <v>1124</v>
      </c>
      <c r="D398" s="144">
        <v>0</v>
      </c>
      <c r="E398" s="144">
        <v>0</v>
      </c>
      <c r="F398" s="144">
        <v>0</v>
      </c>
      <c r="G398" s="144">
        <v>0</v>
      </c>
      <c r="H398" s="285">
        <v>0</v>
      </c>
      <c r="I398" s="507">
        <f t="shared" si="17"/>
        <v>0</v>
      </c>
    </row>
    <row r="399" spans="1:10" ht="10.5" customHeight="1" x14ac:dyDescent="0.15">
      <c r="A399" s="442"/>
      <c r="B399" s="451" t="s">
        <v>964</v>
      </c>
      <c r="C399" s="135" t="s">
        <v>1094</v>
      </c>
      <c r="D399" s="144">
        <v>0</v>
      </c>
      <c r="E399" s="144">
        <v>0</v>
      </c>
      <c r="F399" s="144">
        <v>0</v>
      </c>
      <c r="G399" s="144">
        <v>0</v>
      </c>
      <c r="H399" s="285">
        <v>0</v>
      </c>
      <c r="I399" s="507">
        <f t="shared" si="17"/>
        <v>0</v>
      </c>
    </row>
    <row r="400" spans="1:10" ht="10.5" customHeight="1" x14ac:dyDescent="0.15">
      <c r="A400" s="442"/>
      <c r="B400" s="451" t="s">
        <v>965</v>
      </c>
      <c r="C400" s="135" t="s">
        <v>1095</v>
      </c>
      <c r="D400" s="144">
        <v>0</v>
      </c>
      <c r="E400" s="144">
        <v>0</v>
      </c>
      <c r="F400" s="144">
        <v>0</v>
      </c>
      <c r="G400" s="144">
        <v>0</v>
      </c>
      <c r="H400" s="285">
        <v>0</v>
      </c>
      <c r="I400" s="507">
        <f t="shared" si="17"/>
        <v>0</v>
      </c>
    </row>
    <row r="401" spans="1:9" ht="10.5" customHeight="1" x14ac:dyDescent="0.15">
      <c r="A401" s="442"/>
      <c r="B401" s="451" t="s">
        <v>1239</v>
      </c>
      <c r="C401" s="135" t="s">
        <v>1352</v>
      </c>
      <c r="D401" s="144">
        <v>0</v>
      </c>
      <c r="E401" s="144">
        <v>0</v>
      </c>
      <c r="F401" s="144">
        <v>0</v>
      </c>
      <c r="G401" s="144">
        <v>0</v>
      </c>
      <c r="H401" s="285">
        <v>0</v>
      </c>
      <c r="I401" s="507">
        <f t="shared" si="17"/>
        <v>0</v>
      </c>
    </row>
    <row r="402" spans="1:9" ht="10.5" customHeight="1" x14ac:dyDescent="0.15">
      <c r="A402" s="442"/>
      <c r="B402" s="451" t="s">
        <v>885</v>
      </c>
      <c r="C402" s="135" t="s">
        <v>1096</v>
      </c>
      <c r="D402" s="144">
        <v>0</v>
      </c>
      <c r="E402" s="144">
        <v>0</v>
      </c>
      <c r="F402" s="144">
        <v>0</v>
      </c>
      <c r="G402" s="144">
        <v>0</v>
      </c>
      <c r="H402" s="285">
        <v>0</v>
      </c>
      <c r="I402" s="507">
        <f t="shared" si="17"/>
        <v>0</v>
      </c>
    </row>
    <row r="403" spans="1:9" ht="10.5" customHeight="1" x14ac:dyDescent="0.15">
      <c r="A403" s="442"/>
      <c r="B403" s="451" t="s">
        <v>966</v>
      </c>
      <c r="C403" s="135" t="s">
        <v>1097</v>
      </c>
      <c r="D403" s="144">
        <v>0</v>
      </c>
      <c r="E403" s="144">
        <v>0</v>
      </c>
      <c r="F403" s="144">
        <v>0</v>
      </c>
      <c r="G403" s="144">
        <v>0</v>
      </c>
      <c r="H403" s="285">
        <v>0</v>
      </c>
      <c r="I403" s="507">
        <f t="shared" si="17"/>
        <v>0</v>
      </c>
    </row>
    <row r="404" spans="1:9" ht="10.5" customHeight="1" x14ac:dyDescent="0.15">
      <c r="A404" s="442"/>
      <c r="B404" s="451" t="s">
        <v>886</v>
      </c>
      <c r="C404" s="135" t="s">
        <v>1100</v>
      </c>
      <c r="D404" s="144">
        <v>0</v>
      </c>
      <c r="E404" s="144">
        <v>0</v>
      </c>
      <c r="F404" s="144">
        <v>0</v>
      </c>
      <c r="G404" s="144">
        <v>0</v>
      </c>
      <c r="H404" s="285">
        <v>0</v>
      </c>
      <c r="I404" s="507">
        <f t="shared" si="17"/>
        <v>0</v>
      </c>
    </row>
    <row r="405" spans="1:9" ht="10.5" customHeight="1" x14ac:dyDescent="0.15">
      <c r="A405" s="442"/>
      <c r="B405" s="451" t="s">
        <v>116</v>
      </c>
      <c r="C405" s="135" t="s">
        <v>1105</v>
      </c>
      <c r="D405" s="144">
        <v>0</v>
      </c>
      <c r="E405" s="144">
        <v>0</v>
      </c>
      <c r="F405" s="144">
        <v>0</v>
      </c>
      <c r="G405" s="144">
        <v>0</v>
      </c>
      <c r="H405" s="285">
        <v>0</v>
      </c>
      <c r="I405" s="507">
        <f t="shared" si="17"/>
        <v>0</v>
      </c>
    </row>
    <row r="406" spans="1:9" ht="10.5" customHeight="1" x14ac:dyDescent="0.15">
      <c r="A406" s="442"/>
      <c r="B406" s="451" t="s">
        <v>112</v>
      </c>
      <c r="C406" s="135" t="s">
        <v>1110</v>
      </c>
      <c r="D406" s="144">
        <v>0</v>
      </c>
      <c r="E406" s="144">
        <v>0</v>
      </c>
      <c r="F406" s="144">
        <v>0</v>
      </c>
      <c r="G406" s="144">
        <v>0</v>
      </c>
      <c r="H406" s="285">
        <v>0</v>
      </c>
      <c r="I406" s="507">
        <f t="shared" si="17"/>
        <v>0</v>
      </c>
    </row>
    <row r="407" spans="1:9" ht="10.5" customHeight="1" x14ac:dyDescent="0.15">
      <c r="A407" s="442"/>
      <c r="B407" s="451" t="s">
        <v>887</v>
      </c>
      <c r="C407" s="135" t="s">
        <v>1116</v>
      </c>
      <c r="D407" s="144">
        <v>0</v>
      </c>
      <c r="E407" s="144">
        <v>0</v>
      </c>
      <c r="F407" s="144">
        <v>0</v>
      </c>
      <c r="G407" s="144">
        <v>0</v>
      </c>
      <c r="H407" s="285">
        <v>0</v>
      </c>
      <c r="I407" s="507">
        <f t="shared" si="17"/>
        <v>0</v>
      </c>
    </row>
    <row r="408" spans="1:9" ht="10.5" customHeight="1" x14ac:dyDescent="0.15">
      <c r="A408" s="442"/>
      <c r="B408" s="451" t="s">
        <v>1112</v>
      </c>
      <c r="C408" s="135" t="s">
        <v>1117</v>
      </c>
      <c r="D408" s="144">
        <v>0</v>
      </c>
      <c r="E408" s="144">
        <v>0</v>
      </c>
      <c r="F408" s="144">
        <v>0</v>
      </c>
      <c r="G408" s="144">
        <v>0</v>
      </c>
      <c r="H408" s="285">
        <v>0</v>
      </c>
      <c r="I408" s="507">
        <f t="shared" si="17"/>
        <v>0</v>
      </c>
    </row>
    <row r="409" spans="1:9" ht="10.5" customHeight="1" x14ac:dyDescent="0.15">
      <c r="A409" s="442"/>
      <c r="B409" s="451" t="s">
        <v>1113</v>
      </c>
      <c r="C409" s="135" t="s">
        <v>1118</v>
      </c>
      <c r="D409" s="144">
        <v>0</v>
      </c>
      <c r="E409" s="144">
        <v>0</v>
      </c>
      <c r="F409" s="144">
        <v>0</v>
      </c>
      <c r="G409" s="144">
        <v>0</v>
      </c>
      <c r="H409" s="285">
        <v>0</v>
      </c>
      <c r="I409" s="507">
        <f t="shared" si="17"/>
        <v>0</v>
      </c>
    </row>
    <row r="410" spans="1:9" ht="10.5" customHeight="1" x14ac:dyDescent="0.15">
      <c r="A410" s="442"/>
      <c r="B410" s="451" t="s">
        <v>1114</v>
      </c>
      <c r="C410" s="135" t="s">
        <v>1119</v>
      </c>
      <c r="D410" s="144">
        <v>0</v>
      </c>
      <c r="E410" s="144">
        <v>0</v>
      </c>
      <c r="F410" s="144">
        <v>0</v>
      </c>
      <c r="G410" s="144">
        <v>0</v>
      </c>
      <c r="H410" s="285">
        <v>0</v>
      </c>
      <c r="I410" s="507">
        <f t="shared" si="17"/>
        <v>0</v>
      </c>
    </row>
    <row r="411" spans="1:9" ht="10.5" customHeight="1" x14ac:dyDescent="0.15">
      <c r="A411" s="442"/>
      <c r="B411" s="451" t="s">
        <v>1115</v>
      </c>
      <c r="C411" s="135" t="s">
        <v>1120</v>
      </c>
      <c r="D411" s="144">
        <v>0</v>
      </c>
      <c r="E411" s="144">
        <v>0</v>
      </c>
      <c r="F411" s="144">
        <v>0</v>
      </c>
      <c r="G411" s="144">
        <v>0</v>
      </c>
      <c r="H411" s="285">
        <v>0</v>
      </c>
      <c r="I411" s="507">
        <f t="shared" si="17"/>
        <v>0</v>
      </c>
    </row>
    <row r="412" spans="1:9" ht="10.5" customHeight="1" thickBot="1" x14ac:dyDescent="0.2">
      <c r="A412" s="442"/>
      <c r="B412" s="451" t="s">
        <v>114</v>
      </c>
      <c r="C412" s="135" t="s">
        <v>1121</v>
      </c>
      <c r="D412" s="141">
        <v>0</v>
      </c>
      <c r="E412" s="141">
        <v>0</v>
      </c>
      <c r="F412" s="141">
        <v>0</v>
      </c>
      <c r="G412" s="141">
        <v>0</v>
      </c>
      <c r="H412" s="285">
        <v>0</v>
      </c>
      <c r="I412" s="507">
        <f t="shared" si="17"/>
        <v>0</v>
      </c>
    </row>
    <row r="413" spans="1:9" ht="10.5" customHeight="1" thickTop="1" thickBot="1" x14ac:dyDescent="0.2">
      <c r="A413" s="442"/>
      <c r="B413" s="451"/>
      <c r="C413" s="135" t="s">
        <v>141</v>
      </c>
      <c r="D413" s="166">
        <f>SUM(D385:D412)</f>
        <v>0</v>
      </c>
      <c r="E413" s="166">
        <f>SUM(E385:E412)</f>
        <v>0</v>
      </c>
      <c r="F413" s="166">
        <f>SUM(F385:F412)</f>
        <v>0</v>
      </c>
      <c r="G413" s="166">
        <f>SUM(G385:G412)</f>
        <v>0</v>
      </c>
      <c r="H413" s="166">
        <f>SUM(H385:H412)</f>
        <v>0</v>
      </c>
      <c r="I413" s="166">
        <f>G413+H413</f>
        <v>0</v>
      </c>
    </row>
    <row r="414" spans="1:9" ht="10.5" customHeight="1" thickTop="1" x14ac:dyDescent="0.15">
      <c r="A414" s="442"/>
      <c r="B414" s="451"/>
      <c r="C414" s="135"/>
      <c r="D414" s="14"/>
      <c r="E414" s="14"/>
      <c r="F414" s="14"/>
      <c r="G414" s="14"/>
      <c r="H414" s="195"/>
      <c r="I414" s="167"/>
    </row>
    <row r="415" spans="1:9" ht="10.5" customHeight="1" x14ac:dyDescent="0.15">
      <c r="A415" s="442" t="s">
        <v>1590</v>
      </c>
      <c r="C415" s="135"/>
      <c r="D415" s="14"/>
      <c r="E415" s="14"/>
      <c r="F415" s="14"/>
      <c r="G415" s="14"/>
      <c r="H415" s="195"/>
      <c r="I415" s="167"/>
    </row>
    <row r="416" spans="1:9" s="416" customFormat="1" hidden="1" x14ac:dyDescent="0.15">
      <c r="B416" s="453" t="s">
        <v>880</v>
      </c>
      <c r="C416" s="454" t="s">
        <v>1164</v>
      </c>
      <c r="D416" s="308">
        <v>0</v>
      </c>
      <c r="E416" s="308">
        <v>0</v>
      </c>
      <c r="F416" s="308">
        <v>0</v>
      </c>
      <c r="G416" s="458"/>
      <c r="H416" s="457">
        <v>0</v>
      </c>
      <c r="I416" s="494">
        <f>SUM(G416+H416)</f>
        <v>0</v>
      </c>
    </row>
    <row r="417" spans="1:10" s="416" customFormat="1" x14ac:dyDescent="0.15">
      <c r="B417" s="453" t="s">
        <v>880</v>
      </c>
      <c r="C417" s="454" t="s">
        <v>337</v>
      </c>
      <c r="D417" s="308">
        <v>0</v>
      </c>
      <c r="E417" s="308">
        <v>0</v>
      </c>
      <c r="F417" s="308">
        <v>0</v>
      </c>
      <c r="G417" s="308">
        <v>0</v>
      </c>
      <c r="H417" s="457">
        <v>0</v>
      </c>
      <c r="I417" s="494">
        <f>SUM(G417+H417)</f>
        <v>0</v>
      </c>
    </row>
    <row r="418" spans="1:10" s="416" customFormat="1" hidden="1" x14ac:dyDescent="0.15">
      <c r="A418" s="454"/>
      <c r="B418" s="453" t="s">
        <v>881</v>
      </c>
      <c r="C418" s="454" t="s">
        <v>382</v>
      </c>
      <c r="D418" s="308">
        <v>0</v>
      </c>
      <c r="E418" s="308">
        <v>0</v>
      </c>
      <c r="F418" s="308">
        <v>0</v>
      </c>
      <c r="G418" s="459"/>
      <c r="H418" s="457">
        <v>0</v>
      </c>
      <c r="I418" s="494">
        <f>SUM(G418+H418)</f>
        <v>0</v>
      </c>
    </row>
    <row r="419" spans="1:10" x14ac:dyDescent="0.15">
      <c r="A419" s="135"/>
      <c r="B419" s="451" t="s">
        <v>881</v>
      </c>
      <c r="C419" s="135" t="s">
        <v>338</v>
      </c>
      <c r="D419" s="144">
        <v>0</v>
      </c>
      <c r="E419" s="144">
        <v>0</v>
      </c>
      <c r="F419" s="144">
        <v>0</v>
      </c>
      <c r="G419" s="144">
        <v>0</v>
      </c>
      <c r="H419" s="147">
        <v>0</v>
      </c>
      <c r="I419" s="495">
        <f>SUM(G419+H419)</f>
        <v>0</v>
      </c>
      <c r="J419" s="416"/>
    </row>
    <row r="420" spans="1:10" ht="10.5" customHeight="1" x14ac:dyDescent="0.15">
      <c r="A420" s="442"/>
      <c r="B420" s="451" t="s">
        <v>882</v>
      </c>
      <c r="C420" s="135" t="s">
        <v>1058</v>
      </c>
      <c r="D420" s="144">
        <v>0</v>
      </c>
      <c r="E420" s="144">
        <v>0</v>
      </c>
      <c r="F420" s="144">
        <v>0</v>
      </c>
      <c r="G420" s="144">
        <v>0</v>
      </c>
      <c r="H420" s="285">
        <v>0</v>
      </c>
      <c r="I420" s="507">
        <f t="shared" ref="I420:I443" si="18">SUM(G420+H420)</f>
        <v>0</v>
      </c>
    </row>
    <row r="421" spans="1:10" ht="10.5" customHeight="1" x14ac:dyDescent="0.15">
      <c r="A421" s="442"/>
      <c r="B421" s="451" t="s">
        <v>883</v>
      </c>
      <c r="C421" s="135" t="s">
        <v>1059</v>
      </c>
      <c r="D421" s="144">
        <v>0</v>
      </c>
      <c r="E421" s="144">
        <v>0</v>
      </c>
      <c r="F421" s="144">
        <v>0</v>
      </c>
      <c r="G421" s="144">
        <v>0</v>
      </c>
      <c r="H421" s="285">
        <v>0</v>
      </c>
      <c r="I421" s="507">
        <f t="shared" si="18"/>
        <v>0</v>
      </c>
    </row>
    <row r="422" spans="1:10" ht="10.5" customHeight="1" x14ac:dyDescent="0.15">
      <c r="A422" s="442"/>
      <c r="B422" s="451" t="s">
        <v>1060</v>
      </c>
      <c r="C422" s="135" t="s">
        <v>1061</v>
      </c>
      <c r="D422" s="144">
        <v>0</v>
      </c>
      <c r="E422" s="144">
        <v>0</v>
      </c>
      <c r="F422" s="144">
        <v>0</v>
      </c>
      <c r="G422" s="144">
        <v>0</v>
      </c>
      <c r="H422" s="285">
        <v>0</v>
      </c>
      <c r="I422" s="507">
        <f t="shared" si="18"/>
        <v>0</v>
      </c>
    </row>
    <row r="423" spans="1:10" ht="10.5" customHeight="1" x14ac:dyDescent="0.15">
      <c r="A423" s="442"/>
      <c r="B423" s="451" t="s">
        <v>1062</v>
      </c>
      <c r="C423" s="135" t="s">
        <v>1063</v>
      </c>
      <c r="D423" s="144">
        <v>0</v>
      </c>
      <c r="E423" s="144">
        <v>0</v>
      </c>
      <c r="F423" s="144">
        <v>0</v>
      </c>
      <c r="G423" s="144">
        <v>0</v>
      </c>
      <c r="H423" s="285">
        <v>0</v>
      </c>
      <c r="I423" s="507">
        <f t="shared" si="18"/>
        <v>0</v>
      </c>
    </row>
    <row r="424" spans="1:10" ht="10.5" customHeight="1" x14ac:dyDescent="0.15">
      <c r="A424" s="442"/>
      <c r="B424" s="451" t="s">
        <v>884</v>
      </c>
      <c r="C424" s="135" t="s">
        <v>1064</v>
      </c>
      <c r="D424" s="144">
        <v>0</v>
      </c>
      <c r="E424" s="144">
        <v>0</v>
      </c>
      <c r="F424" s="144">
        <v>0</v>
      </c>
      <c r="G424" s="144">
        <v>0</v>
      </c>
      <c r="H424" s="285">
        <v>0</v>
      </c>
      <c r="I424" s="507">
        <f t="shared" si="18"/>
        <v>0</v>
      </c>
    </row>
    <row r="425" spans="1:10" ht="10.5" customHeight="1" x14ac:dyDescent="0.15">
      <c r="A425" s="442"/>
      <c r="B425" s="451" t="s">
        <v>155</v>
      </c>
      <c r="C425" s="135" t="s">
        <v>178</v>
      </c>
      <c r="D425" s="144">
        <v>0</v>
      </c>
      <c r="E425" s="144">
        <v>0</v>
      </c>
      <c r="F425" s="144">
        <v>0</v>
      </c>
      <c r="G425" s="144">
        <v>0</v>
      </c>
      <c r="H425" s="285">
        <v>0</v>
      </c>
      <c r="I425" s="507">
        <f t="shared" si="18"/>
        <v>0</v>
      </c>
    </row>
    <row r="426" spans="1:10" ht="10.5" customHeight="1" x14ac:dyDescent="0.15">
      <c r="A426" s="442"/>
      <c r="B426" s="451" t="s">
        <v>927</v>
      </c>
      <c r="C426" s="135" t="s">
        <v>959</v>
      </c>
      <c r="D426" s="144">
        <v>0</v>
      </c>
      <c r="E426" s="144">
        <v>0</v>
      </c>
      <c r="F426" s="144">
        <v>0</v>
      </c>
      <c r="G426" s="144">
        <v>0</v>
      </c>
      <c r="H426" s="285">
        <v>0</v>
      </c>
      <c r="I426" s="507">
        <f t="shared" si="18"/>
        <v>0</v>
      </c>
    </row>
    <row r="427" spans="1:10" ht="10.5" customHeight="1" x14ac:dyDescent="0.15">
      <c r="A427" s="442"/>
      <c r="B427" s="451" t="s">
        <v>928</v>
      </c>
      <c r="C427" s="135" t="s">
        <v>961</v>
      </c>
      <c r="D427" s="144">
        <v>0</v>
      </c>
      <c r="E427" s="144">
        <v>0</v>
      </c>
      <c r="F427" s="144">
        <v>0</v>
      </c>
      <c r="G427" s="144">
        <v>0</v>
      </c>
      <c r="H427" s="285">
        <v>0</v>
      </c>
      <c r="I427" s="507">
        <f t="shared" si="18"/>
        <v>0</v>
      </c>
    </row>
    <row r="428" spans="1:10" ht="10.5" customHeight="1" x14ac:dyDescent="0.15">
      <c r="A428" s="442"/>
      <c r="B428" s="451" t="s">
        <v>962</v>
      </c>
      <c r="C428" s="135" t="s">
        <v>967</v>
      </c>
      <c r="D428" s="144">
        <v>0</v>
      </c>
      <c r="E428" s="144">
        <v>0</v>
      </c>
      <c r="F428" s="144">
        <v>0</v>
      </c>
      <c r="G428" s="144">
        <v>0</v>
      </c>
      <c r="H428" s="285">
        <v>0</v>
      </c>
      <c r="I428" s="507">
        <f t="shared" si="18"/>
        <v>0</v>
      </c>
    </row>
    <row r="429" spans="1:10" ht="10.5" customHeight="1" x14ac:dyDescent="0.15">
      <c r="A429" s="442"/>
      <c r="B429" s="451" t="s">
        <v>963</v>
      </c>
      <c r="C429" s="135" t="s">
        <v>1124</v>
      </c>
      <c r="D429" s="144">
        <v>0</v>
      </c>
      <c r="E429" s="144">
        <v>0</v>
      </c>
      <c r="F429" s="144">
        <v>0</v>
      </c>
      <c r="G429" s="144">
        <v>0</v>
      </c>
      <c r="H429" s="285">
        <v>0</v>
      </c>
      <c r="I429" s="507">
        <f t="shared" si="18"/>
        <v>0</v>
      </c>
    </row>
    <row r="430" spans="1:10" ht="10.5" customHeight="1" x14ac:dyDescent="0.15">
      <c r="A430" s="442"/>
      <c r="B430" s="451" t="s">
        <v>964</v>
      </c>
      <c r="C430" s="135" t="s">
        <v>1094</v>
      </c>
      <c r="D430" s="144">
        <v>0</v>
      </c>
      <c r="E430" s="144">
        <v>0</v>
      </c>
      <c r="F430" s="144">
        <v>0</v>
      </c>
      <c r="G430" s="144">
        <v>0</v>
      </c>
      <c r="H430" s="285">
        <v>0</v>
      </c>
      <c r="I430" s="507">
        <f t="shared" si="18"/>
        <v>0</v>
      </c>
    </row>
    <row r="431" spans="1:10" ht="10.5" customHeight="1" x14ac:dyDescent="0.15">
      <c r="A431" s="442"/>
      <c r="B431" s="451" t="s">
        <v>965</v>
      </c>
      <c r="C431" s="135" t="s">
        <v>1095</v>
      </c>
      <c r="D431" s="144">
        <v>0</v>
      </c>
      <c r="E431" s="144">
        <v>0</v>
      </c>
      <c r="F431" s="144">
        <v>0</v>
      </c>
      <c r="G431" s="144">
        <v>0</v>
      </c>
      <c r="H431" s="285">
        <v>0</v>
      </c>
      <c r="I431" s="507">
        <f t="shared" si="18"/>
        <v>0</v>
      </c>
    </row>
    <row r="432" spans="1:10" ht="10.5" customHeight="1" x14ac:dyDescent="0.15">
      <c r="A432" s="442"/>
      <c r="B432" s="451" t="s">
        <v>1239</v>
      </c>
      <c r="C432" s="135" t="s">
        <v>1352</v>
      </c>
      <c r="D432" s="144">
        <v>0</v>
      </c>
      <c r="E432" s="144">
        <v>0</v>
      </c>
      <c r="F432" s="144">
        <v>0</v>
      </c>
      <c r="G432" s="144">
        <v>0</v>
      </c>
      <c r="H432" s="285">
        <v>0</v>
      </c>
      <c r="I432" s="507">
        <f t="shared" si="18"/>
        <v>0</v>
      </c>
    </row>
    <row r="433" spans="1:9" ht="10.5" customHeight="1" x14ac:dyDescent="0.15">
      <c r="A433" s="442"/>
      <c r="B433" s="451" t="s">
        <v>885</v>
      </c>
      <c r="C433" s="135" t="s">
        <v>1096</v>
      </c>
      <c r="D433" s="144">
        <v>0</v>
      </c>
      <c r="E433" s="144">
        <v>0</v>
      </c>
      <c r="F433" s="144">
        <v>0</v>
      </c>
      <c r="G433" s="144">
        <v>0</v>
      </c>
      <c r="H433" s="285">
        <v>0</v>
      </c>
      <c r="I433" s="507">
        <f t="shared" si="18"/>
        <v>0</v>
      </c>
    </row>
    <row r="434" spans="1:9" ht="10.5" customHeight="1" x14ac:dyDescent="0.15">
      <c r="A434" s="442"/>
      <c r="B434" s="451" t="s">
        <v>966</v>
      </c>
      <c r="C434" s="135" t="s">
        <v>1097</v>
      </c>
      <c r="D434" s="144">
        <v>0</v>
      </c>
      <c r="E434" s="144">
        <v>0</v>
      </c>
      <c r="F434" s="144">
        <v>0</v>
      </c>
      <c r="G434" s="144">
        <v>0</v>
      </c>
      <c r="H434" s="285">
        <v>0</v>
      </c>
      <c r="I434" s="507">
        <f t="shared" si="18"/>
        <v>0</v>
      </c>
    </row>
    <row r="435" spans="1:9" ht="10.5" customHeight="1" x14ac:dyDescent="0.15">
      <c r="A435" s="442"/>
      <c r="B435" s="451" t="s">
        <v>886</v>
      </c>
      <c r="C435" s="135" t="s">
        <v>1100</v>
      </c>
      <c r="D435" s="144">
        <v>0</v>
      </c>
      <c r="E435" s="144">
        <v>0</v>
      </c>
      <c r="F435" s="144">
        <v>0</v>
      </c>
      <c r="G435" s="144">
        <v>0</v>
      </c>
      <c r="H435" s="285">
        <v>0</v>
      </c>
      <c r="I435" s="507">
        <f t="shared" si="18"/>
        <v>0</v>
      </c>
    </row>
    <row r="436" spans="1:9" ht="10.5" customHeight="1" x14ac:dyDescent="0.15">
      <c r="A436" s="442"/>
      <c r="B436" s="451" t="s">
        <v>116</v>
      </c>
      <c r="C436" s="135" t="s">
        <v>1105</v>
      </c>
      <c r="D436" s="144">
        <v>0</v>
      </c>
      <c r="E436" s="144">
        <v>0</v>
      </c>
      <c r="F436" s="144">
        <v>0</v>
      </c>
      <c r="G436" s="144">
        <v>0</v>
      </c>
      <c r="H436" s="285">
        <v>0</v>
      </c>
      <c r="I436" s="507">
        <f t="shared" si="18"/>
        <v>0</v>
      </c>
    </row>
    <row r="437" spans="1:9" ht="10.5" customHeight="1" x14ac:dyDescent="0.15">
      <c r="A437" s="442"/>
      <c r="B437" s="451" t="s">
        <v>112</v>
      </c>
      <c r="C437" s="135" t="s">
        <v>1110</v>
      </c>
      <c r="D437" s="144">
        <v>0</v>
      </c>
      <c r="E437" s="144">
        <v>0</v>
      </c>
      <c r="F437" s="144">
        <v>0</v>
      </c>
      <c r="G437" s="144">
        <v>0</v>
      </c>
      <c r="H437" s="285">
        <v>0</v>
      </c>
      <c r="I437" s="507">
        <f t="shared" si="18"/>
        <v>0</v>
      </c>
    </row>
    <row r="438" spans="1:9" ht="10.5" customHeight="1" x14ac:dyDescent="0.15">
      <c r="A438" s="442"/>
      <c r="B438" s="451" t="s">
        <v>887</v>
      </c>
      <c r="C438" s="135" t="s">
        <v>1116</v>
      </c>
      <c r="D438" s="144">
        <v>0</v>
      </c>
      <c r="E438" s="144">
        <v>0</v>
      </c>
      <c r="F438" s="144">
        <v>0</v>
      </c>
      <c r="G438" s="144">
        <v>0</v>
      </c>
      <c r="H438" s="285">
        <v>0</v>
      </c>
      <c r="I438" s="507">
        <f t="shared" si="18"/>
        <v>0</v>
      </c>
    </row>
    <row r="439" spans="1:9" ht="10.5" customHeight="1" x14ac:dyDescent="0.15">
      <c r="A439" s="442"/>
      <c r="B439" s="451" t="s">
        <v>1112</v>
      </c>
      <c r="C439" s="135" t="s">
        <v>1117</v>
      </c>
      <c r="D439" s="144">
        <v>0</v>
      </c>
      <c r="E439" s="144">
        <v>0</v>
      </c>
      <c r="F439" s="144">
        <v>0</v>
      </c>
      <c r="G439" s="144">
        <v>0</v>
      </c>
      <c r="H439" s="285">
        <v>0</v>
      </c>
      <c r="I439" s="507">
        <f t="shared" si="18"/>
        <v>0</v>
      </c>
    </row>
    <row r="440" spans="1:9" ht="10.5" customHeight="1" x14ac:dyDescent="0.15">
      <c r="A440" s="442"/>
      <c r="B440" s="451" t="s">
        <v>1113</v>
      </c>
      <c r="C440" s="135" t="s">
        <v>1118</v>
      </c>
      <c r="D440" s="144">
        <v>0</v>
      </c>
      <c r="E440" s="144">
        <v>0</v>
      </c>
      <c r="F440" s="144">
        <v>0</v>
      </c>
      <c r="G440" s="144">
        <v>0</v>
      </c>
      <c r="H440" s="285">
        <v>0</v>
      </c>
      <c r="I440" s="507">
        <f t="shared" si="18"/>
        <v>0</v>
      </c>
    </row>
    <row r="441" spans="1:9" ht="10.5" customHeight="1" x14ac:dyDescent="0.15">
      <c r="A441" s="442"/>
      <c r="B441" s="451" t="s">
        <v>1114</v>
      </c>
      <c r="C441" s="135" t="s">
        <v>1119</v>
      </c>
      <c r="D441" s="144">
        <v>0</v>
      </c>
      <c r="E441" s="144">
        <v>0</v>
      </c>
      <c r="F441" s="144">
        <v>0</v>
      </c>
      <c r="G441" s="144">
        <v>0</v>
      </c>
      <c r="H441" s="285">
        <v>0</v>
      </c>
      <c r="I441" s="507">
        <f t="shared" si="18"/>
        <v>0</v>
      </c>
    </row>
    <row r="442" spans="1:9" ht="10.5" customHeight="1" x14ac:dyDescent="0.15">
      <c r="A442" s="442"/>
      <c r="B442" s="451" t="s">
        <v>1115</v>
      </c>
      <c r="C442" s="135" t="s">
        <v>1120</v>
      </c>
      <c r="D442" s="144">
        <v>0</v>
      </c>
      <c r="E442" s="144">
        <v>0</v>
      </c>
      <c r="F442" s="144">
        <v>0</v>
      </c>
      <c r="G442" s="144">
        <v>0</v>
      </c>
      <c r="H442" s="285">
        <v>0</v>
      </c>
      <c r="I442" s="507">
        <f t="shared" si="18"/>
        <v>0</v>
      </c>
    </row>
    <row r="443" spans="1:9" ht="10.5" customHeight="1" thickBot="1" x14ac:dyDescent="0.2">
      <c r="A443" s="442"/>
      <c r="B443" s="451" t="s">
        <v>114</v>
      </c>
      <c r="C443" s="135" t="s">
        <v>1121</v>
      </c>
      <c r="D443" s="141">
        <v>0</v>
      </c>
      <c r="E443" s="141">
        <v>0</v>
      </c>
      <c r="F443" s="141">
        <v>0</v>
      </c>
      <c r="G443" s="141">
        <v>0</v>
      </c>
      <c r="H443" s="285">
        <v>0</v>
      </c>
      <c r="I443" s="507">
        <f t="shared" si="18"/>
        <v>0</v>
      </c>
    </row>
    <row r="444" spans="1:9" ht="10.5" customHeight="1" thickTop="1" thickBot="1" x14ac:dyDescent="0.2">
      <c r="A444" s="442"/>
      <c r="B444" s="451"/>
      <c r="C444" s="135" t="s">
        <v>141</v>
      </c>
      <c r="D444" s="166">
        <f>SUM(D416:D443)</f>
        <v>0</v>
      </c>
      <c r="E444" s="166">
        <f>SUM(E416:E443)</f>
        <v>0</v>
      </c>
      <c r="F444" s="166">
        <f>SUM(F416:F443)</f>
        <v>0</v>
      </c>
      <c r="G444" s="166">
        <f>SUM(G416:G443)</f>
        <v>0</v>
      </c>
      <c r="H444" s="166">
        <f>SUM(H416:H443)</f>
        <v>0</v>
      </c>
      <c r="I444" s="166">
        <f>G444+H444</f>
        <v>0</v>
      </c>
    </row>
    <row r="445" spans="1:9" ht="10.5" customHeight="1" thickTop="1" x14ac:dyDescent="0.15">
      <c r="A445" s="442"/>
      <c r="B445" s="451"/>
      <c r="C445" s="135"/>
      <c r="D445" s="14"/>
      <c r="E445" s="14"/>
      <c r="F445" s="14"/>
      <c r="G445" s="14"/>
      <c r="H445" s="195"/>
      <c r="I445" s="167"/>
    </row>
    <row r="446" spans="1:9" ht="10.5" customHeight="1" x14ac:dyDescent="0.15">
      <c r="A446" s="442" t="s">
        <v>142</v>
      </c>
      <c r="C446" s="135"/>
      <c r="D446" s="14"/>
      <c r="E446" s="14"/>
      <c r="F446" s="14"/>
      <c r="G446" s="14"/>
      <c r="H446" s="195"/>
      <c r="I446" s="167"/>
    </row>
    <row r="447" spans="1:9" s="416" customFormat="1" hidden="1" x14ac:dyDescent="0.15">
      <c r="B447" s="453" t="s">
        <v>880</v>
      </c>
      <c r="C447" s="454" t="s">
        <v>1164</v>
      </c>
      <c r="D447" s="308">
        <v>0</v>
      </c>
      <c r="E447" s="308">
        <v>0</v>
      </c>
      <c r="F447" s="308">
        <v>0</v>
      </c>
      <c r="G447" s="458"/>
      <c r="H447" s="457">
        <v>0</v>
      </c>
      <c r="I447" s="494">
        <f>SUM(G447+H447)</f>
        <v>0</v>
      </c>
    </row>
    <row r="448" spans="1:9" s="416" customFormat="1" x14ac:dyDescent="0.15">
      <c r="B448" s="453" t="s">
        <v>880</v>
      </c>
      <c r="C448" s="454" t="s">
        <v>337</v>
      </c>
      <c r="D448" s="308">
        <v>0</v>
      </c>
      <c r="E448" s="308">
        <v>0</v>
      </c>
      <c r="F448" s="308">
        <v>0</v>
      </c>
      <c r="G448" s="308">
        <v>0</v>
      </c>
      <c r="H448" s="457">
        <v>0</v>
      </c>
      <c r="I448" s="494">
        <f>SUM(G448+H448)</f>
        <v>0</v>
      </c>
    </row>
    <row r="449" spans="1:10" s="416" customFormat="1" hidden="1" x14ac:dyDescent="0.15">
      <c r="A449" s="454"/>
      <c r="B449" s="453" t="s">
        <v>881</v>
      </c>
      <c r="C449" s="454" t="s">
        <v>382</v>
      </c>
      <c r="D449" s="308">
        <v>0</v>
      </c>
      <c r="E449" s="308">
        <v>0</v>
      </c>
      <c r="F449" s="308">
        <v>0</v>
      </c>
      <c r="G449" s="459"/>
      <c r="H449" s="457">
        <v>0</v>
      </c>
      <c r="I449" s="494">
        <f>SUM(G449+H449)</f>
        <v>0</v>
      </c>
    </row>
    <row r="450" spans="1:10" x14ac:dyDescent="0.15">
      <c r="A450" s="135"/>
      <c r="B450" s="451" t="s">
        <v>881</v>
      </c>
      <c r="C450" s="135" t="s">
        <v>338</v>
      </c>
      <c r="D450" s="144">
        <v>0</v>
      </c>
      <c r="E450" s="144">
        <v>0</v>
      </c>
      <c r="F450" s="144">
        <v>0</v>
      </c>
      <c r="G450" s="144">
        <v>0</v>
      </c>
      <c r="H450" s="147">
        <v>0</v>
      </c>
      <c r="I450" s="495">
        <f>SUM(G450+H450)</f>
        <v>0</v>
      </c>
      <c r="J450" s="416"/>
    </row>
    <row r="451" spans="1:10" ht="10.5" customHeight="1" x14ac:dyDescent="0.15">
      <c r="A451" s="442"/>
      <c r="B451" s="451" t="s">
        <v>882</v>
      </c>
      <c r="C451" s="135" t="s">
        <v>1058</v>
      </c>
      <c r="D451" s="144">
        <v>0</v>
      </c>
      <c r="E451" s="144">
        <v>0</v>
      </c>
      <c r="F451" s="144">
        <v>0</v>
      </c>
      <c r="G451" s="144">
        <v>0</v>
      </c>
      <c r="H451" s="285">
        <v>0</v>
      </c>
      <c r="I451" s="507">
        <f t="shared" ref="I451:I473" si="19">SUM(G451+H451)</f>
        <v>0</v>
      </c>
    </row>
    <row r="452" spans="1:10" ht="10.5" customHeight="1" x14ac:dyDescent="0.15">
      <c r="A452" s="442"/>
      <c r="B452" s="451" t="s">
        <v>883</v>
      </c>
      <c r="C452" s="135" t="s">
        <v>1059</v>
      </c>
      <c r="D452" s="144">
        <v>0</v>
      </c>
      <c r="E452" s="144">
        <v>0</v>
      </c>
      <c r="F452" s="144">
        <v>0</v>
      </c>
      <c r="G452" s="144">
        <v>0</v>
      </c>
      <c r="H452" s="285">
        <v>0</v>
      </c>
      <c r="I452" s="507">
        <f t="shared" si="19"/>
        <v>0</v>
      </c>
    </row>
    <row r="453" spans="1:10" ht="10.5" customHeight="1" x14ac:dyDescent="0.15">
      <c r="A453" s="442"/>
      <c r="B453" s="451" t="s">
        <v>1060</v>
      </c>
      <c r="C453" s="135" t="s">
        <v>1061</v>
      </c>
      <c r="D453" s="144">
        <v>0</v>
      </c>
      <c r="E453" s="144">
        <v>0</v>
      </c>
      <c r="F453" s="144">
        <v>0</v>
      </c>
      <c r="G453" s="144">
        <v>0</v>
      </c>
      <c r="H453" s="285">
        <v>0</v>
      </c>
      <c r="I453" s="507">
        <f t="shared" si="19"/>
        <v>0</v>
      </c>
    </row>
    <row r="454" spans="1:10" ht="10.5" customHeight="1" x14ac:dyDescent="0.15">
      <c r="A454" s="442"/>
      <c r="B454" s="451" t="s">
        <v>1062</v>
      </c>
      <c r="C454" s="135" t="s">
        <v>1063</v>
      </c>
      <c r="D454" s="144">
        <v>0</v>
      </c>
      <c r="E454" s="144">
        <v>0</v>
      </c>
      <c r="F454" s="144">
        <v>0</v>
      </c>
      <c r="G454" s="144">
        <v>0</v>
      </c>
      <c r="H454" s="285">
        <v>0</v>
      </c>
      <c r="I454" s="507">
        <f t="shared" si="19"/>
        <v>0</v>
      </c>
    </row>
    <row r="455" spans="1:10" ht="10.5" customHeight="1" x14ac:dyDescent="0.15">
      <c r="A455" s="442"/>
      <c r="B455" s="451" t="s">
        <v>884</v>
      </c>
      <c r="C455" s="135" t="s">
        <v>1064</v>
      </c>
      <c r="D455" s="144">
        <v>0</v>
      </c>
      <c r="E455" s="144">
        <v>0</v>
      </c>
      <c r="F455" s="144">
        <v>0</v>
      </c>
      <c r="G455" s="144">
        <v>0</v>
      </c>
      <c r="H455" s="285">
        <v>0</v>
      </c>
      <c r="I455" s="507">
        <f t="shared" si="19"/>
        <v>0</v>
      </c>
    </row>
    <row r="456" spans="1:10" ht="10.5" customHeight="1" x14ac:dyDescent="0.15">
      <c r="A456" s="442"/>
      <c r="B456" s="716" t="s">
        <v>155</v>
      </c>
      <c r="C456" s="703" t="s">
        <v>178</v>
      </c>
      <c r="D456" s="144">
        <v>0</v>
      </c>
      <c r="E456" s="144">
        <v>0</v>
      </c>
      <c r="F456" s="144">
        <v>0</v>
      </c>
      <c r="G456" s="144">
        <v>0</v>
      </c>
      <c r="H456" s="285">
        <v>0</v>
      </c>
      <c r="I456" s="507">
        <f t="shared" ref="I456" si="20">SUM(G456+H456)</f>
        <v>0</v>
      </c>
    </row>
    <row r="457" spans="1:10" ht="10.5" customHeight="1" x14ac:dyDescent="0.15">
      <c r="A457" s="442"/>
      <c r="B457" s="451" t="s">
        <v>927</v>
      </c>
      <c r="C457" s="135" t="s">
        <v>959</v>
      </c>
      <c r="D457" s="144">
        <v>0</v>
      </c>
      <c r="E457" s="144">
        <v>0</v>
      </c>
      <c r="F457" s="144">
        <v>0</v>
      </c>
      <c r="G457" s="144">
        <v>0</v>
      </c>
      <c r="H457" s="285">
        <v>0</v>
      </c>
      <c r="I457" s="507">
        <f t="shared" si="19"/>
        <v>0</v>
      </c>
    </row>
    <row r="458" spans="1:10" ht="10.5" customHeight="1" x14ac:dyDescent="0.15">
      <c r="A458" s="442"/>
      <c r="B458" s="451" t="s">
        <v>928</v>
      </c>
      <c r="C458" s="135" t="s">
        <v>961</v>
      </c>
      <c r="D458" s="144">
        <v>0</v>
      </c>
      <c r="E458" s="144">
        <v>0</v>
      </c>
      <c r="F458" s="144">
        <v>0</v>
      </c>
      <c r="G458" s="144">
        <v>0</v>
      </c>
      <c r="H458" s="285">
        <v>0</v>
      </c>
      <c r="I458" s="507">
        <f t="shared" si="19"/>
        <v>0</v>
      </c>
    </row>
    <row r="459" spans="1:10" ht="10.5" customHeight="1" x14ac:dyDescent="0.15">
      <c r="A459" s="442"/>
      <c r="B459" s="451" t="s">
        <v>962</v>
      </c>
      <c r="C459" s="135" t="s">
        <v>967</v>
      </c>
      <c r="D459" s="144">
        <v>0</v>
      </c>
      <c r="E459" s="144">
        <v>0</v>
      </c>
      <c r="F459" s="144">
        <v>0</v>
      </c>
      <c r="G459" s="144">
        <v>0</v>
      </c>
      <c r="H459" s="285">
        <v>0</v>
      </c>
      <c r="I459" s="507">
        <f t="shared" si="19"/>
        <v>0</v>
      </c>
    </row>
    <row r="460" spans="1:10" ht="10.5" customHeight="1" x14ac:dyDescent="0.15">
      <c r="A460" s="442"/>
      <c r="B460" s="451" t="s">
        <v>963</v>
      </c>
      <c r="C460" s="135" t="s">
        <v>1124</v>
      </c>
      <c r="D460" s="144">
        <v>0</v>
      </c>
      <c r="E460" s="144">
        <v>0</v>
      </c>
      <c r="F460" s="144">
        <v>0</v>
      </c>
      <c r="G460" s="144">
        <v>0</v>
      </c>
      <c r="H460" s="285">
        <v>0</v>
      </c>
      <c r="I460" s="507">
        <f t="shared" si="19"/>
        <v>0</v>
      </c>
    </row>
    <row r="461" spans="1:10" ht="10.5" customHeight="1" x14ac:dyDescent="0.15">
      <c r="A461" s="442"/>
      <c r="B461" s="451" t="s">
        <v>964</v>
      </c>
      <c r="C461" s="135" t="s">
        <v>1094</v>
      </c>
      <c r="D461" s="144">
        <v>0</v>
      </c>
      <c r="E461" s="144">
        <v>0</v>
      </c>
      <c r="F461" s="144">
        <v>0</v>
      </c>
      <c r="G461" s="144">
        <v>0</v>
      </c>
      <c r="H461" s="285">
        <v>0</v>
      </c>
      <c r="I461" s="507">
        <f t="shared" si="19"/>
        <v>0</v>
      </c>
    </row>
    <row r="462" spans="1:10" ht="10.5" customHeight="1" x14ac:dyDescent="0.15">
      <c r="A462" s="442"/>
      <c r="B462" s="451" t="s">
        <v>965</v>
      </c>
      <c r="C462" s="135" t="s">
        <v>1095</v>
      </c>
      <c r="D462" s="144">
        <v>0</v>
      </c>
      <c r="E462" s="144">
        <v>0</v>
      </c>
      <c r="F462" s="144">
        <v>0</v>
      </c>
      <c r="G462" s="144">
        <v>0</v>
      </c>
      <c r="H462" s="285">
        <v>0</v>
      </c>
      <c r="I462" s="507">
        <f t="shared" si="19"/>
        <v>0</v>
      </c>
    </row>
    <row r="463" spans="1:10" ht="10.5" customHeight="1" x14ac:dyDescent="0.15">
      <c r="A463" s="442"/>
      <c r="B463" s="451" t="s">
        <v>885</v>
      </c>
      <c r="C463" s="135" t="s">
        <v>1096</v>
      </c>
      <c r="D463" s="144">
        <v>0</v>
      </c>
      <c r="E463" s="144">
        <v>0</v>
      </c>
      <c r="F463" s="144">
        <v>0</v>
      </c>
      <c r="G463" s="144">
        <v>0</v>
      </c>
      <c r="H463" s="285">
        <v>0</v>
      </c>
      <c r="I463" s="507">
        <f t="shared" si="19"/>
        <v>0</v>
      </c>
    </row>
    <row r="464" spans="1:10" ht="10.5" customHeight="1" x14ac:dyDescent="0.15">
      <c r="A464" s="442"/>
      <c r="B464" s="451" t="s">
        <v>966</v>
      </c>
      <c r="C464" s="135" t="s">
        <v>1097</v>
      </c>
      <c r="D464" s="144">
        <v>0</v>
      </c>
      <c r="E464" s="144">
        <v>0</v>
      </c>
      <c r="F464" s="144">
        <v>0</v>
      </c>
      <c r="G464" s="144">
        <v>0</v>
      </c>
      <c r="H464" s="285">
        <v>0</v>
      </c>
      <c r="I464" s="507">
        <f t="shared" si="19"/>
        <v>0</v>
      </c>
    </row>
    <row r="465" spans="1:10" ht="10.5" customHeight="1" x14ac:dyDescent="0.15">
      <c r="A465" s="442"/>
      <c r="B465" s="451" t="s">
        <v>886</v>
      </c>
      <c r="C465" s="135" t="s">
        <v>1100</v>
      </c>
      <c r="D465" s="144">
        <v>0</v>
      </c>
      <c r="E465" s="144">
        <v>0</v>
      </c>
      <c r="F465" s="144">
        <v>0</v>
      </c>
      <c r="G465" s="144">
        <v>0</v>
      </c>
      <c r="H465" s="285">
        <v>0</v>
      </c>
      <c r="I465" s="507">
        <f t="shared" si="19"/>
        <v>0</v>
      </c>
    </row>
    <row r="466" spans="1:10" ht="10.5" customHeight="1" x14ac:dyDescent="0.15">
      <c r="A466" s="442"/>
      <c r="B466" s="451" t="s">
        <v>116</v>
      </c>
      <c r="C466" s="135" t="s">
        <v>1105</v>
      </c>
      <c r="D466" s="144">
        <v>0</v>
      </c>
      <c r="E466" s="144">
        <v>0</v>
      </c>
      <c r="F466" s="144">
        <v>0</v>
      </c>
      <c r="G466" s="144">
        <v>0</v>
      </c>
      <c r="H466" s="285">
        <v>0</v>
      </c>
      <c r="I466" s="507">
        <f t="shared" si="19"/>
        <v>0</v>
      </c>
    </row>
    <row r="467" spans="1:10" ht="10.5" customHeight="1" x14ac:dyDescent="0.15">
      <c r="A467" s="442"/>
      <c r="B467" s="451" t="s">
        <v>112</v>
      </c>
      <c r="C467" s="135" t="s">
        <v>1110</v>
      </c>
      <c r="D467" s="144">
        <v>0</v>
      </c>
      <c r="E467" s="144">
        <v>0</v>
      </c>
      <c r="F467" s="144">
        <v>0</v>
      </c>
      <c r="G467" s="144">
        <v>0</v>
      </c>
      <c r="H467" s="285">
        <v>0</v>
      </c>
      <c r="I467" s="507">
        <f t="shared" si="19"/>
        <v>0</v>
      </c>
    </row>
    <row r="468" spans="1:10" ht="10.5" customHeight="1" x14ac:dyDescent="0.15">
      <c r="A468" s="442"/>
      <c r="B468" s="451" t="s">
        <v>887</v>
      </c>
      <c r="C468" s="135" t="s">
        <v>1116</v>
      </c>
      <c r="D468" s="144">
        <v>0</v>
      </c>
      <c r="E468" s="144">
        <v>0</v>
      </c>
      <c r="F468" s="144">
        <v>0</v>
      </c>
      <c r="G468" s="144">
        <v>0</v>
      </c>
      <c r="H468" s="285">
        <v>0</v>
      </c>
      <c r="I468" s="507">
        <f t="shared" si="19"/>
        <v>0</v>
      </c>
    </row>
    <row r="469" spans="1:10" ht="10.5" customHeight="1" x14ac:dyDescent="0.15">
      <c r="A469" s="442"/>
      <c r="B469" s="451" t="s">
        <v>1112</v>
      </c>
      <c r="C469" s="135" t="s">
        <v>1117</v>
      </c>
      <c r="D469" s="144">
        <v>0</v>
      </c>
      <c r="E469" s="144">
        <v>0</v>
      </c>
      <c r="F469" s="144">
        <v>0</v>
      </c>
      <c r="G469" s="144">
        <v>0</v>
      </c>
      <c r="H469" s="285">
        <v>0</v>
      </c>
      <c r="I469" s="507">
        <f t="shared" si="19"/>
        <v>0</v>
      </c>
    </row>
    <row r="470" spans="1:10" ht="10.5" customHeight="1" x14ac:dyDescent="0.15">
      <c r="A470" s="442"/>
      <c r="B470" s="451" t="s">
        <v>1113</v>
      </c>
      <c r="C470" s="135" t="s">
        <v>1118</v>
      </c>
      <c r="D470" s="144">
        <v>0</v>
      </c>
      <c r="E470" s="144">
        <v>0</v>
      </c>
      <c r="F470" s="144">
        <v>0</v>
      </c>
      <c r="G470" s="144">
        <v>0</v>
      </c>
      <c r="H470" s="285">
        <v>0</v>
      </c>
      <c r="I470" s="507">
        <f t="shared" si="19"/>
        <v>0</v>
      </c>
    </row>
    <row r="471" spans="1:10" ht="10.5" customHeight="1" x14ac:dyDescent="0.15">
      <c r="A471" s="442"/>
      <c r="B471" s="451" t="s">
        <v>1114</v>
      </c>
      <c r="C471" s="135" t="s">
        <v>1119</v>
      </c>
      <c r="D471" s="144">
        <v>0</v>
      </c>
      <c r="E471" s="144">
        <v>0</v>
      </c>
      <c r="F471" s="144">
        <v>0</v>
      </c>
      <c r="G471" s="144">
        <v>0</v>
      </c>
      <c r="H471" s="285">
        <v>0</v>
      </c>
      <c r="I471" s="507">
        <f t="shared" si="19"/>
        <v>0</v>
      </c>
    </row>
    <row r="472" spans="1:10" ht="10.5" customHeight="1" x14ac:dyDescent="0.15">
      <c r="A472" s="442"/>
      <c r="B472" s="451" t="s">
        <v>1115</v>
      </c>
      <c r="C472" s="135" t="s">
        <v>1120</v>
      </c>
      <c r="D472" s="144">
        <v>0</v>
      </c>
      <c r="E472" s="144">
        <v>0</v>
      </c>
      <c r="F472" s="144">
        <v>0</v>
      </c>
      <c r="G472" s="144">
        <v>0</v>
      </c>
      <c r="H472" s="285">
        <v>0</v>
      </c>
      <c r="I472" s="507">
        <f t="shared" si="19"/>
        <v>0</v>
      </c>
    </row>
    <row r="473" spans="1:10" ht="10.5" customHeight="1" thickBot="1" x14ac:dyDescent="0.2">
      <c r="A473" s="442"/>
      <c r="B473" s="451" t="s">
        <v>114</v>
      </c>
      <c r="C473" s="135" t="s">
        <v>1121</v>
      </c>
      <c r="D473" s="141">
        <v>0</v>
      </c>
      <c r="E473" s="141">
        <v>0</v>
      </c>
      <c r="F473" s="141">
        <v>0</v>
      </c>
      <c r="G473" s="141">
        <v>0</v>
      </c>
      <c r="H473" s="285">
        <v>0</v>
      </c>
      <c r="I473" s="507">
        <f t="shared" si="19"/>
        <v>0</v>
      </c>
    </row>
    <row r="474" spans="1:10" ht="10.5" customHeight="1" thickTop="1" thickBot="1" x14ac:dyDescent="0.2">
      <c r="A474" s="442"/>
      <c r="B474" s="451"/>
      <c r="C474" s="135" t="s">
        <v>143</v>
      </c>
      <c r="D474" s="166">
        <f>SUM(D447:D473)</f>
        <v>0</v>
      </c>
      <c r="E474" s="166">
        <f>SUM(E447:E473)</f>
        <v>0</v>
      </c>
      <c r="F474" s="166">
        <f>SUM(F447:F473)</f>
        <v>0</v>
      </c>
      <c r="G474" s="166">
        <f>SUM(G447:G473)</f>
        <v>0</v>
      </c>
      <c r="H474" s="166">
        <f>SUM(H447:H473)</f>
        <v>0</v>
      </c>
      <c r="I474" s="166">
        <f>G474+H474</f>
        <v>0</v>
      </c>
    </row>
    <row r="475" spans="1:10" ht="10.5" customHeight="1" thickTop="1" x14ac:dyDescent="0.15">
      <c r="A475" s="442"/>
      <c r="B475" s="451"/>
      <c r="C475" s="135"/>
      <c r="D475" s="14"/>
      <c r="E475" s="14"/>
      <c r="F475" s="14"/>
      <c r="G475" s="14"/>
      <c r="H475" s="14"/>
      <c r="I475" s="491"/>
    </row>
    <row r="476" spans="1:10" ht="10.5" customHeight="1" x14ac:dyDescent="0.15">
      <c r="A476" s="442" t="s">
        <v>144</v>
      </c>
      <c r="C476" s="135"/>
      <c r="D476" s="14"/>
      <c r="E476" s="14"/>
      <c r="F476" s="14"/>
      <c r="G476" s="14"/>
      <c r="H476" s="195"/>
      <c r="I476" s="167"/>
    </row>
    <row r="477" spans="1:10" s="416" customFormat="1" hidden="1" x14ac:dyDescent="0.15">
      <c r="B477" s="453" t="s">
        <v>880</v>
      </c>
      <c r="C477" s="454" t="s">
        <v>1164</v>
      </c>
      <c r="D477" s="308">
        <v>0</v>
      </c>
      <c r="E477" s="308">
        <v>0</v>
      </c>
      <c r="F477" s="308">
        <v>0</v>
      </c>
      <c r="G477" s="458"/>
      <c r="H477" s="457">
        <v>0</v>
      </c>
      <c r="I477" s="494">
        <f>SUM(G477+H477)</f>
        <v>0</v>
      </c>
    </row>
    <row r="478" spans="1:10" s="416" customFormat="1" x14ac:dyDescent="0.15">
      <c r="B478" s="453" t="s">
        <v>880</v>
      </c>
      <c r="C478" s="454" t="s">
        <v>337</v>
      </c>
      <c r="D478" s="308">
        <v>0</v>
      </c>
      <c r="E478" s="308">
        <v>0</v>
      </c>
      <c r="F478" s="308">
        <v>0</v>
      </c>
      <c r="G478" s="308">
        <v>0</v>
      </c>
      <c r="H478" s="457">
        <v>0</v>
      </c>
      <c r="I478" s="494">
        <f>SUM(G478+H478)</f>
        <v>0</v>
      </c>
    </row>
    <row r="479" spans="1:10" s="416" customFormat="1" hidden="1" x14ac:dyDescent="0.15">
      <c r="A479" s="454"/>
      <c r="B479" s="453" t="s">
        <v>881</v>
      </c>
      <c r="C479" s="454" t="s">
        <v>382</v>
      </c>
      <c r="D479" s="308">
        <v>0</v>
      </c>
      <c r="E479" s="308">
        <v>0</v>
      </c>
      <c r="F479" s="308">
        <v>0</v>
      </c>
      <c r="G479" s="459"/>
      <c r="H479" s="457">
        <v>0</v>
      </c>
      <c r="I479" s="494">
        <f>SUM(G479+H479)</f>
        <v>0</v>
      </c>
    </row>
    <row r="480" spans="1:10" x14ac:dyDescent="0.15">
      <c r="A480" s="135"/>
      <c r="B480" s="451" t="s">
        <v>881</v>
      </c>
      <c r="C480" s="135" t="s">
        <v>338</v>
      </c>
      <c r="D480" s="144">
        <v>0</v>
      </c>
      <c r="E480" s="144">
        <v>0</v>
      </c>
      <c r="F480" s="144">
        <v>0</v>
      </c>
      <c r="G480" s="144">
        <v>0</v>
      </c>
      <c r="H480" s="147">
        <v>0</v>
      </c>
      <c r="I480" s="495">
        <f>SUM(G480+H480)</f>
        <v>0</v>
      </c>
      <c r="J480" s="416"/>
    </row>
    <row r="481" spans="1:9" ht="10.5" customHeight="1" x14ac:dyDescent="0.15">
      <c r="A481" s="442"/>
      <c r="B481" s="451" t="s">
        <v>882</v>
      </c>
      <c r="C481" s="135" t="s">
        <v>1058</v>
      </c>
      <c r="D481" s="144">
        <v>0</v>
      </c>
      <c r="E481" s="144">
        <v>0</v>
      </c>
      <c r="F481" s="144">
        <v>0</v>
      </c>
      <c r="G481" s="144">
        <v>0</v>
      </c>
      <c r="H481" s="285">
        <v>0</v>
      </c>
      <c r="I481" s="507">
        <f t="shared" ref="I481:I503" si="21">SUM(G481+H481)</f>
        <v>0</v>
      </c>
    </row>
    <row r="482" spans="1:9" ht="10.5" customHeight="1" x14ac:dyDescent="0.15">
      <c r="A482" s="442"/>
      <c r="B482" s="451" t="s">
        <v>883</v>
      </c>
      <c r="C482" s="135" t="s">
        <v>1059</v>
      </c>
      <c r="D482" s="144">
        <v>0</v>
      </c>
      <c r="E482" s="144">
        <v>0</v>
      </c>
      <c r="F482" s="144">
        <v>0</v>
      </c>
      <c r="G482" s="144">
        <v>0</v>
      </c>
      <c r="H482" s="285">
        <v>0</v>
      </c>
      <c r="I482" s="507">
        <f t="shared" si="21"/>
        <v>0</v>
      </c>
    </row>
    <row r="483" spans="1:9" ht="10.5" customHeight="1" x14ac:dyDescent="0.15">
      <c r="A483" s="442"/>
      <c r="B483" s="451" t="s">
        <v>1060</v>
      </c>
      <c r="C483" s="135" t="s">
        <v>1061</v>
      </c>
      <c r="D483" s="144">
        <v>0</v>
      </c>
      <c r="E483" s="144">
        <v>0</v>
      </c>
      <c r="F483" s="144">
        <v>0</v>
      </c>
      <c r="G483" s="144">
        <v>0</v>
      </c>
      <c r="H483" s="285">
        <v>0</v>
      </c>
      <c r="I483" s="507">
        <f t="shared" si="21"/>
        <v>0</v>
      </c>
    </row>
    <row r="484" spans="1:9" ht="10.5" customHeight="1" x14ac:dyDescent="0.15">
      <c r="A484" s="442"/>
      <c r="B484" s="451" t="s">
        <v>1062</v>
      </c>
      <c r="C484" s="135" t="s">
        <v>1063</v>
      </c>
      <c r="D484" s="144">
        <v>0</v>
      </c>
      <c r="E484" s="144">
        <v>0</v>
      </c>
      <c r="F484" s="144">
        <v>0</v>
      </c>
      <c r="G484" s="144">
        <v>0</v>
      </c>
      <c r="H484" s="285">
        <v>0</v>
      </c>
      <c r="I484" s="507">
        <f t="shared" si="21"/>
        <v>0</v>
      </c>
    </row>
    <row r="485" spans="1:9" ht="10.5" customHeight="1" x14ac:dyDescent="0.15">
      <c r="A485" s="442"/>
      <c r="B485" s="451" t="s">
        <v>884</v>
      </c>
      <c r="C485" s="135" t="s">
        <v>1064</v>
      </c>
      <c r="D485" s="144">
        <v>0</v>
      </c>
      <c r="E485" s="144">
        <v>0</v>
      </c>
      <c r="F485" s="144">
        <v>0</v>
      </c>
      <c r="G485" s="144">
        <v>0</v>
      </c>
      <c r="H485" s="285">
        <v>0</v>
      </c>
      <c r="I485" s="507">
        <f t="shared" si="21"/>
        <v>0</v>
      </c>
    </row>
    <row r="486" spans="1:9" ht="10.5" customHeight="1" x14ac:dyDescent="0.15">
      <c r="A486" s="442"/>
      <c r="B486" s="716" t="s">
        <v>155</v>
      </c>
      <c r="C486" s="703" t="s">
        <v>178</v>
      </c>
      <c r="D486" s="144">
        <v>0</v>
      </c>
      <c r="E486" s="144">
        <v>0</v>
      </c>
      <c r="F486" s="144">
        <v>0</v>
      </c>
      <c r="G486" s="144">
        <v>0</v>
      </c>
      <c r="H486" s="285">
        <v>0</v>
      </c>
      <c r="I486" s="507">
        <f t="shared" ref="I486" si="22">SUM(G486+H486)</f>
        <v>0</v>
      </c>
    </row>
    <row r="487" spans="1:9" ht="10.5" customHeight="1" x14ac:dyDescent="0.15">
      <c r="A487" s="442"/>
      <c r="B487" s="451" t="s">
        <v>927</v>
      </c>
      <c r="C487" s="135" t="s">
        <v>959</v>
      </c>
      <c r="D487" s="144">
        <v>0</v>
      </c>
      <c r="E487" s="144">
        <v>0</v>
      </c>
      <c r="F487" s="144">
        <v>0</v>
      </c>
      <c r="G487" s="144">
        <v>0</v>
      </c>
      <c r="H487" s="285">
        <v>0</v>
      </c>
      <c r="I487" s="507">
        <f t="shared" si="21"/>
        <v>0</v>
      </c>
    </row>
    <row r="488" spans="1:9" ht="10.5" customHeight="1" x14ac:dyDescent="0.15">
      <c r="A488" s="442"/>
      <c r="B488" s="451" t="s">
        <v>928</v>
      </c>
      <c r="C488" s="135" t="s">
        <v>961</v>
      </c>
      <c r="D488" s="144">
        <v>0</v>
      </c>
      <c r="E488" s="144">
        <v>0</v>
      </c>
      <c r="F488" s="144">
        <v>0</v>
      </c>
      <c r="G488" s="144">
        <v>0</v>
      </c>
      <c r="H488" s="285">
        <v>0</v>
      </c>
      <c r="I488" s="507">
        <f t="shared" si="21"/>
        <v>0</v>
      </c>
    </row>
    <row r="489" spans="1:9" ht="10.5" customHeight="1" x14ac:dyDescent="0.15">
      <c r="A489" s="442"/>
      <c r="B489" s="451" t="s">
        <v>962</v>
      </c>
      <c r="C489" s="135" t="s">
        <v>967</v>
      </c>
      <c r="D489" s="144">
        <v>0</v>
      </c>
      <c r="E489" s="144">
        <v>0</v>
      </c>
      <c r="F489" s="144">
        <v>0</v>
      </c>
      <c r="G489" s="144">
        <v>0</v>
      </c>
      <c r="H489" s="285">
        <v>0</v>
      </c>
      <c r="I489" s="507">
        <f t="shared" si="21"/>
        <v>0</v>
      </c>
    </row>
    <row r="490" spans="1:9" ht="10.5" customHeight="1" x14ac:dyDescent="0.15">
      <c r="A490" s="442"/>
      <c r="B490" s="451" t="s">
        <v>963</v>
      </c>
      <c r="C490" s="135" t="s">
        <v>1124</v>
      </c>
      <c r="D490" s="144">
        <v>0</v>
      </c>
      <c r="E490" s="144">
        <v>0</v>
      </c>
      <c r="F490" s="144">
        <v>0</v>
      </c>
      <c r="G490" s="144">
        <v>0</v>
      </c>
      <c r="H490" s="285">
        <v>0</v>
      </c>
      <c r="I490" s="507">
        <f t="shared" si="21"/>
        <v>0</v>
      </c>
    </row>
    <row r="491" spans="1:9" ht="10.5" customHeight="1" x14ac:dyDescent="0.15">
      <c r="A491" s="442"/>
      <c r="B491" s="451" t="s">
        <v>964</v>
      </c>
      <c r="C491" s="135" t="s">
        <v>1094</v>
      </c>
      <c r="D491" s="144">
        <v>0</v>
      </c>
      <c r="E491" s="144">
        <v>0</v>
      </c>
      <c r="F491" s="144">
        <v>0</v>
      </c>
      <c r="G491" s="144">
        <v>0</v>
      </c>
      <c r="H491" s="285">
        <v>0</v>
      </c>
      <c r="I491" s="507">
        <f t="shared" si="21"/>
        <v>0</v>
      </c>
    </row>
    <row r="492" spans="1:9" ht="10.5" customHeight="1" x14ac:dyDescent="0.15">
      <c r="A492" s="442"/>
      <c r="B492" s="451" t="s">
        <v>965</v>
      </c>
      <c r="C492" s="135" t="s">
        <v>1095</v>
      </c>
      <c r="D492" s="144">
        <v>0</v>
      </c>
      <c r="E492" s="144">
        <v>0</v>
      </c>
      <c r="F492" s="144">
        <v>0</v>
      </c>
      <c r="G492" s="144">
        <v>0</v>
      </c>
      <c r="H492" s="285">
        <v>0</v>
      </c>
      <c r="I492" s="507">
        <f t="shared" si="21"/>
        <v>0</v>
      </c>
    </row>
    <row r="493" spans="1:9" ht="10.5" customHeight="1" x14ac:dyDescent="0.15">
      <c r="A493" s="442"/>
      <c r="B493" s="451" t="s">
        <v>885</v>
      </c>
      <c r="C493" s="135" t="s">
        <v>1096</v>
      </c>
      <c r="D493" s="144">
        <v>0</v>
      </c>
      <c r="E493" s="144">
        <v>0</v>
      </c>
      <c r="F493" s="144">
        <v>0</v>
      </c>
      <c r="G493" s="144">
        <v>0</v>
      </c>
      <c r="H493" s="285">
        <v>0</v>
      </c>
      <c r="I493" s="507">
        <f t="shared" si="21"/>
        <v>0</v>
      </c>
    </row>
    <row r="494" spans="1:9" ht="10.5" customHeight="1" x14ac:dyDescent="0.15">
      <c r="A494" s="442"/>
      <c r="B494" s="451" t="s">
        <v>145</v>
      </c>
      <c r="C494" s="135" t="s">
        <v>756</v>
      </c>
      <c r="D494" s="144">
        <v>0</v>
      </c>
      <c r="E494" s="144">
        <v>0</v>
      </c>
      <c r="F494" s="144">
        <v>0</v>
      </c>
      <c r="G494" s="144">
        <v>0</v>
      </c>
      <c r="H494" s="285">
        <v>0</v>
      </c>
      <c r="I494" s="507">
        <f t="shared" si="21"/>
        <v>0</v>
      </c>
    </row>
    <row r="495" spans="1:9" ht="10.5" customHeight="1" x14ac:dyDescent="0.15">
      <c r="A495" s="442"/>
      <c r="B495" s="451" t="s">
        <v>966</v>
      </c>
      <c r="C495" s="135" t="s">
        <v>1097</v>
      </c>
      <c r="D495" s="144">
        <v>0</v>
      </c>
      <c r="E495" s="144">
        <v>0</v>
      </c>
      <c r="F495" s="144">
        <v>0</v>
      </c>
      <c r="G495" s="144">
        <v>0</v>
      </c>
      <c r="H495" s="285">
        <v>0</v>
      </c>
      <c r="I495" s="507">
        <f t="shared" si="21"/>
        <v>0</v>
      </c>
    </row>
    <row r="496" spans="1:9" ht="10.5" customHeight="1" x14ac:dyDescent="0.15">
      <c r="A496" s="442"/>
      <c r="B496" s="451" t="s">
        <v>886</v>
      </c>
      <c r="C496" s="135" t="s">
        <v>1100</v>
      </c>
      <c r="D496" s="144">
        <v>0</v>
      </c>
      <c r="E496" s="144">
        <v>0</v>
      </c>
      <c r="F496" s="144">
        <v>0</v>
      </c>
      <c r="G496" s="144">
        <v>0</v>
      </c>
      <c r="H496" s="285">
        <v>0</v>
      </c>
      <c r="I496" s="507">
        <f t="shared" si="21"/>
        <v>0</v>
      </c>
    </row>
    <row r="497" spans="1:10" ht="10.5" customHeight="1" x14ac:dyDescent="0.15">
      <c r="A497" s="442"/>
      <c r="B497" s="451" t="s">
        <v>116</v>
      </c>
      <c r="C497" s="135" t="s">
        <v>1105</v>
      </c>
      <c r="D497" s="144">
        <v>0</v>
      </c>
      <c r="E497" s="144">
        <v>0</v>
      </c>
      <c r="F497" s="144">
        <v>0</v>
      </c>
      <c r="G497" s="144">
        <v>0</v>
      </c>
      <c r="H497" s="285">
        <v>0</v>
      </c>
      <c r="I497" s="507">
        <f t="shared" si="21"/>
        <v>0</v>
      </c>
    </row>
    <row r="498" spans="1:10" ht="10.5" customHeight="1" x14ac:dyDescent="0.15">
      <c r="A498" s="442"/>
      <c r="B498" s="451" t="s">
        <v>112</v>
      </c>
      <c r="C498" s="135" t="s">
        <v>1110</v>
      </c>
      <c r="D498" s="144">
        <v>0</v>
      </c>
      <c r="E498" s="144">
        <v>0</v>
      </c>
      <c r="F498" s="144">
        <v>0</v>
      </c>
      <c r="G498" s="144">
        <v>0</v>
      </c>
      <c r="H498" s="285">
        <v>0</v>
      </c>
      <c r="I498" s="507">
        <f t="shared" si="21"/>
        <v>0</v>
      </c>
    </row>
    <row r="499" spans="1:10" ht="10.5" customHeight="1" x14ac:dyDescent="0.15">
      <c r="A499" s="442"/>
      <c r="B499" s="451" t="s">
        <v>887</v>
      </c>
      <c r="C499" s="135" t="s">
        <v>1116</v>
      </c>
      <c r="D499" s="144">
        <v>0</v>
      </c>
      <c r="E499" s="144">
        <v>0</v>
      </c>
      <c r="F499" s="144">
        <v>0</v>
      </c>
      <c r="G499" s="144">
        <v>0</v>
      </c>
      <c r="H499" s="285">
        <v>0</v>
      </c>
      <c r="I499" s="507">
        <f t="shared" si="21"/>
        <v>0</v>
      </c>
    </row>
    <row r="500" spans="1:10" ht="10.5" customHeight="1" x14ac:dyDescent="0.15">
      <c r="A500" s="442"/>
      <c r="B500" s="451" t="s">
        <v>1112</v>
      </c>
      <c r="C500" s="135" t="s">
        <v>1117</v>
      </c>
      <c r="D500" s="144">
        <v>0</v>
      </c>
      <c r="E500" s="144">
        <v>0</v>
      </c>
      <c r="F500" s="144">
        <v>0</v>
      </c>
      <c r="G500" s="144">
        <v>0</v>
      </c>
      <c r="H500" s="285">
        <v>0</v>
      </c>
      <c r="I500" s="507">
        <f t="shared" si="21"/>
        <v>0</v>
      </c>
    </row>
    <row r="501" spans="1:10" ht="10.5" customHeight="1" x14ac:dyDescent="0.15">
      <c r="A501" s="442"/>
      <c r="B501" s="451" t="s">
        <v>1113</v>
      </c>
      <c r="C501" s="135" t="s">
        <v>1118</v>
      </c>
      <c r="D501" s="144">
        <v>0</v>
      </c>
      <c r="E501" s="144">
        <v>0</v>
      </c>
      <c r="F501" s="144">
        <v>0</v>
      </c>
      <c r="G501" s="144">
        <v>0</v>
      </c>
      <c r="H501" s="285">
        <v>0</v>
      </c>
      <c r="I501" s="507">
        <f t="shared" si="21"/>
        <v>0</v>
      </c>
    </row>
    <row r="502" spans="1:10" ht="10.5" customHeight="1" x14ac:dyDescent="0.15">
      <c r="A502" s="442"/>
      <c r="B502" s="451" t="s">
        <v>1114</v>
      </c>
      <c r="C502" s="135" t="s">
        <v>1119</v>
      </c>
      <c r="D502" s="144">
        <v>0</v>
      </c>
      <c r="E502" s="144">
        <v>0</v>
      </c>
      <c r="F502" s="144">
        <v>0</v>
      </c>
      <c r="G502" s="144">
        <v>0</v>
      </c>
      <c r="H502" s="285">
        <v>0</v>
      </c>
      <c r="I502" s="507">
        <f t="shared" si="21"/>
        <v>0</v>
      </c>
    </row>
    <row r="503" spans="1:10" ht="10.5" customHeight="1" x14ac:dyDescent="0.15">
      <c r="A503" s="442"/>
      <c r="B503" s="451" t="s">
        <v>1115</v>
      </c>
      <c r="C503" s="135" t="s">
        <v>1120</v>
      </c>
      <c r="D503" s="144">
        <v>0</v>
      </c>
      <c r="E503" s="144">
        <v>0</v>
      </c>
      <c r="F503" s="144">
        <v>0</v>
      </c>
      <c r="G503" s="144">
        <v>0</v>
      </c>
      <c r="H503" s="285">
        <v>0</v>
      </c>
      <c r="I503" s="507">
        <f t="shared" si="21"/>
        <v>0</v>
      </c>
    </row>
    <row r="504" spans="1:10" ht="10.5" customHeight="1" thickBot="1" x14ac:dyDescent="0.2">
      <c r="A504" s="442"/>
      <c r="B504" s="451" t="s">
        <v>114</v>
      </c>
      <c r="C504" s="135" t="s">
        <v>1121</v>
      </c>
      <c r="D504" s="141">
        <v>0</v>
      </c>
      <c r="E504" s="141">
        <v>0</v>
      </c>
      <c r="F504" s="141">
        <v>0</v>
      </c>
      <c r="G504" s="141">
        <v>0</v>
      </c>
      <c r="H504" s="285">
        <v>0</v>
      </c>
      <c r="I504" s="507">
        <f>SUM(G504+H504)</f>
        <v>0</v>
      </c>
    </row>
    <row r="505" spans="1:10" ht="10.5" customHeight="1" thickTop="1" thickBot="1" x14ac:dyDescent="0.2">
      <c r="A505" s="442"/>
      <c r="B505" s="451"/>
      <c r="C505" s="135" t="s">
        <v>146</v>
      </c>
      <c r="D505" s="166">
        <f>SUM(D477:D504)</f>
        <v>0</v>
      </c>
      <c r="E505" s="166">
        <f>SUM(E477:E504)</f>
        <v>0</v>
      </c>
      <c r="F505" s="166">
        <f>SUM(F477:F504)</f>
        <v>0</v>
      </c>
      <c r="G505" s="166">
        <f>SUM(G477:G504)</f>
        <v>0</v>
      </c>
      <c r="H505" s="166">
        <f>SUM(H477:H504)</f>
        <v>0</v>
      </c>
      <c r="I505" s="166">
        <f>G505+H505</f>
        <v>0</v>
      </c>
    </row>
    <row r="506" spans="1:10" ht="10.5" customHeight="1" thickTop="1" x14ac:dyDescent="0.15">
      <c r="A506" s="442"/>
      <c r="B506" s="451"/>
      <c r="C506" s="135"/>
      <c r="D506" s="14"/>
      <c r="E506" s="14"/>
      <c r="F506" s="14"/>
      <c r="G506" s="14"/>
      <c r="H506" s="195"/>
      <c r="I506" s="167"/>
    </row>
    <row r="507" spans="1:10" ht="10.5" customHeight="1" x14ac:dyDescent="0.15">
      <c r="A507" s="442" t="s">
        <v>1201</v>
      </c>
      <c r="C507" s="135"/>
      <c r="D507" s="14"/>
      <c r="E507" s="14"/>
      <c r="F507" s="14"/>
      <c r="G507" s="14"/>
      <c r="H507" s="195"/>
      <c r="I507" s="167"/>
    </row>
    <row r="508" spans="1:10" s="416" customFormat="1" hidden="1" x14ac:dyDescent="0.15">
      <c r="B508" s="453" t="s">
        <v>880</v>
      </c>
      <c r="C508" s="454" t="s">
        <v>1164</v>
      </c>
      <c r="D508" s="308">
        <v>0</v>
      </c>
      <c r="E508" s="308">
        <v>0</v>
      </c>
      <c r="F508" s="308">
        <v>0</v>
      </c>
      <c r="G508" s="458"/>
      <c r="H508" s="457">
        <v>0</v>
      </c>
      <c r="I508" s="494">
        <f>SUM(G508+H508)</f>
        <v>0</v>
      </c>
    </row>
    <row r="509" spans="1:10" s="416" customFormat="1" x14ac:dyDescent="0.15">
      <c r="B509" s="453" t="s">
        <v>880</v>
      </c>
      <c r="C509" s="454" t="s">
        <v>337</v>
      </c>
      <c r="D509" s="308">
        <v>0</v>
      </c>
      <c r="E509" s="308">
        <v>0</v>
      </c>
      <c r="F509" s="308">
        <v>0</v>
      </c>
      <c r="G509" s="308">
        <v>0</v>
      </c>
      <c r="H509" s="457">
        <v>0</v>
      </c>
      <c r="I509" s="494">
        <f>SUM(G509+H509)</f>
        <v>0</v>
      </c>
    </row>
    <row r="510" spans="1:10" s="416" customFormat="1" hidden="1" x14ac:dyDescent="0.15">
      <c r="A510" s="454"/>
      <c r="B510" s="453" t="s">
        <v>881</v>
      </c>
      <c r="C510" s="454" t="s">
        <v>382</v>
      </c>
      <c r="D510" s="308">
        <v>0</v>
      </c>
      <c r="E510" s="308">
        <v>0</v>
      </c>
      <c r="F510" s="308">
        <v>0</v>
      </c>
      <c r="G510" s="459"/>
      <c r="H510" s="457">
        <v>0</v>
      </c>
      <c r="I510" s="494">
        <f>SUM(G510+H510)</f>
        <v>0</v>
      </c>
    </row>
    <row r="511" spans="1:10" x14ac:dyDescent="0.15">
      <c r="A511" s="135"/>
      <c r="B511" s="451" t="s">
        <v>881</v>
      </c>
      <c r="C511" s="135" t="s">
        <v>338</v>
      </c>
      <c r="D511" s="144">
        <v>0</v>
      </c>
      <c r="E511" s="144">
        <v>0</v>
      </c>
      <c r="F511" s="144">
        <v>0</v>
      </c>
      <c r="G511" s="144">
        <v>0</v>
      </c>
      <c r="H511" s="147">
        <v>0</v>
      </c>
      <c r="I511" s="495">
        <f>SUM(G511+H511)</f>
        <v>0</v>
      </c>
      <c r="J511" s="416"/>
    </row>
    <row r="512" spans="1:10" ht="10.5" customHeight="1" x14ac:dyDescent="0.15">
      <c r="A512" s="442"/>
      <c r="B512" s="451" t="s">
        <v>882</v>
      </c>
      <c r="C512" s="135" t="s">
        <v>1058</v>
      </c>
      <c r="D512" s="144">
        <v>0</v>
      </c>
      <c r="E512" s="144">
        <v>0</v>
      </c>
      <c r="F512" s="144">
        <v>0</v>
      </c>
      <c r="G512" s="144">
        <v>0</v>
      </c>
      <c r="H512" s="285">
        <v>0</v>
      </c>
      <c r="I512" s="507">
        <f t="shared" ref="I512:I527" si="23">SUM(G512+H512)</f>
        <v>0</v>
      </c>
    </row>
    <row r="513" spans="1:9" ht="10.5" customHeight="1" x14ac:dyDescent="0.15">
      <c r="A513" s="442"/>
      <c r="B513" s="451" t="s">
        <v>883</v>
      </c>
      <c r="C513" s="135" t="s">
        <v>1059</v>
      </c>
      <c r="D513" s="144">
        <v>0</v>
      </c>
      <c r="E513" s="144">
        <v>0</v>
      </c>
      <c r="F513" s="144">
        <v>0</v>
      </c>
      <c r="G513" s="144">
        <v>0</v>
      </c>
      <c r="H513" s="285">
        <v>0</v>
      </c>
      <c r="I513" s="507">
        <f t="shared" si="23"/>
        <v>0</v>
      </c>
    </row>
    <row r="514" spans="1:9" ht="10.5" customHeight="1" x14ac:dyDescent="0.15">
      <c r="A514" s="442"/>
      <c r="B514" s="451" t="s">
        <v>1060</v>
      </c>
      <c r="C514" s="135" t="s">
        <v>1061</v>
      </c>
      <c r="D514" s="144">
        <v>0</v>
      </c>
      <c r="E514" s="144">
        <v>0</v>
      </c>
      <c r="F514" s="144">
        <v>0</v>
      </c>
      <c r="G514" s="144">
        <v>0</v>
      </c>
      <c r="H514" s="285">
        <v>0</v>
      </c>
      <c r="I514" s="507">
        <f t="shared" si="23"/>
        <v>0</v>
      </c>
    </row>
    <row r="515" spans="1:9" ht="10.5" customHeight="1" x14ac:dyDescent="0.15">
      <c r="A515" s="442"/>
      <c r="B515" s="451" t="s">
        <v>1062</v>
      </c>
      <c r="C515" s="135" t="s">
        <v>1063</v>
      </c>
      <c r="D515" s="144">
        <v>0</v>
      </c>
      <c r="E515" s="144">
        <v>0</v>
      </c>
      <c r="F515" s="144">
        <v>0</v>
      </c>
      <c r="G515" s="144">
        <v>0</v>
      </c>
      <c r="H515" s="285">
        <v>0</v>
      </c>
      <c r="I515" s="507">
        <f t="shared" si="23"/>
        <v>0</v>
      </c>
    </row>
    <row r="516" spans="1:9" ht="10.5" customHeight="1" x14ac:dyDescent="0.15">
      <c r="A516" s="442"/>
      <c r="B516" s="451" t="s">
        <v>884</v>
      </c>
      <c r="C516" s="135" t="s">
        <v>1064</v>
      </c>
      <c r="D516" s="144">
        <v>0</v>
      </c>
      <c r="E516" s="144">
        <v>0</v>
      </c>
      <c r="F516" s="144">
        <v>0</v>
      </c>
      <c r="G516" s="144">
        <v>0</v>
      </c>
      <c r="H516" s="285">
        <v>0</v>
      </c>
      <c r="I516" s="507">
        <f t="shared" si="23"/>
        <v>0</v>
      </c>
    </row>
    <row r="517" spans="1:9" ht="10.5" customHeight="1" x14ac:dyDescent="0.15">
      <c r="A517" s="442"/>
      <c r="B517" s="716" t="s">
        <v>155</v>
      </c>
      <c r="C517" s="703" t="s">
        <v>178</v>
      </c>
      <c r="D517" s="144">
        <v>0</v>
      </c>
      <c r="E517" s="144">
        <v>0</v>
      </c>
      <c r="F517" s="144">
        <v>0</v>
      </c>
      <c r="G517" s="144">
        <v>0</v>
      </c>
      <c r="H517" s="285">
        <v>0</v>
      </c>
      <c r="I517" s="507">
        <f t="shared" ref="I517" si="24">SUM(G517+H517)</f>
        <v>0</v>
      </c>
    </row>
    <row r="518" spans="1:9" ht="10.5" customHeight="1" x14ac:dyDescent="0.15">
      <c r="A518" s="442"/>
      <c r="B518" s="451" t="s">
        <v>928</v>
      </c>
      <c r="C518" s="135" t="s">
        <v>961</v>
      </c>
      <c r="D518" s="144">
        <v>0</v>
      </c>
      <c r="E518" s="144">
        <v>0</v>
      </c>
      <c r="F518" s="144">
        <v>0</v>
      </c>
      <c r="G518" s="144">
        <v>0</v>
      </c>
      <c r="H518" s="285">
        <v>0</v>
      </c>
      <c r="I518" s="507">
        <f t="shared" si="23"/>
        <v>0</v>
      </c>
    </row>
    <row r="519" spans="1:9" ht="10.5" customHeight="1" x14ac:dyDescent="0.15">
      <c r="A519" s="442"/>
      <c r="B519" s="451" t="s">
        <v>885</v>
      </c>
      <c r="C519" s="135" t="s">
        <v>1096</v>
      </c>
      <c r="D519" s="144">
        <v>0</v>
      </c>
      <c r="E519" s="144">
        <v>0</v>
      </c>
      <c r="F519" s="144">
        <v>0</v>
      </c>
      <c r="G519" s="144">
        <v>0</v>
      </c>
      <c r="H519" s="285">
        <v>0</v>
      </c>
      <c r="I519" s="507">
        <f t="shared" si="23"/>
        <v>0</v>
      </c>
    </row>
    <row r="520" spans="1:9" ht="10.5" customHeight="1" x14ac:dyDescent="0.15">
      <c r="A520" s="442"/>
      <c r="B520" s="451" t="s">
        <v>966</v>
      </c>
      <c r="C520" s="135" t="s">
        <v>1097</v>
      </c>
      <c r="D520" s="144">
        <v>0</v>
      </c>
      <c r="E520" s="144">
        <v>0</v>
      </c>
      <c r="F520" s="144">
        <v>0</v>
      </c>
      <c r="G520" s="144">
        <v>0</v>
      </c>
      <c r="H520" s="285">
        <v>0</v>
      </c>
      <c r="I520" s="507">
        <f t="shared" si="23"/>
        <v>0</v>
      </c>
    </row>
    <row r="521" spans="1:9" ht="10.5" customHeight="1" x14ac:dyDescent="0.15">
      <c r="A521" s="442"/>
      <c r="B521" s="451" t="s">
        <v>886</v>
      </c>
      <c r="C521" s="135" t="s">
        <v>1100</v>
      </c>
      <c r="D521" s="144">
        <v>0</v>
      </c>
      <c r="E521" s="144">
        <v>0</v>
      </c>
      <c r="F521" s="144">
        <v>0</v>
      </c>
      <c r="G521" s="144">
        <v>0</v>
      </c>
      <c r="H521" s="285">
        <v>0</v>
      </c>
      <c r="I521" s="507">
        <f t="shared" si="23"/>
        <v>0</v>
      </c>
    </row>
    <row r="522" spans="1:9" ht="10.5" customHeight="1" x14ac:dyDescent="0.15">
      <c r="A522" s="442"/>
      <c r="B522" s="451" t="s">
        <v>116</v>
      </c>
      <c r="C522" s="135" t="s">
        <v>1105</v>
      </c>
      <c r="D522" s="144">
        <v>0</v>
      </c>
      <c r="E522" s="144">
        <v>0</v>
      </c>
      <c r="F522" s="144">
        <v>0</v>
      </c>
      <c r="G522" s="144">
        <v>0</v>
      </c>
      <c r="H522" s="285">
        <v>0</v>
      </c>
      <c r="I522" s="507">
        <f t="shared" si="23"/>
        <v>0</v>
      </c>
    </row>
    <row r="523" spans="1:9" ht="10.5" customHeight="1" x14ac:dyDescent="0.15">
      <c r="A523" s="442"/>
      <c r="B523" s="451" t="s">
        <v>112</v>
      </c>
      <c r="C523" s="135" t="s">
        <v>1110</v>
      </c>
      <c r="D523" s="144">
        <v>0</v>
      </c>
      <c r="E523" s="144">
        <v>0</v>
      </c>
      <c r="F523" s="144">
        <v>0</v>
      </c>
      <c r="G523" s="144">
        <v>0</v>
      </c>
      <c r="H523" s="285">
        <v>0</v>
      </c>
      <c r="I523" s="507">
        <f t="shared" si="23"/>
        <v>0</v>
      </c>
    </row>
    <row r="524" spans="1:9" ht="10.5" customHeight="1" x14ac:dyDescent="0.15">
      <c r="A524" s="442"/>
      <c r="B524" s="451" t="s">
        <v>887</v>
      </c>
      <c r="C524" s="135" t="s">
        <v>1116</v>
      </c>
      <c r="D524" s="144">
        <v>0</v>
      </c>
      <c r="E524" s="144">
        <v>0</v>
      </c>
      <c r="F524" s="144">
        <v>0</v>
      </c>
      <c r="G524" s="144">
        <v>0</v>
      </c>
      <c r="H524" s="285">
        <v>0</v>
      </c>
      <c r="I524" s="507">
        <f t="shared" si="23"/>
        <v>0</v>
      </c>
    </row>
    <row r="525" spans="1:9" ht="10.5" customHeight="1" x14ac:dyDescent="0.15">
      <c r="A525" s="442"/>
      <c r="B525" s="451" t="s">
        <v>1112</v>
      </c>
      <c r="C525" s="135" t="s">
        <v>1117</v>
      </c>
      <c r="D525" s="144">
        <v>0</v>
      </c>
      <c r="E525" s="144">
        <v>0</v>
      </c>
      <c r="F525" s="144">
        <v>0</v>
      </c>
      <c r="G525" s="144">
        <v>0</v>
      </c>
      <c r="H525" s="285">
        <v>0</v>
      </c>
      <c r="I525" s="507">
        <f t="shared" si="23"/>
        <v>0</v>
      </c>
    </row>
    <row r="526" spans="1:9" ht="10.5" customHeight="1" x14ac:dyDescent="0.15">
      <c r="A526" s="442"/>
      <c r="B526" s="451" t="s">
        <v>1113</v>
      </c>
      <c r="C526" s="135" t="s">
        <v>1118</v>
      </c>
      <c r="D526" s="144">
        <v>0</v>
      </c>
      <c r="E526" s="144">
        <v>0</v>
      </c>
      <c r="F526" s="144">
        <v>0</v>
      </c>
      <c r="G526" s="144">
        <v>0</v>
      </c>
      <c r="H526" s="285">
        <v>0</v>
      </c>
      <c r="I526" s="507">
        <f t="shared" si="23"/>
        <v>0</v>
      </c>
    </row>
    <row r="527" spans="1:9" ht="10.5" customHeight="1" thickBot="1" x14ac:dyDescent="0.2">
      <c r="A527" s="442"/>
      <c r="B527" s="451" t="s">
        <v>1114</v>
      </c>
      <c r="C527" s="135" t="s">
        <v>1119</v>
      </c>
      <c r="D527" s="144">
        <v>0</v>
      </c>
      <c r="E527" s="144">
        <v>0</v>
      </c>
      <c r="F527" s="144">
        <v>0</v>
      </c>
      <c r="G527" s="144">
        <v>0</v>
      </c>
      <c r="H527" s="285">
        <v>0</v>
      </c>
      <c r="I527" s="507">
        <f t="shared" si="23"/>
        <v>0</v>
      </c>
    </row>
    <row r="528" spans="1:9" ht="10.5" customHeight="1" thickTop="1" thickBot="1" x14ac:dyDescent="0.2">
      <c r="A528" s="442"/>
      <c r="B528" s="451"/>
      <c r="C528" s="135" t="s">
        <v>1237</v>
      </c>
      <c r="D528" s="166">
        <f>SUM(D508:D527)</f>
        <v>0</v>
      </c>
      <c r="E528" s="166">
        <f>SUM(E508:E527)</f>
        <v>0</v>
      </c>
      <c r="F528" s="166">
        <f>SUM(F508:F527)</f>
        <v>0</v>
      </c>
      <c r="G528" s="166">
        <f>SUM(G508:G527)</f>
        <v>0</v>
      </c>
      <c r="H528" s="166">
        <f>SUM(H508:H527)</f>
        <v>0</v>
      </c>
      <c r="I528" s="166">
        <f>G528+H528</f>
        <v>0</v>
      </c>
    </row>
    <row r="529" spans="1:9" ht="10.5" customHeight="1" thickTop="1" x14ac:dyDescent="0.15">
      <c r="A529" s="442"/>
      <c r="B529" s="451"/>
      <c r="C529" s="135"/>
      <c r="D529" s="14"/>
      <c r="E529" s="14"/>
      <c r="F529" s="14"/>
      <c r="G529" s="14"/>
      <c r="H529" s="195"/>
      <c r="I529" s="167"/>
    </row>
    <row r="530" spans="1:9" ht="10.5" customHeight="1" x14ac:dyDescent="0.15">
      <c r="A530" s="442" t="s">
        <v>1200</v>
      </c>
      <c r="C530" s="135"/>
      <c r="D530" s="14"/>
      <c r="E530" s="14"/>
      <c r="F530" s="14"/>
      <c r="G530" s="14"/>
      <c r="H530" s="195"/>
      <c r="I530" s="167"/>
    </row>
    <row r="531" spans="1:9" s="416" customFormat="1" hidden="1" x14ac:dyDescent="0.15">
      <c r="B531" s="453" t="s">
        <v>880</v>
      </c>
      <c r="C531" s="454" t="s">
        <v>1164</v>
      </c>
      <c r="D531" s="308">
        <v>0</v>
      </c>
      <c r="E531" s="308">
        <v>0</v>
      </c>
      <c r="F531" s="308">
        <v>0</v>
      </c>
      <c r="G531" s="458"/>
      <c r="H531" s="457">
        <v>0</v>
      </c>
      <c r="I531" s="494">
        <f>SUM(G531+H531)</f>
        <v>0</v>
      </c>
    </row>
    <row r="532" spans="1:9" s="416" customFormat="1" x14ac:dyDescent="0.15">
      <c r="B532" s="453" t="s">
        <v>880</v>
      </c>
      <c r="C532" s="454" t="s">
        <v>337</v>
      </c>
      <c r="D532" s="308">
        <v>0</v>
      </c>
      <c r="E532" s="308">
        <v>0</v>
      </c>
      <c r="F532" s="308">
        <v>0</v>
      </c>
      <c r="G532" s="308">
        <v>0</v>
      </c>
      <c r="H532" s="457">
        <v>0</v>
      </c>
      <c r="I532" s="494">
        <f>SUM(G532+H532)</f>
        <v>0</v>
      </c>
    </row>
    <row r="533" spans="1:9" s="416" customFormat="1" hidden="1" x14ac:dyDescent="0.15">
      <c r="A533" s="454"/>
      <c r="B533" s="453" t="s">
        <v>881</v>
      </c>
      <c r="C533" s="454" t="s">
        <v>382</v>
      </c>
      <c r="D533" s="308">
        <v>0</v>
      </c>
      <c r="E533" s="308">
        <v>0</v>
      </c>
      <c r="F533" s="308">
        <v>0</v>
      </c>
      <c r="G533" s="459"/>
      <c r="H533" s="457">
        <v>0</v>
      </c>
      <c r="I533" s="494">
        <f>SUM(G533+H533)</f>
        <v>0</v>
      </c>
    </row>
    <row r="534" spans="1:9" s="416" customFormat="1" x14ac:dyDescent="0.15">
      <c r="A534" s="454"/>
      <c r="B534" s="453" t="s">
        <v>881</v>
      </c>
      <c r="C534" s="454" t="s">
        <v>338</v>
      </c>
      <c r="D534" s="308">
        <v>0</v>
      </c>
      <c r="E534" s="308">
        <v>0</v>
      </c>
      <c r="F534" s="308">
        <v>0</v>
      </c>
      <c r="G534" s="308">
        <v>0</v>
      </c>
      <c r="H534" s="457">
        <v>0</v>
      </c>
      <c r="I534" s="494">
        <f>SUM(G534+H534)</f>
        <v>0</v>
      </c>
    </row>
    <row r="535" spans="1:9" ht="10.5" customHeight="1" x14ac:dyDescent="0.15">
      <c r="A535" s="442"/>
      <c r="B535" s="451" t="s">
        <v>882</v>
      </c>
      <c r="C535" s="135" t="s">
        <v>1058</v>
      </c>
      <c r="D535" s="144">
        <v>0</v>
      </c>
      <c r="E535" s="144">
        <v>0</v>
      </c>
      <c r="F535" s="144">
        <v>0</v>
      </c>
      <c r="G535" s="144">
        <v>0</v>
      </c>
      <c r="H535" s="285">
        <v>0</v>
      </c>
      <c r="I535" s="507">
        <f t="shared" ref="I535:I550" si="25">SUM(G535+H535)</f>
        <v>0</v>
      </c>
    </row>
    <row r="536" spans="1:9" ht="10.5" customHeight="1" x14ac:dyDescent="0.15">
      <c r="A536" s="442"/>
      <c r="B536" s="451" t="s">
        <v>883</v>
      </c>
      <c r="C536" s="135" t="s">
        <v>1059</v>
      </c>
      <c r="D536" s="144">
        <v>0</v>
      </c>
      <c r="E536" s="144">
        <v>0</v>
      </c>
      <c r="F536" s="144">
        <v>0</v>
      </c>
      <c r="G536" s="144">
        <v>0</v>
      </c>
      <c r="H536" s="285">
        <v>0</v>
      </c>
      <c r="I536" s="507">
        <f t="shared" si="25"/>
        <v>0</v>
      </c>
    </row>
    <row r="537" spans="1:9" ht="10.5" customHeight="1" x14ac:dyDescent="0.15">
      <c r="A537" s="442"/>
      <c r="B537" s="451" t="s">
        <v>1060</v>
      </c>
      <c r="C537" s="135" t="s">
        <v>1061</v>
      </c>
      <c r="D537" s="144">
        <v>0</v>
      </c>
      <c r="E537" s="144">
        <v>0</v>
      </c>
      <c r="F537" s="144">
        <v>0</v>
      </c>
      <c r="G537" s="144">
        <v>0</v>
      </c>
      <c r="H537" s="285">
        <v>0</v>
      </c>
      <c r="I537" s="507">
        <f t="shared" si="25"/>
        <v>0</v>
      </c>
    </row>
    <row r="538" spans="1:9" ht="10.5" customHeight="1" x14ac:dyDescent="0.15">
      <c r="A538" s="442"/>
      <c r="B538" s="451" t="s">
        <v>1062</v>
      </c>
      <c r="C538" s="135" t="s">
        <v>1063</v>
      </c>
      <c r="D538" s="144">
        <v>0</v>
      </c>
      <c r="E538" s="144">
        <v>0</v>
      </c>
      <c r="F538" s="144">
        <v>0</v>
      </c>
      <c r="G538" s="144">
        <v>0</v>
      </c>
      <c r="H538" s="285">
        <v>0</v>
      </c>
      <c r="I538" s="507">
        <f t="shared" si="25"/>
        <v>0</v>
      </c>
    </row>
    <row r="539" spans="1:9" ht="10.5" customHeight="1" x14ac:dyDescent="0.15">
      <c r="A539" s="442"/>
      <c r="B539" s="451" t="s">
        <v>884</v>
      </c>
      <c r="C539" s="135" t="s">
        <v>1064</v>
      </c>
      <c r="D539" s="144">
        <v>0</v>
      </c>
      <c r="E539" s="144">
        <v>0</v>
      </c>
      <c r="F539" s="144">
        <v>0</v>
      </c>
      <c r="G539" s="144">
        <v>0</v>
      </c>
      <c r="H539" s="285">
        <v>0</v>
      </c>
      <c r="I539" s="507">
        <f t="shared" si="25"/>
        <v>0</v>
      </c>
    </row>
    <row r="540" spans="1:9" ht="10.5" customHeight="1" x14ac:dyDescent="0.15">
      <c r="A540" s="442"/>
      <c r="B540" s="716" t="s">
        <v>155</v>
      </c>
      <c r="C540" s="703" t="s">
        <v>178</v>
      </c>
      <c r="D540" s="144">
        <v>0</v>
      </c>
      <c r="E540" s="144">
        <v>0</v>
      </c>
      <c r="F540" s="144">
        <v>0</v>
      </c>
      <c r="G540" s="144">
        <v>0</v>
      </c>
      <c r="H540" s="285">
        <v>0</v>
      </c>
      <c r="I540" s="507">
        <f t="shared" ref="I540" si="26">SUM(G540+H540)</f>
        <v>0</v>
      </c>
    </row>
    <row r="541" spans="1:9" ht="10.5" customHeight="1" x14ac:dyDescent="0.15">
      <c r="A541" s="442"/>
      <c r="B541" s="451" t="s">
        <v>928</v>
      </c>
      <c r="C541" s="135" t="s">
        <v>961</v>
      </c>
      <c r="D541" s="144">
        <v>0</v>
      </c>
      <c r="E541" s="144">
        <v>0</v>
      </c>
      <c r="F541" s="144">
        <v>0</v>
      </c>
      <c r="G541" s="144">
        <v>0</v>
      </c>
      <c r="H541" s="285">
        <v>0</v>
      </c>
      <c r="I541" s="507">
        <f t="shared" si="25"/>
        <v>0</v>
      </c>
    </row>
    <row r="542" spans="1:9" ht="10.5" customHeight="1" x14ac:dyDescent="0.15">
      <c r="A542" s="442"/>
      <c r="B542" s="451" t="s">
        <v>885</v>
      </c>
      <c r="C542" s="135" t="s">
        <v>1096</v>
      </c>
      <c r="D542" s="144">
        <v>0</v>
      </c>
      <c r="E542" s="144">
        <v>0</v>
      </c>
      <c r="F542" s="144">
        <v>0</v>
      </c>
      <c r="G542" s="144">
        <v>0</v>
      </c>
      <c r="H542" s="285">
        <v>0</v>
      </c>
      <c r="I542" s="507">
        <f t="shared" si="25"/>
        <v>0</v>
      </c>
    </row>
    <row r="543" spans="1:9" ht="10.5" customHeight="1" x14ac:dyDescent="0.15">
      <c r="A543" s="442"/>
      <c r="B543" s="451" t="s">
        <v>966</v>
      </c>
      <c r="C543" s="135" t="s">
        <v>1097</v>
      </c>
      <c r="D543" s="144">
        <v>0</v>
      </c>
      <c r="E543" s="144">
        <v>0</v>
      </c>
      <c r="F543" s="144">
        <v>0</v>
      </c>
      <c r="G543" s="144">
        <v>0</v>
      </c>
      <c r="H543" s="285">
        <v>0</v>
      </c>
      <c r="I543" s="507">
        <f t="shared" si="25"/>
        <v>0</v>
      </c>
    </row>
    <row r="544" spans="1:9" ht="10.5" customHeight="1" x14ac:dyDescent="0.15">
      <c r="A544" s="442"/>
      <c r="B544" s="451" t="s">
        <v>886</v>
      </c>
      <c r="C544" s="135" t="s">
        <v>1100</v>
      </c>
      <c r="D544" s="144">
        <v>0</v>
      </c>
      <c r="E544" s="144">
        <v>0</v>
      </c>
      <c r="F544" s="144">
        <v>0</v>
      </c>
      <c r="G544" s="144">
        <v>0</v>
      </c>
      <c r="H544" s="285">
        <v>0</v>
      </c>
      <c r="I544" s="507">
        <f t="shared" si="25"/>
        <v>0</v>
      </c>
    </row>
    <row r="545" spans="1:10" ht="10.5" customHeight="1" x14ac:dyDescent="0.15">
      <c r="A545" s="442"/>
      <c r="B545" s="451" t="s">
        <v>116</v>
      </c>
      <c r="C545" s="135" t="s">
        <v>1105</v>
      </c>
      <c r="D545" s="144">
        <v>0</v>
      </c>
      <c r="E545" s="144">
        <v>0</v>
      </c>
      <c r="F545" s="144">
        <v>0</v>
      </c>
      <c r="G545" s="144">
        <v>0</v>
      </c>
      <c r="H545" s="285">
        <v>0</v>
      </c>
      <c r="I545" s="507">
        <f t="shared" si="25"/>
        <v>0</v>
      </c>
    </row>
    <row r="546" spans="1:10" ht="10.5" customHeight="1" x14ac:dyDescent="0.15">
      <c r="A546" s="442"/>
      <c r="B546" s="451" t="s">
        <v>112</v>
      </c>
      <c r="C546" s="135" t="s">
        <v>1110</v>
      </c>
      <c r="D546" s="144">
        <v>0</v>
      </c>
      <c r="E546" s="144">
        <v>0</v>
      </c>
      <c r="F546" s="144">
        <v>0</v>
      </c>
      <c r="G546" s="144">
        <v>0</v>
      </c>
      <c r="H546" s="285">
        <v>0</v>
      </c>
      <c r="I546" s="507">
        <f t="shared" si="25"/>
        <v>0</v>
      </c>
    </row>
    <row r="547" spans="1:10" ht="10.5" customHeight="1" x14ac:dyDescent="0.15">
      <c r="A547" s="442"/>
      <c r="B547" s="451" t="s">
        <v>887</v>
      </c>
      <c r="C547" s="135" t="s">
        <v>1116</v>
      </c>
      <c r="D547" s="144">
        <v>0</v>
      </c>
      <c r="E547" s="144">
        <v>0</v>
      </c>
      <c r="F547" s="144">
        <v>0</v>
      </c>
      <c r="G547" s="144">
        <v>0</v>
      </c>
      <c r="H547" s="285">
        <v>0</v>
      </c>
      <c r="I547" s="507">
        <f t="shared" si="25"/>
        <v>0</v>
      </c>
    </row>
    <row r="548" spans="1:10" ht="10.5" customHeight="1" x14ac:dyDescent="0.15">
      <c r="A548" s="442"/>
      <c r="B548" s="451" t="s">
        <v>1112</v>
      </c>
      <c r="C548" s="135" t="s">
        <v>1117</v>
      </c>
      <c r="D548" s="144">
        <v>0</v>
      </c>
      <c r="E548" s="144">
        <v>0</v>
      </c>
      <c r="F548" s="144">
        <v>0</v>
      </c>
      <c r="G548" s="144">
        <v>0</v>
      </c>
      <c r="H548" s="285">
        <v>0</v>
      </c>
      <c r="I548" s="507">
        <f t="shared" si="25"/>
        <v>0</v>
      </c>
    </row>
    <row r="549" spans="1:10" ht="10.5" customHeight="1" x14ac:dyDescent="0.15">
      <c r="A549" s="442"/>
      <c r="B549" s="451" t="s">
        <v>1113</v>
      </c>
      <c r="C549" s="135" t="s">
        <v>1118</v>
      </c>
      <c r="D549" s="144">
        <v>0</v>
      </c>
      <c r="E549" s="144">
        <v>0</v>
      </c>
      <c r="F549" s="144">
        <v>0</v>
      </c>
      <c r="G549" s="144">
        <v>0</v>
      </c>
      <c r="H549" s="285">
        <v>0</v>
      </c>
      <c r="I549" s="507">
        <f t="shared" si="25"/>
        <v>0</v>
      </c>
    </row>
    <row r="550" spans="1:10" ht="10.5" customHeight="1" thickBot="1" x14ac:dyDescent="0.2">
      <c r="A550" s="442"/>
      <c r="B550" s="451" t="s">
        <v>1114</v>
      </c>
      <c r="C550" s="135" t="s">
        <v>1119</v>
      </c>
      <c r="D550" s="144">
        <v>0</v>
      </c>
      <c r="E550" s="144">
        <v>0</v>
      </c>
      <c r="F550" s="144">
        <v>0</v>
      </c>
      <c r="G550" s="144">
        <v>0</v>
      </c>
      <c r="H550" s="285">
        <v>0</v>
      </c>
      <c r="I550" s="507">
        <f t="shared" si="25"/>
        <v>0</v>
      </c>
    </row>
    <row r="551" spans="1:10" ht="10.5" customHeight="1" thickTop="1" thickBot="1" x14ac:dyDescent="0.2">
      <c r="A551" s="442"/>
      <c r="B551" s="451"/>
      <c r="C551" s="135" t="s">
        <v>1238</v>
      </c>
      <c r="D551" s="166">
        <f>SUM(D531:D550)</f>
        <v>0</v>
      </c>
      <c r="E551" s="166">
        <f>SUM(E531:E550)</f>
        <v>0</v>
      </c>
      <c r="F551" s="166">
        <f>SUM(F531:F550)</f>
        <v>0</v>
      </c>
      <c r="G551" s="166">
        <f>SUM(G531:G550)</f>
        <v>0</v>
      </c>
      <c r="H551" s="166">
        <f>SUM(H531:H550)</f>
        <v>0</v>
      </c>
      <c r="I551" s="166">
        <f>G551+H551</f>
        <v>0</v>
      </c>
    </row>
    <row r="552" spans="1:10" ht="10.5" customHeight="1" thickTop="1" x14ac:dyDescent="0.15">
      <c r="A552" s="442"/>
      <c r="B552" s="451"/>
      <c r="C552" s="135"/>
      <c r="D552" s="14"/>
      <c r="E552" s="14"/>
      <c r="F552" s="14"/>
      <c r="G552" s="14"/>
      <c r="H552" s="195"/>
      <c r="I552" s="167"/>
    </row>
    <row r="553" spans="1:10" ht="10.5" customHeight="1" x14ac:dyDescent="0.15">
      <c r="A553" s="442" t="s">
        <v>147</v>
      </c>
      <c r="C553" s="135"/>
      <c r="D553" s="14"/>
      <c r="E553" s="14"/>
      <c r="F553" s="14"/>
      <c r="G553" s="14"/>
      <c r="H553" s="195"/>
      <c r="I553" s="167"/>
    </row>
    <row r="554" spans="1:10" s="416" customFormat="1" hidden="1" x14ac:dyDescent="0.15">
      <c r="B554" s="453" t="s">
        <v>880</v>
      </c>
      <c r="C554" s="454" t="s">
        <v>1164</v>
      </c>
      <c r="D554" s="308">
        <v>0</v>
      </c>
      <c r="E554" s="308">
        <v>0</v>
      </c>
      <c r="F554" s="308">
        <v>0</v>
      </c>
      <c r="G554" s="458"/>
      <c r="H554" s="457">
        <v>0</v>
      </c>
      <c r="I554" s="494">
        <f>SUM(G554+H554)</f>
        <v>0</v>
      </c>
    </row>
    <row r="555" spans="1:10" s="416" customFormat="1" x14ac:dyDescent="0.15">
      <c r="B555" s="453" t="s">
        <v>880</v>
      </c>
      <c r="C555" s="454" t="s">
        <v>337</v>
      </c>
      <c r="D555" s="308">
        <v>0</v>
      </c>
      <c r="E555" s="308">
        <v>0</v>
      </c>
      <c r="F555" s="308">
        <v>0</v>
      </c>
      <c r="G555" s="308">
        <v>0</v>
      </c>
      <c r="H555" s="457">
        <v>0</v>
      </c>
      <c r="I555" s="494">
        <f>SUM(G555+H555)</f>
        <v>0</v>
      </c>
    </row>
    <row r="556" spans="1:10" s="416" customFormat="1" hidden="1" x14ac:dyDescent="0.15">
      <c r="A556" s="454"/>
      <c r="B556" s="453" t="s">
        <v>881</v>
      </c>
      <c r="C556" s="454" t="s">
        <v>382</v>
      </c>
      <c r="D556" s="308">
        <v>0</v>
      </c>
      <c r="E556" s="308">
        <v>0</v>
      </c>
      <c r="F556" s="308">
        <v>0</v>
      </c>
      <c r="G556" s="459"/>
      <c r="H556" s="457">
        <v>0</v>
      </c>
      <c r="I556" s="494">
        <f>SUM(G556+H556)</f>
        <v>0</v>
      </c>
    </row>
    <row r="557" spans="1:10" x14ac:dyDescent="0.15">
      <c r="A557" s="135"/>
      <c r="B557" s="451" t="s">
        <v>881</v>
      </c>
      <c r="C557" s="135" t="s">
        <v>338</v>
      </c>
      <c r="D557" s="144">
        <v>0</v>
      </c>
      <c r="E557" s="144">
        <v>0</v>
      </c>
      <c r="F557" s="144">
        <v>0</v>
      </c>
      <c r="G557" s="144">
        <v>0</v>
      </c>
      <c r="H557" s="147">
        <v>0</v>
      </c>
      <c r="I557" s="495">
        <f>SUM(G557+H557)</f>
        <v>0</v>
      </c>
      <c r="J557" s="416"/>
    </row>
    <row r="558" spans="1:10" ht="10.5" customHeight="1" x14ac:dyDescent="0.15">
      <c r="A558" s="442"/>
      <c r="B558" s="451" t="s">
        <v>882</v>
      </c>
      <c r="C558" s="135" t="s">
        <v>1058</v>
      </c>
      <c r="D558" s="144">
        <v>0</v>
      </c>
      <c r="E558" s="144">
        <v>0</v>
      </c>
      <c r="F558" s="144">
        <v>0</v>
      </c>
      <c r="G558" s="144">
        <v>0</v>
      </c>
      <c r="H558" s="285">
        <v>0</v>
      </c>
      <c r="I558" s="507">
        <f t="shared" ref="I558:I581" si="27">SUM(G558+H558)</f>
        <v>0</v>
      </c>
    </row>
    <row r="559" spans="1:10" ht="10.5" customHeight="1" x14ac:dyDescent="0.15">
      <c r="A559" s="442"/>
      <c r="B559" s="451" t="s">
        <v>883</v>
      </c>
      <c r="C559" s="135" t="s">
        <v>1059</v>
      </c>
      <c r="D559" s="144">
        <v>0</v>
      </c>
      <c r="E559" s="144">
        <v>0</v>
      </c>
      <c r="F559" s="144">
        <v>0</v>
      </c>
      <c r="G559" s="144">
        <v>0</v>
      </c>
      <c r="H559" s="285">
        <v>0</v>
      </c>
      <c r="I559" s="507">
        <f t="shared" si="27"/>
        <v>0</v>
      </c>
    </row>
    <row r="560" spans="1:10" ht="10.5" customHeight="1" x14ac:dyDescent="0.15">
      <c r="A560" s="442"/>
      <c r="B560" s="451" t="s">
        <v>1060</v>
      </c>
      <c r="C560" s="135" t="s">
        <v>1061</v>
      </c>
      <c r="D560" s="144">
        <v>0</v>
      </c>
      <c r="E560" s="144">
        <v>0</v>
      </c>
      <c r="F560" s="144">
        <v>0</v>
      </c>
      <c r="G560" s="144">
        <v>0</v>
      </c>
      <c r="H560" s="285">
        <v>0</v>
      </c>
      <c r="I560" s="507">
        <f t="shared" si="27"/>
        <v>0</v>
      </c>
    </row>
    <row r="561" spans="1:9" ht="10.5" customHeight="1" x14ac:dyDescent="0.15">
      <c r="A561" s="442"/>
      <c r="B561" s="451" t="s">
        <v>1062</v>
      </c>
      <c r="C561" s="135" t="s">
        <v>1063</v>
      </c>
      <c r="D561" s="144">
        <v>0</v>
      </c>
      <c r="E561" s="144">
        <v>0</v>
      </c>
      <c r="F561" s="144">
        <v>0</v>
      </c>
      <c r="G561" s="144">
        <v>0</v>
      </c>
      <c r="H561" s="285">
        <v>0</v>
      </c>
      <c r="I561" s="507">
        <f t="shared" si="27"/>
        <v>0</v>
      </c>
    </row>
    <row r="562" spans="1:9" ht="10.5" customHeight="1" x14ac:dyDescent="0.15">
      <c r="A562" s="442"/>
      <c r="B562" s="451" t="s">
        <v>884</v>
      </c>
      <c r="C562" s="135" t="s">
        <v>1064</v>
      </c>
      <c r="D562" s="144">
        <v>0</v>
      </c>
      <c r="E562" s="144">
        <v>0</v>
      </c>
      <c r="F562" s="144">
        <v>0</v>
      </c>
      <c r="G562" s="144">
        <v>0</v>
      </c>
      <c r="H562" s="285">
        <v>0</v>
      </c>
      <c r="I562" s="507">
        <f t="shared" si="27"/>
        <v>0</v>
      </c>
    </row>
    <row r="563" spans="1:9" ht="10.5" customHeight="1" x14ac:dyDescent="0.15">
      <c r="A563" s="442"/>
      <c r="B563" s="716" t="s">
        <v>155</v>
      </c>
      <c r="C563" s="703" t="s">
        <v>178</v>
      </c>
      <c r="D563" s="144">
        <v>0</v>
      </c>
      <c r="E563" s="144">
        <v>0</v>
      </c>
      <c r="F563" s="144">
        <v>0</v>
      </c>
      <c r="G563" s="144">
        <v>0</v>
      </c>
      <c r="H563" s="285">
        <v>0</v>
      </c>
      <c r="I563" s="507">
        <f t="shared" ref="I563" si="28">SUM(G563+H563)</f>
        <v>0</v>
      </c>
    </row>
    <row r="564" spans="1:9" ht="10.5" customHeight="1" x14ac:dyDescent="0.15">
      <c r="A564" s="442"/>
      <c r="B564" s="451" t="s">
        <v>927</v>
      </c>
      <c r="C564" s="135" t="s">
        <v>959</v>
      </c>
      <c r="D564" s="144">
        <v>0</v>
      </c>
      <c r="E564" s="144">
        <v>0</v>
      </c>
      <c r="F564" s="144">
        <v>0</v>
      </c>
      <c r="G564" s="144">
        <v>0</v>
      </c>
      <c r="H564" s="285">
        <v>0</v>
      </c>
      <c r="I564" s="507">
        <f t="shared" si="27"/>
        <v>0</v>
      </c>
    </row>
    <row r="565" spans="1:9" ht="10.5" customHeight="1" x14ac:dyDescent="0.15">
      <c r="A565" s="442"/>
      <c r="B565" s="451" t="s">
        <v>928</v>
      </c>
      <c r="C565" s="135" t="s">
        <v>961</v>
      </c>
      <c r="D565" s="144">
        <v>0</v>
      </c>
      <c r="E565" s="144">
        <v>0</v>
      </c>
      <c r="F565" s="144">
        <v>0</v>
      </c>
      <c r="G565" s="144">
        <v>0</v>
      </c>
      <c r="H565" s="285">
        <v>0</v>
      </c>
      <c r="I565" s="507">
        <f t="shared" si="27"/>
        <v>0</v>
      </c>
    </row>
    <row r="566" spans="1:9" ht="10.5" customHeight="1" x14ac:dyDescent="0.15">
      <c r="B566" s="451" t="s">
        <v>962</v>
      </c>
      <c r="C566" s="135" t="s">
        <v>967</v>
      </c>
      <c r="D566" s="144">
        <v>0</v>
      </c>
      <c r="E566" s="144">
        <v>0</v>
      </c>
      <c r="F566" s="144">
        <v>0</v>
      </c>
      <c r="G566" s="144">
        <v>0</v>
      </c>
      <c r="H566" s="285">
        <v>0</v>
      </c>
      <c r="I566" s="507">
        <f t="shared" si="27"/>
        <v>0</v>
      </c>
    </row>
    <row r="567" spans="1:9" ht="10.5" customHeight="1" x14ac:dyDescent="0.15">
      <c r="B567" s="451" t="s">
        <v>963</v>
      </c>
      <c r="C567" s="135" t="s">
        <v>1124</v>
      </c>
      <c r="D567" s="144">
        <v>0</v>
      </c>
      <c r="E567" s="144">
        <v>0</v>
      </c>
      <c r="F567" s="144">
        <v>0</v>
      </c>
      <c r="G567" s="144">
        <v>0</v>
      </c>
      <c r="H567" s="285">
        <v>0</v>
      </c>
      <c r="I567" s="507">
        <f t="shared" si="27"/>
        <v>0</v>
      </c>
    </row>
    <row r="568" spans="1:9" ht="10.5" customHeight="1" x14ac:dyDescent="0.15">
      <c r="B568" s="451" t="s">
        <v>964</v>
      </c>
      <c r="C568" s="135" t="s">
        <v>1094</v>
      </c>
      <c r="D568" s="144">
        <v>0</v>
      </c>
      <c r="E568" s="144">
        <v>0</v>
      </c>
      <c r="F568" s="144">
        <v>0</v>
      </c>
      <c r="G568" s="144">
        <v>0</v>
      </c>
      <c r="H568" s="285">
        <v>0</v>
      </c>
      <c r="I568" s="507">
        <f t="shared" si="27"/>
        <v>0</v>
      </c>
    </row>
    <row r="569" spans="1:9" ht="10.5" customHeight="1" x14ac:dyDescent="0.15">
      <c r="B569" s="451" t="s">
        <v>965</v>
      </c>
      <c r="C569" s="135" t="s">
        <v>1095</v>
      </c>
      <c r="D569" s="144">
        <v>0</v>
      </c>
      <c r="E569" s="144">
        <v>0</v>
      </c>
      <c r="F569" s="144">
        <v>0</v>
      </c>
      <c r="G569" s="144">
        <v>0</v>
      </c>
      <c r="H569" s="285">
        <v>0</v>
      </c>
      <c r="I569" s="507">
        <f t="shared" si="27"/>
        <v>0</v>
      </c>
    </row>
    <row r="570" spans="1:9" ht="10.5" customHeight="1" x14ac:dyDescent="0.15">
      <c r="A570" s="442"/>
      <c r="B570" s="451" t="s">
        <v>885</v>
      </c>
      <c r="C570" s="135" t="s">
        <v>1096</v>
      </c>
      <c r="D570" s="144">
        <v>0</v>
      </c>
      <c r="E570" s="144">
        <v>0</v>
      </c>
      <c r="F570" s="144">
        <v>0</v>
      </c>
      <c r="G570" s="144">
        <v>0</v>
      </c>
      <c r="H570" s="285">
        <v>0</v>
      </c>
      <c r="I570" s="507">
        <f t="shared" si="27"/>
        <v>0</v>
      </c>
    </row>
    <row r="571" spans="1:9" ht="10.5" customHeight="1" x14ac:dyDescent="0.15">
      <c r="A571" s="442"/>
      <c r="B571" s="451" t="s">
        <v>966</v>
      </c>
      <c r="C571" s="135" t="s">
        <v>1097</v>
      </c>
      <c r="D571" s="144">
        <v>0</v>
      </c>
      <c r="E571" s="144">
        <v>0</v>
      </c>
      <c r="F571" s="144">
        <v>0</v>
      </c>
      <c r="G571" s="144">
        <v>0</v>
      </c>
      <c r="H571" s="285">
        <v>0</v>
      </c>
      <c r="I571" s="507">
        <f t="shared" si="27"/>
        <v>0</v>
      </c>
    </row>
    <row r="572" spans="1:9" ht="10.5" customHeight="1" x14ac:dyDescent="0.15">
      <c r="A572" s="442"/>
      <c r="B572" s="451" t="s">
        <v>886</v>
      </c>
      <c r="C572" s="135" t="s">
        <v>1100</v>
      </c>
      <c r="D572" s="144">
        <v>0</v>
      </c>
      <c r="E572" s="144">
        <v>0</v>
      </c>
      <c r="F572" s="144">
        <v>0</v>
      </c>
      <c r="G572" s="144">
        <v>0</v>
      </c>
      <c r="H572" s="285">
        <v>0</v>
      </c>
      <c r="I572" s="507">
        <f t="shared" si="27"/>
        <v>0</v>
      </c>
    </row>
    <row r="573" spans="1:9" ht="10.5" customHeight="1" x14ac:dyDescent="0.15">
      <c r="A573" s="442"/>
      <c r="B573" s="451" t="s">
        <v>116</v>
      </c>
      <c r="C573" s="135" t="s">
        <v>1105</v>
      </c>
      <c r="D573" s="144">
        <v>0</v>
      </c>
      <c r="E573" s="144">
        <v>0</v>
      </c>
      <c r="F573" s="144">
        <v>0</v>
      </c>
      <c r="G573" s="144">
        <v>0</v>
      </c>
      <c r="H573" s="285">
        <v>0</v>
      </c>
      <c r="I573" s="507">
        <f t="shared" si="27"/>
        <v>0</v>
      </c>
    </row>
    <row r="574" spans="1:9" ht="10.5" customHeight="1" x14ac:dyDescent="0.15">
      <c r="A574" s="442"/>
      <c r="B574" s="451" t="s">
        <v>1139</v>
      </c>
      <c r="C574" s="135" t="s">
        <v>1109</v>
      </c>
      <c r="D574" s="144">
        <v>0</v>
      </c>
      <c r="E574" s="144">
        <v>0</v>
      </c>
      <c r="F574" s="144">
        <v>0</v>
      </c>
      <c r="G574" s="144">
        <v>0</v>
      </c>
      <c r="H574" s="285">
        <v>0</v>
      </c>
      <c r="I574" s="507">
        <f t="shared" si="27"/>
        <v>0</v>
      </c>
    </row>
    <row r="575" spans="1:9" ht="10.5" customHeight="1" x14ac:dyDescent="0.15">
      <c r="A575" s="442"/>
      <c r="B575" s="451" t="s">
        <v>112</v>
      </c>
      <c r="C575" s="135" t="s">
        <v>1110</v>
      </c>
      <c r="D575" s="144">
        <v>0</v>
      </c>
      <c r="E575" s="144">
        <v>0</v>
      </c>
      <c r="F575" s="144">
        <v>0</v>
      </c>
      <c r="G575" s="144">
        <v>0</v>
      </c>
      <c r="H575" s="285">
        <v>0</v>
      </c>
      <c r="I575" s="507">
        <f t="shared" si="27"/>
        <v>0</v>
      </c>
    </row>
    <row r="576" spans="1:9" ht="10.5" customHeight="1" x14ac:dyDescent="0.15">
      <c r="A576" s="442"/>
      <c r="B576" s="451" t="s">
        <v>887</v>
      </c>
      <c r="C576" s="135" t="s">
        <v>1116</v>
      </c>
      <c r="D576" s="144">
        <v>0</v>
      </c>
      <c r="E576" s="144">
        <v>0</v>
      </c>
      <c r="F576" s="144">
        <v>0</v>
      </c>
      <c r="G576" s="144">
        <v>0</v>
      </c>
      <c r="H576" s="285">
        <v>0</v>
      </c>
      <c r="I576" s="507">
        <f t="shared" si="27"/>
        <v>0</v>
      </c>
    </row>
    <row r="577" spans="1:9" ht="10.5" customHeight="1" x14ac:dyDescent="0.15">
      <c r="A577" s="442"/>
      <c r="B577" s="451" t="s">
        <v>1112</v>
      </c>
      <c r="C577" s="135" t="s">
        <v>1117</v>
      </c>
      <c r="D577" s="144">
        <v>0</v>
      </c>
      <c r="E577" s="144">
        <v>0</v>
      </c>
      <c r="F577" s="144">
        <v>0</v>
      </c>
      <c r="G577" s="144">
        <v>0</v>
      </c>
      <c r="H577" s="285">
        <v>0</v>
      </c>
      <c r="I577" s="507">
        <f t="shared" si="27"/>
        <v>0</v>
      </c>
    </row>
    <row r="578" spans="1:9" ht="10.5" customHeight="1" x14ac:dyDescent="0.15">
      <c r="A578" s="442"/>
      <c r="B578" s="451" t="s">
        <v>1113</v>
      </c>
      <c r="C578" s="135" t="s">
        <v>1118</v>
      </c>
      <c r="D578" s="144">
        <v>0</v>
      </c>
      <c r="E578" s="144">
        <v>0</v>
      </c>
      <c r="F578" s="144">
        <v>0</v>
      </c>
      <c r="G578" s="144">
        <v>0</v>
      </c>
      <c r="H578" s="285">
        <v>0</v>
      </c>
      <c r="I578" s="507">
        <f t="shared" si="27"/>
        <v>0</v>
      </c>
    </row>
    <row r="579" spans="1:9" ht="10.5" customHeight="1" x14ac:dyDescent="0.15">
      <c r="A579" s="442"/>
      <c r="B579" s="451" t="s">
        <v>1114</v>
      </c>
      <c r="C579" s="135" t="s">
        <v>1119</v>
      </c>
      <c r="D579" s="144">
        <v>0</v>
      </c>
      <c r="E579" s="144">
        <v>0</v>
      </c>
      <c r="F579" s="144">
        <v>0</v>
      </c>
      <c r="G579" s="144">
        <v>0</v>
      </c>
      <c r="H579" s="285">
        <v>0</v>
      </c>
      <c r="I579" s="507">
        <f t="shared" si="27"/>
        <v>0</v>
      </c>
    </row>
    <row r="580" spans="1:9" ht="10.5" customHeight="1" x14ac:dyDescent="0.15">
      <c r="A580" s="442"/>
      <c r="B580" s="451" t="s">
        <v>1115</v>
      </c>
      <c r="C580" s="135" t="s">
        <v>1120</v>
      </c>
      <c r="D580" s="144">
        <v>0</v>
      </c>
      <c r="E580" s="144">
        <v>0</v>
      </c>
      <c r="F580" s="144">
        <v>0</v>
      </c>
      <c r="G580" s="144">
        <v>0</v>
      </c>
      <c r="H580" s="285">
        <v>0</v>
      </c>
      <c r="I580" s="507">
        <f t="shared" si="27"/>
        <v>0</v>
      </c>
    </row>
    <row r="581" spans="1:9" ht="10.5" customHeight="1" thickBot="1" x14ac:dyDescent="0.2">
      <c r="A581" s="442"/>
      <c r="B581" s="451" t="s">
        <v>114</v>
      </c>
      <c r="C581" s="135" t="s">
        <v>1121</v>
      </c>
      <c r="D581" s="141">
        <v>0</v>
      </c>
      <c r="E581" s="141">
        <v>0</v>
      </c>
      <c r="F581" s="141">
        <v>0</v>
      </c>
      <c r="G581" s="141">
        <v>0</v>
      </c>
      <c r="H581" s="285">
        <v>0</v>
      </c>
      <c r="I581" s="507">
        <f t="shared" si="27"/>
        <v>0</v>
      </c>
    </row>
    <row r="582" spans="1:9" ht="10.5" customHeight="1" thickTop="1" thickBot="1" x14ac:dyDescent="0.2">
      <c r="A582" s="442"/>
      <c r="B582" s="451"/>
      <c r="C582" s="135" t="s">
        <v>148</v>
      </c>
      <c r="D582" s="166">
        <f>SUM(D554:D581)</f>
        <v>0</v>
      </c>
      <c r="E582" s="166">
        <f>SUM(E554:E581)</f>
        <v>0</v>
      </c>
      <c r="F582" s="166">
        <f>SUM(F554:F581)</f>
        <v>0</v>
      </c>
      <c r="G582" s="166">
        <f>SUM(G554:G581)</f>
        <v>0</v>
      </c>
      <c r="H582" s="166">
        <f>SUM(H554:H581)</f>
        <v>0</v>
      </c>
      <c r="I582" s="166">
        <f>G582+H582</f>
        <v>0</v>
      </c>
    </row>
    <row r="583" spans="1:9" ht="10.5" customHeight="1" thickTop="1" x14ac:dyDescent="0.15">
      <c r="A583" s="442"/>
      <c r="B583" s="451"/>
      <c r="C583" s="135"/>
      <c r="D583" s="14"/>
      <c r="E583" s="14"/>
      <c r="F583" s="14"/>
      <c r="G583" s="14"/>
      <c r="H583" s="195"/>
      <c r="I583" s="167"/>
    </row>
    <row r="584" spans="1:9" ht="10.5" customHeight="1" x14ac:dyDescent="0.15">
      <c r="A584" s="442" t="s">
        <v>149</v>
      </c>
      <c r="C584" s="135"/>
      <c r="D584" s="14"/>
      <c r="E584" s="14"/>
      <c r="F584" s="14"/>
      <c r="G584" s="14"/>
      <c r="H584" s="195"/>
      <c r="I584" s="167"/>
    </row>
    <row r="585" spans="1:9" s="416" customFormat="1" hidden="1" x14ac:dyDescent="0.15">
      <c r="B585" s="453" t="s">
        <v>880</v>
      </c>
      <c r="C585" s="454" t="s">
        <v>1164</v>
      </c>
      <c r="D585" s="308">
        <v>0</v>
      </c>
      <c r="E585" s="308">
        <v>0</v>
      </c>
      <c r="F585" s="308">
        <v>0</v>
      </c>
      <c r="G585" s="458"/>
      <c r="H585" s="457">
        <v>0</v>
      </c>
      <c r="I585" s="494">
        <f>SUM(G585+H585)</f>
        <v>0</v>
      </c>
    </row>
    <row r="586" spans="1:9" s="416" customFormat="1" x14ac:dyDescent="0.15">
      <c r="B586" s="453" t="s">
        <v>880</v>
      </c>
      <c r="C586" s="454" t="s">
        <v>337</v>
      </c>
      <c r="D586" s="308">
        <v>0</v>
      </c>
      <c r="E586" s="308">
        <v>0</v>
      </c>
      <c r="F586" s="308">
        <v>0</v>
      </c>
      <c r="G586" s="308">
        <v>0</v>
      </c>
      <c r="H586" s="457">
        <v>0</v>
      </c>
      <c r="I586" s="494">
        <f>SUM(G586+H586)</f>
        <v>0</v>
      </c>
    </row>
    <row r="587" spans="1:9" s="416" customFormat="1" hidden="1" x14ac:dyDescent="0.15">
      <c r="A587" s="454"/>
      <c r="B587" s="453" t="s">
        <v>881</v>
      </c>
      <c r="C587" s="454" t="s">
        <v>382</v>
      </c>
      <c r="D587" s="308">
        <v>0</v>
      </c>
      <c r="E587" s="308">
        <v>0</v>
      </c>
      <c r="F587" s="308">
        <v>0</v>
      </c>
      <c r="G587" s="459"/>
      <c r="H587" s="457">
        <v>0</v>
      </c>
      <c r="I587" s="494">
        <f>SUM(G587+H587)</f>
        <v>0</v>
      </c>
    </row>
    <row r="588" spans="1:9" s="416" customFormat="1" x14ac:dyDescent="0.15">
      <c r="A588" s="454"/>
      <c r="B588" s="453" t="s">
        <v>881</v>
      </c>
      <c r="C588" s="454" t="s">
        <v>338</v>
      </c>
      <c r="D588" s="308">
        <v>0</v>
      </c>
      <c r="E588" s="308">
        <v>0</v>
      </c>
      <c r="F588" s="308">
        <v>0</v>
      </c>
      <c r="G588" s="308">
        <v>0</v>
      </c>
      <c r="H588" s="457">
        <v>0</v>
      </c>
      <c r="I588" s="494">
        <f>SUM(G588+H588)</f>
        <v>0</v>
      </c>
    </row>
    <row r="589" spans="1:9" ht="10.5" customHeight="1" x14ac:dyDescent="0.15">
      <c r="B589" s="451" t="s">
        <v>882</v>
      </c>
      <c r="C589" s="135" t="s">
        <v>1058</v>
      </c>
      <c r="D589" s="144">
        <v>0</v>
      </c>
      <c r="E589" s="144">
        <v>0</v>
      </c>
      <c r="F589" s="144">
        <v>0</v>
      </c>
      <c r="G589" s="144">
        <v>0</v>
      </c>
      <c r="H589" s="285">
        <v>0</v>
      </c>
      <c r="I589" s="507">
        <f t="shared" ref="I589:I612" si="29">SUM(G589+H589)</f>
        <v>0</v>
      </c>
    </row>
    <row r="590" spans="1:9" ht="10.5" customHeight="1" x14ac:dyDescent="0.15">
      <c r="B590" s="451" t="s">
        <v>883</v>
      </c>
      <c r="C590" s="135" t="s">
        <v>1059</v>
      </c>
      <c r="D590" s="144">
        <v>0</v>
      </c>
      <c r="E590" s="144">
        <v>0</v>
      </c>
      <c r="F590" s="144">
        <v>0</v>
      </c>
      <c r="G590" s="144">
        <v>0</v>
      </c>
      <c r="H590" s="285">
        <v>0</v>
      </c>
      <c r="I590" s="507">
        <f t="shared" si="29"/>
        <v>0</v>
      </c>
    </row>
    <row r="591" spans="1:9" ht="10.5" customHeight="1" x14ac:dyDescent="0.15">
      <c r="B591" s="451" t="s">
        <v>1060</v>
      </c>
      <c r="C591" s="135" t="s">
        <v>1061</v>
      </c>
      <c r="D591" s="144">
        <v>0</v>
      </c>
      <c r="E591" s="144">
        <v>0</v>
      </c>
      <c r="F591" s="144">
        <v>0</v>
      </c>
      <c r="G591" s="144">
        <v>0</v>
      </c>
      <c r="H591" s="285">
        <v>0</v>
      </c>
      <c r="I591" s="507">
        <f t="shared" si="29"/>
        <v>0</v>
      </c>
    </row>
    <row r="592" spans="1:9" ht="10.5" customHeight="1" x14ac:dyDescent="0.15">
      <c r="B592" s="451" t="s">
        <v>1062</v>
      </c>
      <c r="C592" s="135" t="s">
        <v>1063</v>
      </c>
      <c r="D592" s="144">
        <v>0</v>
      </c>
      <c r="E592" s="144">
        <v>0</v>
      </c>
      <c r="F592" s="144">
        <v>0</v>
      </c>
      <c r="G592" s="144">
        <v>0</v>
      </c>
      <c r="H592" s="285">
        <v>0</v>
      </c>
      <c r="I592" s="507">
        <f t="shared" si="29"/>
        <v>0</v>
      </c>
    </row>
    <row r="593" spans="2:9" ht="10.5" customHeight="1" x14ac:dyDescent="0.15">
      <c r="B593" s="451" t="s">
        <v>884</v>
      </c>
      <c r="C593" s="135" t="s">
        <v>1064</v>
      </c>
      <c r="D593" s="144">
        <v>0</v>
      </c>
      <c r="E593" s="144">
        <v>0</v>
      </c>
      <c r="F593" s="144">
        <v>0</v>
      </c>
      <c r="G593" s="144">
        <v>0</v>
      </c>
      <c r="H593" s="285">
        <v>0</v>
      </c>
      <c r="I593" s="507">
        <f t="shared" si="29"/>
        <v>0</v>
      </c>
    </row>
    <row r="594" spans="2:9" ht="10.5" customHeight="1" x14ac:dyDescent="0.15">
      <c r="B594" s="451" t="s">
        <v>1067</v>
      </c>
      <c r="C594" s="135" t="s">
        <v>1074</v>
      </c>
      <c r="D594" s="144">
        <v>0</v>
      </c>
      <c r="E594" s="144">
        <v>0</v>
      </c>
      <c r="F594" s="144">
        <v>0</v>
      </c>
      <c r="G594" s="144">
        <v>0</v>
      </c>
      <c r="H594" s="285">
        <v>0</v>
      </c>
      <c r="I594" s="507">
        <f t="shared" si="29"/>
        <v>0</v>
      </c>
    </row>
    <row r="595" spans="2:9" ht="10.5" customHeight="1" x14ac:dyDescent="0.15">
      <c r="B595" s="716" t="s">
        <v>155</v>
      </c>
      <c r="C595" s="703" t="s">
        <v>178</v>
      </c>
      <c r="D595" s="144">
        <v>0</v>
      </c>
      <c r="E595" s="144">
        <v>0</v>
      </c>
      <c r="F595" s="144">
        <v>0</v>
      </c>
      <c r="G595" s="144">
        <v>0</v>
      </c>
      <c r="H595" s="285">
        <v>0</v>
      </c>
      <c r="I595" s="507">
        <f t="shared" ref="I595" si="30">SUM(G595+H595)</f>
        <v>0</v>
      </c>
    </row>
    <row r="596" spans="2:9" ht="10.5" customHeight="1" x14ac:dyDescent="0.15">
      <c r="B596" s="451" t="s">
        <v>927</v>
      </c>
      <c r="C596" s="135" t="s">
        <v>959</v>
      </c>
      <c r="D596" s="144">
        <v>0</v>
      </c>
      <c r="E596" s="144">
        <v>0</v>
      </c>
      <c r="F596" s="144">
        <v>0</v>
      </c>
      <c r="G596" s="144">
        <v>0</v>
      </c>
      <c r="H596" s="285">
        <v>0</v>
      </c>
      <c r="I596" s="507">
        <f t="shared" si="29"/>
        <v>0</v>
      </c>
    </row>
    <row r="597" spans="2:9" ht="10.5" customHeight="1" x14ac:dyDescent="0.15">
      <c r="B597" s="451" t="s">
        <v>928</v>
      </c>
      <c r="C597" s="135" t="s">
        <v>961</v>
      </c>
      <c r="D597" s="144">
        <v>0</v>
      </c>
      <c r="E597" s="144">
        <v>0</v>
      </c>
      <c r="F597" s="144">
        <v>0</v>
      </c>
      <c r="G597" s="144">
        <v>0</v>
      </c>
      <c r="H597" s="285">
        <v>0</v>
      </c>
      <c r="I597" s="507">
        <f t="shared" si="29"/>
        <v>0</v>
      </c>
    </row>
    <row r="598" spans="2:9" ht="10.5" customHeight="1" x14ac:dyDescent="0.15">
      <c r="B598" s="451" t="s">
        <v>962</v>
      </c>
      <c r="C598" s="135" t="s">
        <v>967</v>
      </c>
      <c r="D598" s="144">
        <v>0</v>
      </c>
      <c r="E598" s="144">
        <v>0</v>
      </c>
      <c r="F598" s="144">
        <v>0</v>
      </c>
      <c r="G598" s="144">
        <v>0</v>
      </c>
      <c r="H598" s="285">
        <v>0</v>
      </c>
      <c r="I598" s="507">
        <f t="shared" si="29"/>
        <v>0</v>
      </c>
    </row>
    <row r="599" spans="2:9" ht="10.5" customHeight="1" x14ac:dyDescent="0.15">
      <c r="B599" s="451" t="s">
        <v>963</v>
      </c>
      <c r="C599" s="135" t="s">
        <v>1124</v>
      </c>
      <c r="D599" s="144">
        <v>0</v>
      </c>
      <c r="E599" s="144">
        <v>0</v>
      </c>
      <c r="F599" s="144">
        <v>0</v>
      </c>
      <c r="G599" s="144">
        <v>0</v>
      </c>
      <c r="H599" s="285">
        <v>0</v>
      </c>
      <c r="I599" s="507">
        <f t="shared" si="29"/>
        <v>0</v>
      </c>
    </row>
    <row r="600" spans="2:9" ht="10.5" customHeight="1" x14ac:dyDescent="0.15">
      <c r="B600" s="451" t="s">
        <v>964</v>
      </c>
      <c r="C600" s="135" t="s">
        <v>1094</v>
      </c>
      <c r="D600" s="144">
        <v>0</v>
      </c>
      <c r="E600" s="144">
        <v>0</v>
      </c>
      <c r="F600" s="144">
        <v>0</v>
      </c>
      <c r="G600" s="144">
        <v>0</v>
      </c>
      <c r="H600" s="285">
        <v>0</v>
      </c>
      <c r="I600" s="507">
        <f t="shared" si="29"/>
        <v>0</v>
      </c>
    </row>
    <row r="601" spans="2:9" ht="10.5" customHeight="1" x14ac:dyDescent="0.15">
      <c r="B601" s="451" t="s">
        <v>965</v>
      </c>
      <c r="C601" s="135" t="s">
        <v>1095</v>
      </c>
      <c r="D601" s="144">
        <v>0</v>
      </c>
      <c r="E601" s="144">
        <v>0</v>
      </c>
      <c r="F601" s="144">
        <v>0</v>
      </c>
      <c r="G601" s="144">
        <v>0</v>
      </c>
      <c r="H601" s="285">
        <v>0</v>
      </c>
      <c r="I601" s="507">
        <f t="shared" si="29"/>
        <v>0</v>
      </c>
    </row>
    <row r="602" spans="2:9" ht="10.5" customHeight="1" x14ac:dyDescent="0.15">
      <c r="B602" s="451" t="s">
        <v>885</v>
      </c>
      <c r="C602" s="135" t="s">
        <v>1096</v>
      </c>
      <c r="D602" s="144">
        <v>0</v>
      </c>
      <c r="E602" s="144">
        <v>0</v>
      </c>
      <c r="F602" s="144">
        <v>0</v>
      </c>
      <c r="G602" s="144">
        <v>0</v>
      </c>
      <c r="H602" s="285">
        <v>0</v>
      </c>
      <c r="I602" s="507">
        <f t="shared" si="29"/>
        <v>0</v>
      </c>
    </row>
    <row r="603" spans="2:9" ht="10.5" customHeight="1" x14ac:dyDescent="0.15">
      <c r="B603" s="451" t="s">
        <v>966</v>
      </c>
      <c r="C603" s="135" t="s">
        <v>1097</v>
      </c>
      <c r="D603" s="144">
        <v>0</v>
      </c>
      <c r="E603" s="144">
        <v>0</v>
      </c>
      <c r="F603" s="144">
        <v>0</v>
      </c>
      <c r="G603" s="144">
        <v>0</v>
      </c>
      <c r="H603" s="285">
        <v>0</v>
      </c>
      <c r="I603" s="507">
        <f t="shared" si="29"/>
        <v>0</v>
      </c>
    </row>
    <row r="604" spans="2:9" ht="10.5" customHeight="1" x14ac:dyDescent="0.15">
      <c r="B604" s="451" t="s">
        <v>886</v>
      </c>
      <c r="C604" s="135" t="s">
        <v>1100</v>
      </c>
      <c r="D604" s="144">
        <v>0</v>
      </c>
      <c r="E604" s="144">
        <v>0</v>
      </c>
      <c r="F604" s="144">
        <v>0</v>
      </c>
      <c r="G604" s="144">
        <v>0</v>
      </c>
      <c r="H604" s="285">
        <v>0</v>
      </c>
      <c r="I604" s="507">
        <f t="shared" si="29"/>
        <v>0</v>
      </c>
    </row>
    <row r="605" spans="2:9" ht="10.5" customHeight="1" x14ac:dyDescent="0.15">
      <c r="B605" s="451" t="s">
        <v>116</v>
      </c>
      <c r="C605" s="135" t="s">
        <v>1105</v>
      </c>
      <c r="D605" s="144">
        <v>0</v>
      </c>
      <c r="E605" s="144">
        <v>0</v>
      </c>
      <c r="F605" s="144">
        <v>0</v>
      </c>
      <c r="G605" s="144">
        <v>0</v>
      </c>
      <c r="H605" s="285">
        <v>0</v>
      </c>
      <c r="I605" s="507">
        <f t="shared" si="29"/>
        <v>0</v>
      </c>
    </row>
    <row r="606" spans="2:9" ht="10.5" customHeight="1" x14ac:dyDescent="0.15">
      <c r="B606" s="451" t="s">
        <v>112</v>
      </c>
      <c r="C606" s="135" t="s">
        <v>1110</v>
      </c>
      <c r="D606" s="144">
        <v>0</v>
      </c>
      <c r="E606" s="144">
        <v>0</v>
      </c>
      <c r="F606" s="144">
        <v>0</v>
      </c>
      <c r="G606" s="144">
        <v>0</v>
      </c>
      <c r="H606" s="285">
        <v>0</v>
      </c>
      <c r="I606" s="507">
        <f t="shared" si="29"/>
        <v>0</v>
      </c>
    </row>
    <row r="607" spans="2:9" ht="10.5" customHeight="1" x14ac:dyDescent="0.15">
      <c r="B607" s="451" t="s">
        <v>887</v>
      </c>
      <c r="C607" s="135" t="s">
        <v>1116</v>
      </c>
      <c r="D607" s="144">
        <v>0</v>
      </c>
      <c r="E607" s="144">
        <v>0</v>
      </c>
      <c r="F607" s="144">
        <v>0</v>
      </c>
      <c r="G607" s="144">
        <v>0</v>
      </c>
      <c r="H607" s="285">
        <v>0</v>
      </c>
      <c r="I607" s="507">
        <f t="shared" si="29"/>
        <v>0</v>
      </c>
    </row>
    <row r="608" spans="2:9" ht="10.5" customHeight="1" x14ac:dyDescent="0.15">
      <c r="B608" s="451" t="s">
        <v>1112</v>
      </c>
      <c r="C608" s="135" t="s">
        <v>1117</v>
      </c>
      <c r="D608" s="144">
        <v>0</v>
      </c>
      <c r="E608" s="144">
        <v>0</v>
      </c>
      <c r="F608" s="144">
        <v>0</v>
      </c>
      <c r="G608" s="144">
        <v>0</v>
      </c>
      <c r="H608" s="285">
        <v>0</v>
      </c>
      <c r="I608" s="507">
        <f t="shared" si="29"/>
        <v>0</v>
      </c>
    </row>
    <row r="609" spans="1:10" ht="10.5" customHeight="1" x14ac:dyDescent="0.15">
      <c r="B609" s="451" t="s">
        <v>1113</v>
      </c>
      <c r="C609" s="135" t="s">
        <v>1118</v>
      </c>
      <c r="D609" s="144">
        <v>0</v>
      </c>
      <c r="E609" s="144">
        <v>0</v>
      </c>
      <c r="F609" s="144">
        <v>0</v>
      </c>
      <c r="G609" s="144">
        <v>0</v>
      </c>
      <c r="H609" s="285">
        <v>0</v>
      </c>
      <c r="I609" s="507">
        <f t="shared" si="29"/>
        <v>0</v>
      </c>
    </row>
    <row r="610" spans="1:10" ht="10.5" customHeight="1" x14ac:dyDescent="0.15">
      <c r="B610" s="451" t="s">
        <v>1114</v>
      </c>
      <c r="C610" s="135" t="s">
        <v>1119</v>
      </c>
      <c r="D610" s="144">
        <v>0</v>
      </c>
      <c r="E610" s="144">
        <v>0</v>
      </c>
      <c r="F610" s="144">
        <v>0</v>
      </c>
      <c r="G610" s="144">
        <v>0</v>
      </c>
      <c r="H610" s="285">
        <v>0</v>
      </c>
      <c r="I610" s="507">
        <f t="shared" si="29"/>
        <v>0</v>
      </c>
    </row>
    <row r="611" spans="1:10" ht="10.5" customHeight="1" x14ac:dyDescent="0.15">
      <c r="B611" s="451" t="s">
        <v>1115</v>
      </c>
      <c r="C611" s="135" t="s">
        <v>1120</v>
      </c>
      <c r="D611" s="144">
        <v>0</v>
      </c>
      <c r="E611" s="144">
        <v>0</v>
      </c>
      <c r="F611" s="144">
        <v>0</v>
      </c>
      <c r="G611" s="144">
        <v>0</v>
      </c>
      <c r="H611" s="285">
        <v>0</v>
      </c>
      <c r="I611" s="507">
        <f t="shared" si="29"/>
        <v>0</v>
      </c>
    </row>
    <row r="612" spans="1:10" ht="10.5" customHeight="1" thickBot="1" x14ac:dyDescent="0.2">
      <c r="B612" s="451" t="s">
        <v>114</v>
      </c>
      <c r="C612" s="135" t="s">
        <v>1121</v>
      </c>
      <c r="D612" s="141">
        <v>0</v>
      </c>
      <c r="E612" s="141">
        <v>0</v>
      </c>
      <c r="F612" s="141">
        <v>0</v>
      </c>
      <c r="G612" s="141">
        <v>0</v>
      </c>
      <c r="H612" s="285">
        <v>0</v>
      </c>
      <c r="I612" s="507">
        <f t="shared" si="29"/>
        <v>0</v>
      </c>
    </row>
    <row r="613" spans="1:10" ht="10.5" customHeight="1" thickTop="1" thickBot="1" x14ac:dyDescent="0.2">
      <c r="B613" s="451"/>
      <c r="C613" s="135" t="s">
        <v>150</v>
      </c>
      <c r="D613" s="166">
        <f>SUM(D585:D612)</f>
        <v>0</v>
      </c>
      <c r="E613" s="166">
        <f>SUM(E585:E612)</f>
        <v>0</v>
      </c>
      <c r="F613" s="166">
        <f>SUM(F585:F612)</f>
        <v>0</v>
      </c>
      <c r="G613" s="166">
        <f>SUM(G585:G612)</f>
        <v>0</v>
      </c>
      <c r="H613" s="166">
        <f>SUM(H585:H612)</f>
        <v>0</v>
      </c>
      <c r="I613" s="166">
        <f>G613+H613</f>
        <v>0</v>
      </c>
    </row>
    <row r="614" spans="1:10" ht="10.5" customHeight="1" thickTop="1" x14ac:dyDescent="0.15">
      <c r="B614" s="451"/>
      <c r="C614" s="135"/>
      <c r="D614" s="14"/>
      <c r="E614" s="14"/>
      <c r="F614" s="14"/>
      <c r="G614" s="14"/>
      <c r="H614" s="195"/>
      <c r="I614" s="167"/>
    </row>
    <row r="615" spans="1:10" ht="10.5" customHeight="1" x14ac:dyDescent="0.15">
      <c r="A615" s="442" t="s">
        <v>151</v>
      </c>
      <c r="C615" s="135"/>
      <c r="D615" s="14"/>
      <c r="E615" s="14"/>
      <c r="F615" s="14"/>
      <c r="G615" s="14"/>
      <c r="H615" s="195"/>
      <c r="I615" s="167"/>
    </row>
    <row r="616" spans="1:10" s="416" customFormat="1" hidden="1" x14ac:dyDescent="0.15">
      <c r="B616" s="453" t="s">
        <v>880</v>
      </c>
      <c r="C616" s="454" t="s">
        <v>1164</v>
      </c>
      <c r="D616" s="308">
        <v>0</v>
      </c>
      <c r="E616" s="308">
        <v>0</v>
      </c>
      <c r="F616" s="308">
        <v>0</v>
      </c>
      <c r="G616" s="458"/>
      <c r="H616" s="457">
        <v>0</v>
      </c>
      <c r="I616" s="494">
        <f>SUM(G616+H616)</f>
        <v>0</v>
      </c>
    </row>
    <row r="617" spans="1:10" s="416" customFormat="1" x14ac:dyDescent="0.15">
      <c r="B617" s="453" t="s">
        <v>880</v>
      </c>
      <c r="C617" s="454" t="s">
        <v>337</v>
      </c>
      <c r="D617" s="308">
        <v>0</v>
      </c>
      <c r="E617" s="308">
        <v>0</v>
      </c>
      <c r="F617" s="308">
        <v>0</v>
      </c>
      <c r="G617" s="308">
        <v>0</v>
      </c>
      <c r="H617" s="457">
        <v>0</v>
      </c>
      <c r="I617" s="494">
        <f>SUM(G617+H617)</f>
        <v>0</v>
      </c>
    </row>
    <row r="618" spans="1:10" s="416" customFormat="1" hidden="1" x14ac:dyDescent="0.15">
      <c r="A618" s="454"/>
      <c r="B618" s="453" t="s">
        <v>881</v>
      </c>
      <c r="C618" s="454" t="s">
        <v>382</v>
      </c>
      <c r="D618" s="308">
        <v>0</v>
      </c>
      <c r="E618" s="308">
        <v>0</v>
      </c>
      <c r="F618" s="308">
        <v>0</v>
      </c>
      <c r="G618" s="459"/>
      <c r="H618" s="457">
        <v>0</v>
      </c>
      <c r="I618" s="494">
        <f>SUM(G618+H618)</f>
        <v>0</v>
      </c>
    </row>
    <row r="619" spans="1:10" x14ac:dyDescent="0.15">
      <c r="A619" s="135"/>
      <c r="B619" s="451" t="s">
        <v>881</v>
      </c>
      <c r="C619" s="135" t="s">
        <v>338</v>
      </c>
      <c r="D619" s="144">
        <v>0</v>
      </c>
      <c r="E619" s="144">
        <v>0</v>
      </c>
      <c r="F619" s="144">
        <v>0</v>
      </c>
      <c r="G619" s="144">
        <v>0</v>
      </c>
      <c r="H619" s="147">
        <v>0</v>
      </c>
      <c r="I619" s="495">
        <f>SUM(G619+H619)</f>
        <v>0</v>
      </c>
      <c r="J619" s="416"/>
    </row>
    <row r="620" spans="1:10" ht="10.5" customHeight="1" x14ac:dyDescent="0.15">
      <c r="B620" s="451" t="s">
        <v>882</v>
      </c>
      <c r="C620" s="135" t="s">
        <v>1058</v>
      </c>
      <c r="D620" s="144">
        <v>0</v>
      </c>
      <c r="E620" s="144">
        <v>0</v>
      </c>
      <c r="F620" s="144">
        <v>0</v>
      </c>
      <c r="G620" s="144">
        <v>0</v>
      </c>
      <c r="H620" s="285">
        <v>0</v>
      </c>
      <c r="I620" s="507">
        <f t="shared" ref="I620:I645" si="31">SUM(G620+H620)</f>
        <v>0</v>
      </c>
    </row>
    <row r="621" spans="1:10" ht="10.5" customHeight="1" x14ac:dyDescent="0.15">
      <c r="B621" s="451" t="s">
        <v>883</v>
      </c>
      <c r="C621" s="135" t="s">
        <v>1059</v>
      </c>
      <c r="D621" s="144">
        <v>0</v>
      </c>
      <c r="E621" s="144">
        <v>0</v>
      </c>
      <c r="F621" s="144">
        <v>0</v>
      </c>
      <c r="G621" s="144">
        <v>0</v>
      </c>
      <c r="H621" s="285">
        <v>0</v>
      </c>
      <c r="I621" s="507">
        <f t="shared" si="31"/>
        <v>0</v>
      </c>
    </row>
    <row r="622" spans="1:10" ht="10.5" customHeight="1" x14ac:dyDescent="0.15">
      <c r="B622" s="451" t="s">
        <v>1060</v>
      </c>
      <c r="C622" s="135" t="s">
        <v>1061</v>
      </c>
      <c r="D622" s="144">
        <v>0</v>
      </c>
      <c r="E622" s="144">
        <v>0</v>
      </c>
      <c r="F622" s="144">
        <v>0</v>
      </c>
      <c r="G622" s="144">
        <v>0</v>
      </c>
      <c r="H622" s="285">
        <v>0</v>
      </c>
      <c r="I622" s="507">
        <f t="shared" si="31"/>
        <v>0</v>
      </c>
    </row>
    <row r="623" spans="1:10" ht="10.5" customHeight="1" x14ac:dyDescent="0.15">
      <c r="B623" s="451" t="s">
        <v>1062</v>
      </c>
      <c r="C623" s="135" t="s">
        <v>1063</v>
      </c>
      <c r="D623" s="144">
        <v>0</v>
      </c>
      <c r="E623" s="144">
        <v>0</v>
      </c>
      <c r="F623" s="144">
        <v>0</v>
      </c>
      <c r="G623" s="144">
        <v>0</v>
      </c>
      <c r="H623" s="285">
        <v>0</v>
      </c>
      <c r="I623" s="507">
        <f t="shared" si="31"/>
        <v>0</v>
      </c>
    </row>
    <row r="624" spans="1:10" ht="10.5" customHeight="1" x14ac:dyDescent="0.15">
      <c r="B624" s="451" t="s">
        <v>884</v>
      </c>
      <c r="C624" s="135" t="s">
        <v>1064</v>
      </c>
      <c r="D624" s="144">
        <v>0</v>
      </c>
      <c r="E624" s="144">
        <v>0</v>
      </c>
      <c r="F624" s="144">
        <v>0</v>
      </c>
      <c r="G624" s="144">
        <v>0</v>
      </c>
      <c r="H624" s="285">
        <v>0</v>
      </c>
      <c r="I624" s="507">
        <f t="shared" si="31"/>
        <v>0</v>
      </c>
    </row>
    <row r="625" spans="2:9" ht="10.5" customHeight="1" x14ac:dyDescent="0.15">
      <c r="B625" s="716" t="s">
        <v>155</v>
      </c>
      <c r="C625" s="703" t="s">
        <v>178</v>
      </c>
      <c r="D625" s="144">
        <v>0</v>
      </c>
      <c r="E625" s="144">
        <v>0</v>
      </c>
      <c r="F625" s="144">
        <v>0</v>
      </c>
      <c r="G625" s="144">
        <v>0</v>
      </c>
      <c r="H625" s="285">
        <v>0</v>
      </c>
      <c r="I625" s="507">
        <f t="shared" ref="I625" si="32">SUM(G625+H625)</f>
        <v>0</v>
      </c>
    </row>
    <row r="626" spans="2:9" ht="10.5" customHeight="1" x14ac:dyDescent="0.15">
      <c r="B626" s="451" t="s">
        <v>928</v>
      </c>
      <c r="C626" s="135" t="s">
        <v>961</v>
      </c>
      <c r="D626" s="144">
        <v>0</v>
      </c>
      <c r="E626" s="144">
        <v>0</v>
      </c>
      <c r="F626" s="144">
        <v>0</v>
      </c>
      <c r="G626" s="144">
        <v>0</v>
      </c>
      <c r="H626" s="285">
        <v>0</v>
      </c>
      <c r="I626" s="507">
        <f t="shared" si="31"/>
        <v>0</v>
      </c>
    </row>
    <row r="627" spans="2:9" ht="10.5" customHeight="1" x14ac:dyDescent="0.15">
      <c r="B627" s="451" t="s">
        <v>962</v>
      </c>
      <c r="C627" s="135" t="s">
        <v>967</v>
      </c>
      <c r="D627" s="144">
        <v>0</v>
      </c>
      <c r="E627" s="144">
        <v>0</v>
      </c>
      <c r="F627" s="144">
        <v>0</v>
      </c>
      <c r="G627" s="144">
        <v>0</v>
      </c>
      <c r="H627" s="285">
        <v>0</v>
      </c>
      <c r="I627" s="507">
        <f t="shared" si="31"/>
        <v>0</v>
      </c>
    </row>
    <row r="628" spans="2:9" ht="10.5" customHeight="1" x14ac:dyDescent="0.15">
      <c r="B628" s="451" t="s">
        <v>963</v>
      </c>
      <c r="C628" s="135" t="s">
        <v>1124</v>
      </c>
      <c r="D628" s="144">
        <v>0</v>
      </c>
      <c r="E628" s="144">
        <v>0</v>
      </c>
      <c r="F628" s="144">
        <v>0</v>
      </c>
      <c r="G628" s="144">
        <v>0</v>
      </c>
      <c r="H628" s="285">
        <v>0</v>
      </c>
      <c r="I628" s="507">
        <f t="shared" si="31"/>
        <v>0</v>
      </c>
    </row>
    <row r="629" spans="2:9" ht="10.5" customHeight="1" x14ac:dyDescent="0.15">
      <c r="B629" s="451" t="s">
        <v>964</v>
      </c>
      <c r="C629" s="135" t="s">
        <v>1094</v>
      </c>
      <c r="D629" s="144">
        <v>0</v>
      </c>
      <c r="E629" s="144">
        <v>0</v>
      </c>
      <c r="F629" s="144">
        <v>0</v>
      </c>
      <c r="G629" s="144">
        <v>0</v>
      </c>
      <c r="H629" s="285">
        <v>0</v>
      </c>
      <c r="I629" s="507">
        <f t="shared" si="31"/>
        <v>0</v>
      </c>
    </row>
    <row r="630" spans="2:9" ht="10.5" customHeight="1" x14ac:dyDescent="0.15">
      <c r="B630" s="451" t="s">
        <v>965</v>
      </c>
      <c r="C630" s="135" t="s">
        <v>1095</v>
      </c>
      <c r="D630" s="144">
        <v>0</v>
      </c>
      <c r="E630" s="144">
        <v>0</v>
      </c>
      <c r="F630" s="144">
        <v>0</v>
      </c>
      <c r="G630" s="144">
        <v>0</v>
      </c>
      <c r="H630" s="285">
        <v>0</v>
      </c>
      <c r="I630" s="507">
        <f t="shared" si="31"/>
        <v>0</v>
      </c>
    </row>
    <row r="631" spans="2:9" ht="10.5" customHeight="1" x14ac:dyDescent="0.15">
      <c r="B631" s="451" t="s">
        <v>885</v>
      </c>
      <c r="C631" s="135" t="s">
        <v>1096</v>
      </c>
      <c r="D631" s="144">
        <v>0</v>
      </c>
      <c r="E631" s="144">
        <v>0</v>
      </c>
      <c r="F631" s="144">
        <v>0</v>
      </c>
      <c r="G631" s="144">
        <v>0</v>
      </c>
      <c r="H631" s="285">
        <v>0</v>
      </c>
      <c r="I631" s="507">
        <f t="shared" si="31"/>
        <v>0</v>
      </c>
    </row>
    <row r="632" spans="2:9" ht="10.5" customHeight="1" x14ac:dyDescent="0.15">
      <c r="B632" s="451" t="s">
        <v>966</v>
      </c>
      <c r="C632" s="135" t="s">
        <v>1097</v>
      </c>
      <c r="D632" s="144">
        <v>0</v>
      </c>
      <c r="E632" s="144">
        <v>0</v>
      </c>
      <c r="F632" s="144">
        <v>0</v>
      </c>
      <c r="G632" s="144">
        <v>0</v>
      </c>
      <c r="H632" s="285">
        <v>0</v>
      </c>
      <c r="I632" s="507">
        <f t="shared" si="31"/>
        <v>0</v>
      </c>
    </row>
    <row r="633" spans="2:9" ht="10.5" customHeight="1" x14ac:dyDescent="0.15">
      <c r="B633" s="451" t="s">
        <v>886</v>
      </c>
      <c r="C633" s="135" t="s">
        <v>1100</v>
      </c>
      <c r="D633" s="144">
        <v>0</v>
      </c>
      <c r="E633" s="144">
        <v>0</v>
      </c>
      <c r="F633" s="144">
        <v>0</v>
      </c>
      <c r="G633" s="144">
        <v>0</v>
      </c>
      <c r="H633" s="285">
        <v>0</v>
      </c>
      <c r="I633" s="507">
        <f t="shared" si="31"/>
        <v>0</v>
      </c>
    </row>
    <row r="634" spans="2:9" ht="10.5" customHeight="1" x14ac:dyDescent="0.15">
      <c r="B634" s="451" t="s">
        <v>1137</v>
      </c>
      <c r="C634" s="135" t="s">
        <v>1101</v>
      </c>
      <c r="D634" s="144">
        <v>0</v>
      </c>
      <c r="E634" s="144">
        <v>0</v>
      </c>
      <c r="F634" s="144">
        <v>0</v>
      </c>
      <c r="G634" s="144">
        <v>0</v>
      </c>
      <c r="H634" s="285">
        <v>0</v>
      </c>
      <c r="I634" s="507">
        <f t="shared" si="31"/>
        <v>0</v>
      </c>
    </row>
    <row r="635" spans="2:9" ht="10.5" customHeight="1" x14ac:dyDescent="0.15">
      <c r="B635" s="451" t="s">
        <v>1138</v>
      </c>
      <c r="C635" s="135" t="s">
        <v>1102</v>
      </c>
      <c r="D635" s="144">
        <v>0</v>
      </c>
      <c r="E635" s="144">
        <v>0</v>
      </c>
      <c r="F635" s="144">
        <v>0</v>
      </c>
      <c r="G635" s="144">
        <v>0</v>
      </c>
      <c r="H635" s="285">
        <v>0</v>
      </c>
      <c r="I635" s="507">
        <f t="shared" si="31"/>
        <v>0</v>
      </c>
    </row>
    <row r="636" spans="2:9" ht="10.5" customHeight="1" x14ac:dyDescent="0.15">
      <c r="B636" s="451" t="s">
        <v>1098</v>
      </c>
      <c r="C636" s="135" t="s">
        <v>1353</v>
      </c>
      <c r="D636" s="144">
        <v>0</v>
      </c>
      <c r="E636" s="144">
        <v>0</v>
      </c>
      <c r="F636" s="144">
        <v>0</v>
      </c>
      <c r="G636" s="144">
        <v>0</v>
      </c>
      <c r="H636" s="285">
        <v>0</v>
      </c>
      <c r="I636" s="507">
        <f t="shared" si="31"/>
        <v>0</v>
      </c>
    </row>
    <row r="637" spans="2:9" ht="10.5" customHeight="1" x14ac:dyDescent="0.15">
      <c r="B637" s="451" t="s">
        <v>1099</v>
      </c>
      <c r="C637" s="135" t="s">
        <v>1354</v>
      </c>
      <c r="D637" s="144">
        <v>0</v>
      </c>
      <c r="E637" s="144">
        <v>0</v>
      </c>
      <c r="F637" s="144">
        <v>0</v>
      </c>
      <c r="G637" s="144">
        <v>0</v>
      </c>
      <c r="H637" s="285">
        <v>0</v>
      </c>
      <c r="I637" s="507">
        <f t="shared" si="31"/>
        <v>0</v>
      </c>
    </row>
    <row r="638" spans="2:9" ht="10.5" customHeight="1" x14ac:dyDescent="0.15">
      <c r="B638" s="451" t="s">
        <v>1355</v>
      </c>
      <c r="C638" s="135" t="s">
        <v>1356</v>
      </c>
      <c r="D638" s="144">
        <v>0</v>
      </c>
      <c r="E638" s="144">
        <v>0</v>
      </c>
      <c r="F638" s="144">
        <v>0</v>
      </c>
      <c r="G638" s="144">
        <v>0</v>
      </c>
      <c r="H638" s="285">
        <v>0</v>
      </c>
      <c r="I638" s="507">
        <f t="shared" si="31"/>
        <v>0</v>
      </c>
    </row>
    <row r="639" spans="2:9" ht="10.5" customHeight="1" x14ac:dyDescent="0.15">
      <c r="B639" s="451" t="s">
        <v>116</v>
      </c>
      <c r="C639" s="135" t="s">
        <v>1105</v>
      </c>
      <c r="D639" s="144">
        <v>0</v>
      </c>
      <c r="E639" s="144">
        <v>0</v>
      </c>
      <c r="F639" s="144">
        <v>0</v>
      </c>
      <c r="G639" s="144">
        <v>0</v>
      </c>
      <c r="H639" s="285">
        <v>0</v>
      </c>
      <c r="I639" s="507">
        <f t="shared" si="31"/>
        <v>0</v>
      </c>
    </row>
    <row r="640" spans="2:9" ht="10.5" customHeight="1" x14ac:dyDescent="0.15">
      <c r="B640" s="451" t="s">
        <v>1139</v>
      </c>
      <c r="C640" s="135" t="s">
        <v>1109</v>
      </c>
      <c r="D640" s="144">
        <v>0</v>
      </c>
      <c r="E640" s="144">
        <v>0</v>
      </c>
      <c r="F640" s="144">
        <v>0</v>
      </c>
      <c r="G640" s="144">
        <v>0</v>
      </c>
      <c r="H640" s="285">
        <v>0</v>
      </c>
      <c r="I640" s="507">
        <f t="shared" si="31"/>
        <v>0</v>
      </c>
    </row>
    <row r="641" spans="1:9" ht="10.5" customHeight="1" x14ac:dyDescent="0.15">
      <c r="B641" s="451" t="s">
        <v>112</v>
      </c>
      <c r="C641" s="135" t="s">
        <v>1110</v>
      </c>
      <c r="D641" s="144">
        <v>0</v>
      </c>
      <c r="E641" s="144">
        <v>0</v>
      </c>
      <c r="F641" s="144">
        <v>0</v>
      </c>
      <c r="G641" s="144">
        <v>0</v>
      </c>
      <c r="H641" s="285">
        <v>0</v>
      </c>
      <c r="I641" s="507">
        <f t="shared" si="31"/>
        <v>0</v>
      </c>
    </row>
    <row r="642" spans="1:9" ht="10.5" customHeight="1" x14ac:dyDescent="0.15">
      <c r="B642" s="451" t="s">
        <v>887</v>
      </c>
      <c r="C642" s="135" t="s">
        <v>1116</v>
      </c>
      <c r="D642" s="144">
        <v>0</v>
      </c>
      <c r="E642" s="144">
        <v>0</v>
      </c>
      <c r="F642" s="144">
        <v>0</v>
      </c>
      <c r="G642" s="144">
        <v>0</v>
      </c>
      <c r="H642" s="285">
        <v>0</v>
      </c>
      <c r="I642" s="507">
        <f t="shared" si="31"/>
        <v>0</v>
      </c>
    </row>
    <row r="643" spans="1:9" ht="10.5" customHeight="1" x14ac:dyDescent="0.15">
      <c r="B643" s="451" t="s">
        <v>1112</v>
      </c>
      <c r="C643" s="135" t="s">
        <v>1117</v>
      </c>
      <c r="D643" s="144">
        <v>0</v>
      </c>
      <c r="E643" s="144">
        <v>0</v>
      </c>
      <c r="F643" s="144">
        <v>0</v>
      </c>
      <c r="G643" s="144">
        <v>0</v>
      </c>
      <c r="H643" s="285">
        <v>0</v>
      </c>
      <c r="I643" s="507">
        <f t="shared" si="31"/>
        <v>0</v>
      </c>
    </row>
    <row r="644" spans="1:9" ht="10.5" customHeight="1" x14ac:dyDescent="0.15">
      <c r="B644" s="451" t="s">
        <v>1113</v>
      </c>
      <c r="C644" s="135" t="s">
        <v>1118</v>
      </c>
      <c r="D644" s="144">
        <v>0</v>
      </c>
      <c r="E644" s="144">
        <v>0</v>
      </c>
      <c r="F644" s="144">
        <v>0</v>
      </c>
      <c r="G644" s="144">
        <v>0</v>
      </c>
      <c r="H644" s="285">
        <v>0</v>
      </c>
      <c r="I644" s="507">
        <f t="shared" si="31"/>
        <v>0</v>
      </c>
    </row>
    <row r="645" spans="1:9" ht="10.5" customHeight="1" thickBot="1" x14ac:dyDescent="0.2">
      <c r="B645" s="451" t="s">
        <v>1114</v>
      </c>
      <c r="C645" s="135" t="s">
        <v>1119</v>
      </c>
      <c r="D645" s="144">
        <v>0</v>
      </c>
      <c r="E645" s="144">
        <v>0</v>
      </c>
      <c r="F645" s="144">
        <v>0</v>
      </c>
      <c r="G645" s="144">
        <v>0</v>
      </c>
      <c r="H645" s="285">
        <v>0</v>
      </c>
      <c r="I645" s="507">
        <f t="shared" si="31"/>
        <v>0</v>
      </c>
    </row>
    <row r="646" spans="1:9" ht="10.5" customHeight="1" thickTop="1" thickBot="1" x14ac:dyDescent="0.2">
      <c r="B646" s="451"/>
      <c r="C646" s="135" t="s">
        <v>152</v>
      </c>
      <c r="D646" s="166">
        <f>SUM(D616:D645)</f>
        <v>0</v>
      </c>
      <c r="E646" s="166">
        <f>SUM(E616:E645)</f>
        <v>0</v>
      </c>
      <c r="F646" s="166">
        <f>SUM(F616:F645)</f>
        <v>0</v>
      </c>
      <c r="G646" s="166">
        <f>SUM(G616:G645)</f>
        <v>0</v>
      </c>
      <c r="H646" s="166">
        <f>SUM(H616:H645)</f>
        <v>0</v>
      </c>
      <c r="I646" s="166">
        <f>G646+H646</f>
        <v>0</v>
      </c>
    </row>
    <row r="647" spans="1:9" ht="10.5" customHeight="1" thickTop="1" thickBot="1" x14ac:dyDescent="0.2">
      <c r="B647" s="135"/>
      <c r="C647" s="135"/>
      <c r="D647" s="14"/>
      <c r="E647" s="14"/>
      <c r="F647" s="14"/>
      <c r="G647" s="14"/>
      <c r="H647" s="195"/>
      <c r="I647" s="167"/>
    </row>
    <row r="648" spans="1:9" ht="10.5" customHeight="1" thickTop="1" thickBot="1" x14ac:dyDescent="0.2">
      <c r="B648" s="135" t="s">
        <v>806</v>
      </c>
      <c r="D648" s="166">
        <f>D44+D81+D118+D149+D249+D280+D343+D382+D413+D474+D505+D528+D551+D582+D613+D646</f>
        <v>0</v>
      </c>
      <c r="E648" s="166">
        <f>E44+E81+E118+E149+E249+E280+E343+E382+E413+E474+E505+E528+E551+E582+E613+E646</f>
        <v>0</v>
      </c>
      <c r="F648" s="166">
        <f>F44+F81+F118+F149+F249+F280+F343+F382+F413+F474+F505+F528+F551+F582+F613+F646</f>
        <v>0</v>
      </c>
      <c r="G648" s="166">
        <f>G44+G81+G118+G149+G249+G280+G343+G382+G413+G474+G505+G528+G551+G582+G613+G646</f>
        <v>0</v>
      </c>
      <c r="H648" s="166">
        <f>H44+H81+H118+H149+H249+H280+H343+H382+H413+H474+H505+H528+H551+H582+H613+H646</f>
        <v>0</v>
      </c>
      <c r="I648" s="166">
        <f>G648+H648</f>
        <v>0</v>
      </c>
    </row>
    <row r="649" spans="1:9" ht="10.5" customHeight="1" thickTop="1" thickBot="1" x14ac:dyDescent="0.2">
      <c r="D649" s="430"/>
      <c r="E649" s="430"/>
      <c r="F649" s="430"/>
      <c r="G649" s="430"/>
      <c r="H649" s="430"/>
      <c r="I649" s="156"/>
    </row>
    <row r="650" spans="1:9" ht="10.5" customHeight="1" thickTop="1" thickBot="1" x14ac:dyDescent="0.2">
      <c r="B650" s="442" t="s">
        <v>1189</v>
      </c>
      <c r="D650" s="166">
        <f>CharterFundExp!D1074+CharterFundExp2!D648</f>
        <v>0</v>
      </c>
      <c r="E650" s="166">
        <f>CharterFundExp!E1074+CharterFundExp2!E648</f>
        <v>0</v>
      </c>
      <c r="F650" s="166">
        <f>CharterFundExp!F1074+CharterFundExp2!F648</f>
        <v>0</v>
      </c>
      <c r="G650" s="166">
        <f>CharterFundExp!G1074+CharterFundExp2!G648</f>
        <v>0</v>
      </c>
      <c r="H650" s="166">
        <f>CharterFundExp!H1074+CharterFundExp2!H648</f>
        <v>0</v>
      </c>
      <c r="I650" s="166">
        <f>G650+H650</f>
        <v>0</v>
      </c>
    </row>
    <row r="651" spans="1:9" ht="10.5" customHeight="1" thickTop="1" x14ac:dyDescent="0.15">
      <c r="D651" s="430"/>
      <c r="E651" s="430"/>
      <c r="F651" s="430"/>
      <c r="G651" s="430"/>
      <c r="H651" s="430"/>
      <c r="I651" s="156"/>
    </row>
    <row r="652" spans="1:9" ht="10.5" customHeight="1" x14ac:dyDescent="0.15">
      <c r="A652" s="438" t="s">
        <v>1294</v>
      </c>
      <c r="D652" s="430"/>
      <c r="E652" s="430"/>
      <c r="F652" s="430"/>
      <c r="G652" s="430"/>
      <c r="H652" s="430"/>
      <c r="I652" s="156"/>
    </row>
    <row r="653" spans="1:9" ht="10.5" customHeight="1" x14ac:dyDescent="0.15">
      <c r="A653" s="442" t="s">
        <v>210</v>
      </c>
      <c r="D653" s="144">
        <v>0</v>
      </c>
      <c r="E653" s="144">
        <v>0</v>
      </c>
      <c r="F653" s="144">
        <v>0</v>
      </c>
      <c r="G653" s="144">
        <v>0</v>
      </c>
      <c r="H653" s="285">
        <v>0</v>
      </c>
      <c r="I653" s="507">
        <f>SUM(G653+H653)</f>
        <v>0</v>
      </c>
    </row>
    <row r="654" spans="1:9" ht="10.5" customHeight="1" x14ac:dyDescent="0.15">
      <c r="A654" s="442" t="s">
        <v>206</v>
      </c>
      <c r="C654" s="135"/>
      <c r="I654" s="164"/>
    </row>
    <row r="655" spans="1:9" ht="10.5" customHeight="1" x14ac:dyDescent="0.15">
      <c r="B655" s="441" t="s">
        <v>1323</v>
      </c>
      <c r="C655" s="135" t="s">
        <v>1302</v>
      </c>
      <c r="D655" s="144">
        <v>0</v>
      </c>
      <c r="E655" s="144">
        <v>0</v>
      </c>
      <c r="F655" s="144">
        <v>0</v>
      </c>
      <c r="G655" s="144">
        <v>0</v>
      </c>
      <c r="H655" s="285">
        <v>0</v>
      </c>
      <c r="I655" s="507">
        <f>SUM(G655+H655)</f>
        <v>0</v>
      </c>
    </row>
    <row r="656" spans="1:9" ht="10.5" customHeight="1" x14ac:dyDescent="0.15">
      <c r="B656" s="441" t="s">
        <v>1322</v>
      </c>
      <c r="C656" s="135" t="s">
        <v>1303</v>
      </c>
      <c r="D656" s="158">
        <v>0</v>
      </c>
      <c r="E656" s="158">
        <v>0</v>
      </c>
      <c r="F656" s="158">
        <v>0</v>
      </c>
      <c r="G656" s="158">
        <v>0</v>
      </c>
      <c r="H656" s="285">
        <v>0</v>
      </c>
      <c r="I656" s="507">
        <f>SUM(G656+H656)</f>
        <v>0</v>
      </c>
    </row>
    <row r="657" spans="1:11" ht="10.5" customHeight="1" x14ac:dyDescent="0.15">
      <c r="A657" s="427" t="s">
        <v>300</v>
      </c>
      <c r="B657" s="441"/>
      <c r="C657" s="135"/>
      <c r="D657" s="158"/>
      <c r="E657" s="158"/>
      <c r="F657" s="158"/>
      <c r="G657" s="158"/>
      <c r="H657" s="285"/>
      <c r="I657" s="507"/>
    </row>
    <row r="658" spans="1:11" ht="10.5" customHeight="1" thickBot="1" x14ac:dyDescent="0.2">
      <c r="B658" s="441"/>
      <c r="C658" s="561" t="s">
        <v>301</v>
      </c>
      <c r="D658" s="564">
        <f>+CharterFundRev!D112+CharterFundRev!D116+CharterFundRev!D117+CharterFundRev!D118</f>
        <v>0</v>
      </c>
      <c r="E658" s="564">
        <f>+CharterFundRev!E112+CharterFundRev!E116+CharterFundRev!E117+CharterFundRev!E118</f>
        <v>0</v>
      </c>
      <c r="F658" s="564">
        <f>+CharterFundRev!F112+CharterFundRev!F116+CharterFundRev!F117+CharterFundRev!F118</f>
        <v>0</v>
      </c>
      <c r="G658" s="564">
        <f>+CharterFundRev!G112+CharterFundRev!G116+CharterFundRev!G117+CharterFundRev!G118</f>
        <v>0</v>
      </c>
      <c r="H658" s="564">
        <f>+CharterFundRev!H112+CharterFundRev!H116+CharterFundRev!H117+CharterFundRev!H118</f>
        <v>0</v>
      </c>
      <c r="I658" s="564">
        <f>+CharterFundRev!I112+CharterFundRev!I116+CharterFundRev!I117+CharterFundRev!I118</f>
        <v>0</v>
      </c>
    </row>
    <row r="659" spans="1:11" ht="10.5" customHeight="1" thickTop="1" thickBot="1" x14ac:dyDescent="0.2">
      <c r="A659" s="442"/>
      <c r="C659" s="135" t="s">
        <v>672</v>
      </c>
      <c r="D659" s="170">
        <f>SUM(D653:D658)</f>
        <v>0</v>
      </c>
      <c r="E659" s="170">
        <f>SUM(E653:E658)</f>
        <v>0</v>
      </c>
      <c r="F659" s="170">
        <f>SUM(F653:F658)</f>
        <v>0</v>
      </c>
      <c r="G659" s="170">
        <f>SUM(G653:G658)</f>
        <v>0</v>
      </c>
      <c r="H659" s="170">
        <f>SUM(H653:H658)</f>
        <v>0</v>
      </c>
      <c r="I659" s="170">
        <f>G659+H659</f>
        <v>0</v>
      </c>
      <c r="K659" s="634"/>
    </row>
    <row r="660" spans="1:11" ht="10.5" customHeight="1" thickTop="1" thickBot="1" x14ac:dyDescent="0.2">
      <c r="A660" s="442"/>
      <c r="C660" s="135"/>
      <c r="D660" s="14"/>
      <c r="E660" s="14"/>
      <c r="F660" s="14"/>
      <c r="G660" s="14"/>
      <c r="I660" s="164"/>
      <c r="K660" s="635"/>
    </row>
    <row r="661" spans="1:11" ht="10.5" customHeight="1" thickTop="1" thickBot="1" x14ac:dyDescent="0.2">
      <c r="B661" s="442" t="s">
        <v>207</v>
      </c>
      <c r="D661" s="170">
        <f>D650+D659</f>
        <v>0</v>
      </c>
      <c r="E661" s="170">
        <f>E650+E659</f>
        <v>0</v>
      </c>
      <c r="F661" s="170">
        <f>F650+F659</f>
        <v>0</v>
      </c>
      <c r="G661" s="170">
        <f>G650+G659</f>
        <v>0</v>
      </c>
      <c r="H661" s="170">
        <f>H650+H659</f>
        <v>0</v>
      </c>
      <c r="I661" s="170">
        <f>G661+H661</f>
        <v>0</v>
      </c>
    </row>
    <row r="662" spans="1:11" ht="10.5" customHeight="1" thickTop="1" x14ac:dyDescent="0.15">
      <c r="D662" s="430"/>
      <c r="E662" s="430"/>
      <c r="F662" s="430"/>
      <c r="G662" s="430"/>
      <c r="H662" s="430"/>
      <c r="I662" s="156"/>
    </row>
    <row r="663" spans="1:11" ht="10.5" customHeight="1" x14ac:dyDescent="0.15">
      <c r="A663" s="484" t="s">
        <v>1048</v>
      </c>
      <c r="C663" s="485" t="s">
        <v>211</v>
      </c>
      <c r="D663" s="430"/>
      <c r="E663" s="430"/>
      <c r="F663" s="430"/>
      <c r="G663" s="430"/>
      <c r="H663" s="430"/>
      <c r="I663" s="156"/>
    </row>
    <row r="664" spans="1:11" ht="10.5" customHeight="1" x14ac:dyDescent="0.15">
      <c r="A664" s="486" t="s">
        <v>827</v>
      </c>
      <c r="C664" s="135" t="s">
        <v>821</v>
      </c>
      <c r="D664" s="40">
        <v>0</v>
      </c>
      <c r="E664" s="40">
        <v>0</v>
      </c>
      <c r="F664" s="40">
        <v>0</v>
      </c>
      <c r="G664" s="40">
        <v>0</v>
      </c>
      <c r="H664" s="285">
        <v>0</v>
      </c>
      <c r="I664" s="507">
        <f>SUM(G664+H664)</f>
        <v>0</v>
      </c>
    </row>
    <row r="665" spans="1:11" ht="10.5" customHeight="1" x14ac:dyDescent="0.15">
      <c r="A665" s="627" t="s">
        <v>1394</v>
      </c>
      <c r="C665" s="135" t="s">
        <v>822</v>
      </c>
      <c r="D665" s="40">
        <v>0</v>
      </c>
      <c r="E665" s="40">
        <v>0</v>
      </c>
      <c r="F665" s="40">
        <v>0</v>
      </c>
      <c r="G665" s="40">
        <v>0</v>
      </c>
      <c r="H665" s="285">
        <v>0</v>
      </c>
      <c r="I665" s="507">
        <f>SUM(G665+H665)</f>
        <v>0</v>
      </c>
    </row>
    <row r="666" spans="1:11" ht="10.5" customHeight="1" x14ac:dyDescent="0.15">
      <c r="A666" s="627" t="s">
        <v>1395</v>
      </c>
      <c r="C666" s="135" t="s">
        <v>823</v>
      </c>
      <c r="D666" s="40">
        <v>0</v>
      </c>
      <c r="E666" s="40">
        <v>0</v>
      </c>
      <c r="F666" s="40">
        <v>0</v>
      </c>
      <c r="G666" s="40">
        <v>0</v>
      </c>
      <c r="H666" s="285">
        <v>0</v>
      </c>
      <c r="I666" s="507">
        <f>SUM(G666+H666)</f>
        <v>0</v>
      </c>
    </row>
    <row r="667" spans="1:11" ht="10.5" customHeight="1" x14ac:dyDescent="0.15">
      <c r="A667" s="628" t="s">
        <v>1396</v>
      </c>
      <c r="C667" s="625" t="s">
        <v>1397</v>
      </c>
      <c r="D667" s="40">
        <v>0</v>
      </c>
      <c r="E667" s="40">
        <v>0</v>
      </c>
      <c r="F667" s="40">
        <v>0</v>
      </c>
      <c r="G667" s="40">
        <v>0</v>
      </c>
      <c r="H667" s="285">
        <v>0</v>
      </c>
      <c r="I667" s="507">
        <f>SUM(G667+H667)</f>
        <v>0</v>
      </c>
    </row>
    <row r="668" spans="1:11" ht="10.5" customHeight="1" thickBot="1" x14ac:dyDescent="0.2">
      <c r="A668" s="486" t="s">
        <v>831</v>
      </c>
      <c r="C668" s="135" t="s">
        <v>825</v>
      </c>
      <c r="D668" s="147">
        <v>0</v>
      </c>
      <c r="E668" s="147">
        <v>0</v>
      </c>
      <c r="F668" s="147">
        <v>0</v>
      </c>
      <c r="G668" s="147">
        <v>0</v>
      </c>
      <c r="H668" s="285">
        <v>0</v>
      </c>
      <c r="I668" s="507">
        <f>SUM(G668+H668)</f>
        <v>0</v>
      </c>
    </row>
    <row r="669" spans="1:11" ht="10.5" customHeight="1" thickTop="1" thickBot="1" x14ac:dyDescent="0.2">
      <c r="A669" s="487"/>
      <c r="C669" s="135" t="s">
        <v>202</v>
      </c>
      <c r="D669" s="166">
        <f>SUM(D664:D668)</f>
        <v>0</v>
      </c>
      <c r="E669" s="166">
        <f>SUM(E664:E668)</f>
        <v>0</v>
      </c>
      <c r="F669" s="166">
        <f>SUM(F664:F668)</f>
        <v>0</v>
      </c>
      <c r="G669" s="166">
        <f>SUM(G664:G668)</f>
        <v>0</v>
      </c>
      <c r="H669" s="166">
        <f>SUM(H664:H668)</f>
        <v>0</v>
      </c>
      <c r="I669" s="166">
        <f>G669+H669</f>
        <v>0</v>
      </c>
    </row>
    <row r="670" spans="1:11" ht="10.5" customHeight="1" thickTop="1" thickBot="1" x14ac:dyDescent="0.2">
      <c r="A670" s="487"/>
      <c r="C670" s="135"/>
      <c r="D670" s="430"/>
      <c r="E670" s="430"/>
      <c r="F670" s="430"/>
      <c r="G670" s="430"/>
      <c r="H670" s="14"/>
      <c r="I670" s="491"/>
    </row>
    <row r="671" spans="1:11" ht="10.5" customHeight="1" thickBot="1" x14ac:dyDescent="0.2">
      <c r="B671" s="442" t="s">
        <v>201</v>
      </c>
      <c r="D671" s="168">
        <f>D661+D669</f>
        <v>0</v>
      </c>
      <c r="E671" s="168">
        <f>E661+E669</f>
        <v>0</v>
      </c>
      <c r="F671" s="168">
        <f>F661+F669</f>
        <v>0</v>
      </c>
      <c r="G671" s="168">
        <f>G661+G669</f>
        <v>0</v>
      </c>
      <c r="H671" s="168">
        <f>H661+H669</f>
        <v>0</v>
      </c>
      <c r="I671" s="168">
        <f>G671+H671</f>
        <v>0</v>
      </c>
    </row>
    <row r="672" spans="1:11" ht="10.5" customHeight="1" x14ac:dyDescent="0.15">
      <c r="A672" s="487"/>
      <c r="C672" s="135" t="s">
        <v>203</v>
      </c>
      <c r="D672" s="430"/>
      <c r="E672" s="430"/>
      <c r="F672" s="430"/>
      <c r="G672" s="430"/>
      <c r="H672" s="14"/>
      <c r="I672" s="491"/>
    </row>
    <row r="673" spans="1:9" ht="10.5" customHeight="1" x14ac:dyDescent="0.15">
      <c r="A673" s="487"/>
      <c r="C673" s="135"/>
      <c r="D673" s="430"/>
      <c r="E673" s="430"/>
      <c r="F673" s="430"/>
      <c r="G673" s="430"/>
      <c r="H673" s="14"/>
      <c r="I673" s="491"/>
    </row>
    <row r="674" spans="1:9" ht="10.5" customHeight="1" x14ac:dyDescent="0.15">
      <c r="C674" s="485" t="s">
        <v>212</v>
      </c>
      <c r="D674" s="430"/>
      <c r="E674" s="430"/>
      <c r="F674" s="430"/>
      <c r="G674" s="430"/>
      <c r="H674" s="14"/>
      <c r="I674" s="491"/>
    </row>
    <row r="675" spans="1:9" x14ac:dyDescent="0.15">
      <c r="A675" s="441" t="s">
        <v>115</v>
      </c>
      <c r="C675" s="440" t="s">
        <v>809</v>
      </c>
      <c r="D675" s="40">
        <v>0</v>
      </c>
      <c r="E675" s="40">
        <v>0</v>
      </c>
      <c r="F675" s="40">
        <v>0</v>
      </c>
      <c r="G675" s="40">
        <v>0</v>
      </c>
      <c r="H675" s="40">
        <v>0</v>
      </c>
      <c r="I675" s="492">
        <f>G675+H675</f>
        <v>0</v>
      </c>
    </row>
    <row r="676" spans="1:9" ht="10.5" customHeight="1" thickBot="1" x14ac:dyDescent="0.2">
      <c r="C676" s="488" t="s">
        <v>808</v>
      </c>
      <c r="I676" s="164"/>
    </row>
    <row r="677" spans="1:9" ht="10.5" customHeight="1" thickBot="1" x14ac:dyDescent="0.2">
      <c r="B677" s="442" t="s">
        <v>208</v>
      </c>
      <c r="D677" s="208">
        <f>D671+D675</f>
        <v>0</v>
      </c>
      <c r="E677" s="208">
        <f>E671+E675</f>
        <v>0</v>
      </c>
      <c r="F677" s="208">
        <f>F671+F675</f>
        <v>0</v>
      </c>
      <c r="G677" s="208">
        <f>G671+G675</f>
        <v>0</v>
      </c>
      <c r="H677" s="208">
        <f>H671+H675</f>
        <v>0</v>
      </c>
      <c r="I677" s="208">
        <f>G677+H677</f>
        <v>0</v>
      </c>
    </row>
    <row r="678" spans="1:9" ht="10.5" customHeight="1" thickBot="1" x14ac:dyDescent="0.2">
      <c r="C678" s="135"/>
      <c r="D678" s="430"/>
      <c r="E678" s="430"/>
      <c r="F678" s="430"/>
      <c r="G678" s="430"/>
      <c r="H678" s="14"/>
      <c r="I678" s="491"/>
    </row>
    <row r="679" spans="1:9" ht="10.5" customHeight="1" thickTop="1" thickBot="1" x14ac:dyDescent="0.2">
      <c r="C679" s="490" t="s">
        <v>204</v>
      </c>
      <c r="D679" s="170">
        <f>CharterFundRev!D109</f>
        <v>0</v>
      </c>
      <c r="E679" s="170">
        <f>CharterFundRev!E109</f>
        <v>0</v>
      </c>
      <c r="F679" s="170">
        <f>CharterFundRev!F109</f>
        <v>0</v>
      </c>
      <c r="G679" s="170">
        <f>CharterFundRev!G109</f>
        <v>0</v>
      </c>
      <c r="H679" s="170">
        <f>CharterFundRev!H109</f>
        <v>0</v>
      </c>
      <c r="I679" s="170">
        <f>G679+H679</f>
        <v>0</v>
      </c>
    </row>
    <row r="680" spans="1:9" ht="10.5" customHeight="1" thickTop="1" x14ac:dyDescent="0.15">
      <c r="D680" s="8"/>
      <c r="E680" s="8"/>
      <c r="F680" s="8"/>
      <c r="G680" s="8"/>
      <c r="H680" s="195"/>
      <c r="I680" s="167"/>
    </row>
    <row r="681" spans="1:9" ht="10.5" customHeight="1" x14ac:dyDescent="0.15">
      <c r="C681" s="490" t="s">
        <v>205</v>
      </c>
      <c r="D681" s="164">
        <f>D677-D679</f>
        <v>0</v>
      </c>
      <c r="E681" s="164">
        <f>E677-E679</f>
        <v>0</v>
      </c>
      <c r="F681" s="164">
        <f>F677-F679</f>
        <v>0</v>
      </c>
      <c r="G681" s="164">
        <f>G677-G679</f>
        <v>0</v>
      </c>
      <c r="H681" s="164">
        <f>H677-H679</f>
        <v>0</v>
      </c>
      <c r="I681" s="164">
        <f>G681+H681</f>
        <v>0</v>
      </c>
    </row>
    <row r="682" spans="1:9" ht="10.5" customHeight="1" x14ac:dyDescent="0.15">
      <c r="I682" s="164"/>
    </row>
    <row r="683" spans="1:9" ht="10.5" customHeight="1" x14ac:dyDescent="0.15">
      <c r="I683" s="164"/>
    </row>
    <row r="684" spans="1:9" ht="10.5" customHeight="1" x14ac:dyDescent="0.15">
      <c r="C684" s="135"/>
    </row>
  </sheetData>
  <sheetProtection password="CB03" sheet="1" objects="1" scenarios="1" formatCells="0" formatColumns="0" formatRows="0"/>
  <phoneticPr fontId="15" type="noConversion"/>
  <pageMargins left="0.75" right="0.75" top="1" bottom="1" header="0.5" footer="0.5"/>
  <pageSetup scale="63" fitToHeight="0" orientation="portrait" r:id="rId1"/>
  <headerFooter alignWithMargins="0">
    <oddFooter>&amp;LCDE, Public Scool Finance Unit&amp;C&amp;P&amp;R&amp;D</oddFooter>
  </headerFooter>
  <rowBreaks count="4" manualBreakCount="4">
    <brk id="82" max="16383" man="1"/>
    <brk id="250" max="16383" man="1"/>
    <brk id="383" max="16383" man="1"/>
    <brk id="50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I62"/>
  <sheetViews>
    <sheetView workbookViewId="0">
      <selection activeCell="A2" sqref="A2"/>
    </sheetView>
  </sheetViews>
  <sheetFormatPr defaultRowHeight="10.5" x14ac:dyDescent="0.15"/>
  <cols>
    <col min="1" max="1" width="9" style="412" customWidth="1"/>
    <col min="2" max="2" width="4.83203125" style="412" customWidth="1"/>
    <col min="3" max="3" width="70.83203125" style="412" customWidth="1"/>
    <col min="4" max="4" width="15.83203125" style="412" customWidth="1"/>
    <col min="5" max="6" width="17.6640625" style="412" customWidth="1"/>
    <col min="7" max="7" width="15.83203125" style="412" customWidth="1"/>
    <col min="8" max="8" width="15.1640625" style="412" customWidth="1"/>
    <col min="9" max="9" width="17.33203125" style="412" customWidth="1"/>
    <col min="10" max="16384" width="9.33203125" style="412"/>
  </cols>
  <sheetData>
    <row r="1" spans="1:9" x14ac:dyDescent="0.15">
      <c r="A1" s="412" t="s">
        <v>1044</v>
      </c>
      <c r="C1" s="135">
        <f>+'Page 1 - FY2016-17'!B5</f>
        <v>0</v>
      </c>
      <c r="D1" s="412" t="s">
        <v>889</v>
      </c>
      <c r="E1" s="415">
        <f>+'Page 1 - FY2016-17'!F7</f>
        <v>0</v>
      </c>
      <c r="G1" s="418" t="s">
        <v>891</v>
      </c>
    </row>
    <row r="2" spans="1:9" x14ac:dyDescent="0.15">
      <c r="A2" s="445" t="s">
        <v>1045</v>
      </c>
    </row>
    <row r="3" spans="1:9" ht="42" x14ac:dyDescent="0.15">
      <c r="A3" s="445"/>
      <c r="D3" s="580" t="s">
        <v>1607</v>
      </c>
      <c r="E3" s="580" t="s">
        <v>1606</v>
      </c>
      <c r="F3" s="580" t="s">
        <v>1605</v>
      </c>
      <c r="G3" s="580" t="s">
        <v>1604</v>
      </c>
      <c r="H3" s="580" t="s">
        <v>1603</v>
      </c>
      <c r="I3" s="580" t="s">
        <v>1602</v>
      </c>
    </row>
    <row r="4" spans="1:9" ht="52.5" x14ac:dyDescent="0.15">
      <c r="A4" s="445"/>
      <c r="D4" s="424"/>
      <c r="E4" s="424"/>
      <c r="F4" s="424"/>
      <c r="G4" s="424"/>
      <c r="H4" s="713" t="s">
        <v>1541</v>
      </c>
      <c r="I4" s="715" t="s">
        <v>1516</v>
      </c>
    </row>
    <row r="5" spans="1:9" ht="11.25" thickBot="1" x14ac:dyDescent="0.2">
      <c r="D5" s="424"/>
      <c r="E5" s="424"/>
      <c r="F5" s="424"/>
      <c r="G5" s="424"/>
      <c r="I5" s="164"/>
    </row>
    <row r="6" spans="1:9" ht="11.25" thickBot="1" x14ac:dyDescent="0.2">
      <c r="A6" s="442" t="s">
        <v>1132</v>
      </c>
      <c r="B6" s="442" t="s">
        <v>892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168">
        <f>G6+H6</f>
        <v>0</v>
      </c>
    </row>
    <row r="7" spans="1:9" x14ac:dyDescent="0.15">
      <c r="A7" s="508" t="s">
        <v>895</v>
      </c>
      <c r="C7" s="485" t="s">
        <v>1133</v>
      </c>
      <c r="E7" s="430"/>
      <c r="F7" s="430"/>
      <c r="G7" s="430"/>
      <c r="I7" s="164"/>
    </row>
    <row r="8" spans="1:9" x14ac:dyDescent="0.15">
      <c r="A8" s="135" t="s">
        <v>898</v>
      </c>
      <c r="B8" s="441" t="s">
        <v>560</v>
      </c>
      <c r="C8" s="135" t="s">
        <v>1143</v>
      </c>
      <c r="D8" s="40">
        <v>0</v>
      </c>
      <c r="E8" s="40">
        <v>0</v>
      </c>
      <c r="F8" s="40">
        <v>0</v>
      </c>
      <c r="G8" s="40">
        <v>0</v>
      </c>
      <c r="H8" s="462">
        <v>0</v>
      </c>
      <c r="I8" s="492">
        <f>SUM(G8+H8)</f>
        <v>0</v>
      </c>
    </row>
    <row r="9" spans="1:9" x14ac:dyDescent="0.15">
      <c r="A9" s="135" t="s">
        <v>899</v>
      </c>
      <c r="B9" s="441" t="s">
        <v>561</v>
      </c>
      <c r="C9" s="135" t="s">
        <v>1192</v>
      </c>
      <c r="D9" s="40">
        <v>0</v>
      </c>
      <c r="E9" s="40">
        <v>0</v>
      </c>
      <c r="F9" s="40">
        <v>0</v>
      </c>
      <c r="G9" s="40">
        <v>0</v>
      </c>
      <c r="H9" s="462">
        <v>0</v>
      </c>
      <c r="I9" s="492">
        <f t="shared" ref="I9:I14" si="0">SUM(G9+H9)</f>
        <v>0</v>
      </c>
    </row>
    <row r="10" spans="1:9" x14ac:dyDescent="0.15">
      <c r="A10" s="135" t="s">
        <v>905</v>
      </c>
      <c r="B10" s="441" t="s">
        <v>562</v>
      </c>
      <c r="C10" s="135" t="s">
        <v>1332</v>
      </c>
      <c r="D10" s="40">
        <v>0</v>
      </c>
      <c r="E10" s="40">
        <v>0</v>
      </c>
      <c r="F10" s="40">
        <v>0</v>
      </c>
      <c r="G10" s="40">
        <v>0</v>
      </c>
      <c r="H10" s="462">
        <v>0</v>
      </c>
      <c r="I10" s="492">
        <f t="shared" si="0"/>
        <v>0</v>
      </c>
    </row>
    <row r="11" spans="1:9" x14ac:dyDescent="0.15">
      <c r="A11" s="135" t="s">
        <v>1035</v>
      </c>
      <c r="B11" s="441" t="s">
        <v>625</v>
      </c>
      <c r="C11" s="135" t="s">
        <v>1341</v>
      </c>
      <c r="D11" s="40">
        <v>0</v>
      </c>
      <c r="E11" s="40">
        <v>0</v>
      </c>
      <c r="F11" s="40">
        <v>0</v>
      </c>
      <c r="G11" s="40">
        <v>0</v>
      </c>
      <c r="H11" s="462">
        <v>0</v>
      </c>
      <c r="I11" s="492">
        <f t="shared" si="0"/>
        <v>0</v>
      </c>
    </row>
    <row r="12" spans="1:9" x14ac:dyDescent="0.15">
      <c r="A12" s="414" t="s">
        <v>1043</v>
      </c>
      <c r="B12" s="441" t="s">
        <v>626</v>
      </c>
      <c r="C12" s="2" t="s">
        <v>303</v>
      </c>
      <c r="D12" s="40">
        <v>0</v>
      </c>
      <c r="E12" s="40">
        <v>0</v>
      </c>
      <c r="F12" s="40">
        <v>0</v>
      </c>
      <c r="G12" s="40">
        <v>0</v>
      </c>
      <c r="H12" s="462">
        <v>0</v>
      </c>
      <c r="I12" s="492">
        <f t="shared" si="0"/>
        <v>0</v>
      </c>
    </row>
    <row r="13" spans="1:9" x14ac:dyDescent="0.15">
      <c r="A13" s="135" t="s">
        <v>1134</v>
      </c>
      <c r="B13" s="441" t="s">
        <v>627</v>
      </c>
      <c r="C13" s="619" t="s">
        <v>1054</v>
      </c>
      <c r="D13" s="40">
        <v>0</v>
      </c>
      <c r="E13" s="40">
        <v>0</v>
      </c>
      <c r="F13" s="40">
        <v>0</v>
      </c>
      <c r="G13" s="40">
        <v>0</v>
      </c>
      <c r="H13" s="462">
        <v>0</v>
      </c>
      <c r="I13" s="492">
        <f t="shared" si="0"/>
        <v>0</v>
      </c>
    </row>
    <row r="14" spans="1:9" x14ac:dyDescent="0.15">
      <c r="B14" s="441" t="s">
        <v>628</v>
      </c>
      <c r="C14" s="135" t="s">
        <v>1149</v>
      </c>
      <c r="D14" s="40">
        <v>0</v>
      </c>
      <c r="E14" s="40">
        <v>0</v>
      </c>
      <c r="F14" s="40">
        <v>0</v>
      </c>
      <c r="G14" s="40">
        <v>0</v>
      </c>
      <c r="H14" s="462">
        <v>0</v>
      </c>
      <c r="I14" s="492">
        <f t="shared" si="0"/>
        <v>0</v>
      </c>
    </row>
    <row r="15" spans="1:9" ht="11.25" thickBot="1" x14ac:dyDescent="0.2">
      <c r="B15" s="441"/>
      <c r="C15" s="135"/>
      <c r="D15" s="14"/>
      <c r="E15" s="14"/>
      <c r="F15" s="14"/>
      <c r="G15" s="14"/>
      <c r="I15" s="164"/>
    </row>
    <row r="16" spans="1:9" ht="12" thickTop="1" thickBot="1" x14ac:dyDescent="0.2">
      <c r="B16" s="441" t="s">
        <v>629</v>
      </c>
      <c r="C16" s="442" t="s">
        <v>559</v>
      </c>
      <c r="D16" s="148">
        <f t="shared" ref="D16:I16" si="1">SUM(D8:D14)</f>
        <v>0</v>
      </c>
      <c r="E16" s="148">
        <f t="shared" si="1"/>
        <v>0</v>
      </c>
      <c r="F16" s="148">
        <f t="shared" si="1"/>
        <v>0</v>
      </c>
      <c r="G16" s="148">
        <f t="shared" si="1"/>
        <v>0</v>
      </c>
      <c r="H16" s="148">
        <f t="shared" si="1"/>
        <v>0</v>
      </c>
      <c r="I16" s="166">
        <f t="shared" si="1"/>
        <v>0</v>
      </c>
    </row>
    <row r="17" spans="1:9" ht="12" thickTop="1" thickBot="1" x14ac:dyDescent="0.2">
      <c r="A17" s="135"/>
      <c r="C17" s="135"/>
      <c r="E17" s="430"/>
      <c r="F17" s="195"/>
      <c r="G17" s="430"/>
      <c r="I17" s="164"/>
    </row>
    <row r="18" spans="1:9" ht="11.25" thickBot="1" x14ac:dyDescent="0.2">
      <c r="A18" s="442" t="s">
        <v>630</v>
      </c>
      <c r="D18" s="443">
        <f t="shared" ref="D18:I18" si="2">D6+D16</f>
        <v>0</v>
      </c>
      <c r="E18" s="443">
        <f t="shared" si="2"/>
        <v>0</v>
      </c>
      <c r="F18" s="443">
        <f t="shared" si="2"/>
        <v>0</v>
      </c>
      <c r="G18" s="443">
        <f t="shared" si="2"/>
        <v>0</v>
      </c>
      <c r="H18" s="443">
        <f t="shared" si="2"/>
        <v>0</v>
      </c>
      <c r="I18" s="168">
        <f t="shared" si="2"/>
        <v>0</v>
      </c>
    </row>
    <row r="19" spans="1:9" x14ac:dyDescent="0.15">
      <c r="E19" s="430"/>
      <c r="F19" s="430"/>
      <c r="G19" s="430"/>
      <c r="I19" s="164"/>
    </row>
    <row r="20" spans="1:9" x14ac:dyDescent="0.15">
      <c r="A20" s="563" t="s">
        <v>290</v>
      </c>
      <c r="B20" s="413"/>
      <c r="C20" s="427" t="s">
        <v>286</v>
      </c>
      <c r="I20" s="176"/>
    </row>
    <row r="21" spans="1:9" x14ac:dyDescent="0.15">
      <c r="A21" s="417" t="s">
        <v>1043</v>
      </c>
      <c r="B21" s="433" t="s">
        <v>766</v>
      </c>
      <c r="C21" s="2" t="s">
        <v>293</v>
      </c>
      <c r="D21" s="40">
        <v>0</v>
      </c>
      <c r="E21" s="40">
        <v>0</v>
      </c>
      <c r="F21" s="40">
        <v>0</v>
      </c>
      <c r="G21" s="40">
        <v>0</v>
      </c>
      <c r="H21" s="463">
        <v>0</v>
      </c>
      <c r="I21" s="464">
        <f>SUM(G21+H21)</f>
        <v>0</v>
      </c>
    </row>
    <row r="22" spans="1:9" x14ac:dyDescent="0.15">
      <c r="A22" s="423"/>
      <c r="B22" s="413"/>
    </row>
    <row r="23" spans="1:9" x14ac:dyDescent="0.15">
      <c r="E23" s="430"/>
      <c r="F23" s="430"/>
      <c r="G23" s="430"/>
      <c r="I23" s="164"/>
    </row>
    <row r="24" spans="1:9" x14ac:dyDescent="0.15">
      <c r="A24" s="508" t="s">
        <v>1135</v>
      </c>
      <c r="C24" s="485" t="s">
        <v>1136</v>
      </c>
      <c r="E24" s="430"/>
      <c r="F24" s="430"/>
      <c r="G24" s="430"/>
      <c r="I24" s="164"/>
    </row>
    <row r="25" spans="1:9" x14ac:dyDescent="0.15">
      <c r="A25" s="451" t="s">
        <v>155</v>
      </c>
      <c r="B25" s="451" t="s">
        <v>637</v>
      </c>
      <c r="C25" s="412" t="s">
        <v>726</v>
      </c>
      <c r="D25" s="40">
        <v>0</v>
      </c>
      <c r="E25" s="40">
        <v>0</v>
      </c>
      <c r="F25" s="40">
        <v>0</v>
      </c>
      <c r="G25" s="40">
        <v>0</v>
      </c>
      <c r="H25" s="462">
        <v>0</v>
      </c>
      <c r="I25" s="503">
        <f>SUM(G25+H25)</f>
        <v>0</v>
      </c>
    </row>
    <row r="26" spans="1:9" x14ac:dyDescent="0.15">
      <c r="A26" s="451" t="s">
        <v>156</v>
      </c>
      <c r="B26" s="451" t="s">
        <v>641</v>
      </c>
      <c r="C26" s="412" t="s">
        <v>727</v>
      </c>
      <c r="D26" s="40">
        <v>0</v>
      </c>
      <c r="E26" s="40">
        <v>0</v>
      </c>
      <c r="F26" s="40">
        <v>0</v>
      </c>
      <c r="G26" s="40">
        <v>0</v>
      </c>
      <c r="H26" s="462">
        <v>0</v>
      </c>
      <c r="I26" s="503">
        <f t="shared" ref="I26:I37" si="3">SUM(G26+H26)</f>
        <v>0</v>
      </c>
    </row>
    <row r="27" spans="1:9" x14ac:dyDescent="0.15">
      <c r="A27" s="451" t="s">
        <v>177</v>
      </c>
      <c r="B27" s="451" t="s">
        <v>642</v>
      </c>
      <c r="C27" s="412" t="s">
        <v>179</v>
      </c>
      <c r="D27" s="40">
        <v>0</v>
      </c>
      <c r="E27" s="40">
        <v>0</v>
      </c>
      <c r="F27" s="40">
        <v>0</v>
      </c>
      <c r="G27" s="40">
        <v>0</v>
      </c>
      <c r="H27" s="462">
        <v>0</v>
      </c>
      <c r="I27" s="503">
        <f t="shared" si="3"/>
        <v>0</v>
      </c>
    </row>
    <row r="28" spans="1:9" x14ac:dyDescent="0.15">
      <c r="A28" s="451" t="s">
        <v>157</v>
      </c>
      <c r="B28" s="135" t="s">
        <v>733</v>
      </c>
      <c r="C28" s="509" t="s">
        <v>730</v>
      </c>
      <c r="D28" s="40">
        <v>0</v>
      </c>
      <c r="E28" s="40">
        <v>0</v>
      </c>
      <c r="F28" s="40">
        <v>0</v>
      </c>
      <c r="G28" s="40">
        <v>0</v>
      </c>
      <c r="H28" s="462">
        <v>0</v>
      </c>
      <c r="I28" s="503">
        <f t="shared" si="3"/>
        <v>0</v>
      </c>
    </row>
    <row r="29" spans="1:9" x14ac:dyDescent="0.15">
      <c r="A29" s="451" t="s">
        <v>157</v>
      </c>
      <c r="B29" s="451" t="s">
        <v>731</v>
      </c>
      <c r="C29" s="509" t="s">
        <v>728</v>
      </c>
      <c r="D29" s="40">
        <v>0</v>
      </c>
      <c r="E29" s="40">
        <v>0</v>
      </c>
      <c r="F29" s="40">
        <v>0</v>
      </c>
      <c r="G29" s="40">
        <v>0</v>
      </c>
      <c r="H29" s="462">
        <v>0</v>
      </c>
      <c r="I29" s="503">
        <f t="shared" si="3"/>
        <v>0</v>
      </c>
    </row>
    <row r="30" spans="1:9" x14ac:dyDescent="0.15">
      <c r="A30" s="451" t="s">
        <v>157</v>
      </c>
      <c r="B30" s="135" t="s">
        <v>732</v>
      </c>
      <c r="C30" s="509" t="s">
        <v>729</v>
      </c>
      <c r="D30" s="40">
        <v>0</v>
      </c>
      <c r="E30" s="40">
        <v>0</v>
      </c>
      <c r="F30" s="40">
        <v>0</v>
      </c>
      <c r="G30" s="40">
        <v>0</v>
      </c>
      <c r="H30" s="462">
        <v>0</v>
      </c>
      <c r="I30" s="503">
        <f t="shared" si="3"/>
        <v>0</v>
      </c>
    </row>
    <row r="31" spans="1:9" x14ac:dyDescent="0.15">
      <c r="A31" s="451" t="s">
        <v>158</v>
      </c>
      <c r="B31" s="451" t="s">
        <v>639</v>
      </c>
      <c r="C31" s="509" t="s">
        <v>180</v>
      </c>
      <c r="D31" s="40">
        <v>0</v>
      </c>
      <c r="E31" s="40">
        <v>0</v>
      </c>
      <c r="F31" s="40">
        <v>0</v>
      </c>
      <c r="G31" s="40">
        <v>0</v>
      </c>
      <c r="H31" s="462">
        <v>0</v>
      </c>
      <c r="I31" s="503">
        <f t="shared" si="3"/>
        <v>0</v>
      </c>
    </row>
    <row r="32" spans="1:9" x14ac:dyDescent="0.15">
      <c r="A32" s="451" t="s">
        <v>173</v>
      </c>
      <c r="B32" s="451" t="s">
        <v>644</v>
      </c>
      <c r="C32" s="509" t="s">
        <v>130</v>
      </c>
      <c r="D32" s="40">
        <v>0</v>
      </c>
      <c r="E32" s="40">
        <v>0</v>
      </c>
      <c r="F32" s="40">
        <v>0</v>
      </c>
      <c r="G32" s="40">
        <v>0</v>
      </c>
      <c r="H32" s="462">
        <v>0</v>
      </c>
      <c r="I32" s="503">
        <f t="shared" si="3"/>
        <v>0</v>
      </c>
    </row>
    <row r="33" spans="1:9" x14ac:dyDescent="0.15">
      <c r="A33" s="451" t="s">
        <v>174</v>
      </c>
      <c r="B33" s="451" t="s">
        <v>645</v>
      </c>
      <c r="C33" s="509" t="s">
        <v>131</v>
      </c>
      <c r="D33" s="40">
        <v>0</v>
      </c>
      <c r="E33" s="40">
        <v>0</v>
      </c>
      <c r="F33" s="40">
        <v>0</v>
      </c>
      <c r="G33" s="40">
        <v>0</v>
      </c>
      <c r="H33" s="462">
        <v>0</v>
      </c>
      <c r="I33" s="503">
        <f t="shared" si="3"/>
        <v>0</v>
      </c>
    </row>
    <row r="34" spans="1:9" x14ac:dyDescent="0.15">
      <c r="A34" s="451" t="s">
        <v>175</v>
      </c>
      <c r="B34" s="451" t="s">
        <v>646</v>
      </c>
      <c r="C34" s="509" t="s">
        <v>1194</v>
      </c>
      <c r="D34" s="40">
        <v>0</v>
      </c>
      <c r="E34" s="40">
        <v>0</v>
      </c>
      <c r="F34" s="40">
        <v>0</v>
      </c>
      <c r="G34" s="40">
        <v>0</v>
      </c>
      <c r="H34" s="462">
        <v>0</v>
      </c>
      <c r="I34" s="503">
        <f t="shared" si="3"/>
        <v>0</v>
      </c>
    </row>
    <row r="35" spans="1:9" x14ac:dyDescent="0.15">
      <c r="A35" s="451" t="s">
        <v>176</v>
      </c>
      <c r="B35" s="451" t="s">
        <v>647</v>
      </c>
      <c r="C35" s="509" t="s">
        <v>132</v>
      </c>
      <c r="D35" s="40">
        <v>0</v>
      </c>
      <c r="E35" s="40">
        <v>0</v>
      </c>
      <c r="F35" s="40">
        <v>0</v>
      </c>
      <c r="G35" s="40">
        <v>0</v>
      </c>
      <c r="H35" s="462">
        <v>0</v>
      </c>
      <c r="I35" s="503">
        <f t="shared" si="3"/>
        <v>0</v>
      </c>
    </row>
    <row r="36" spans="1:9" x14ac:dyDescent="0.15">
      <c r="A36" s="451"/>
      <c r="B36" s="451"/>
      <c r="C36" s="566" t="s">
        <v>304</v>
      </c>
      <c r="D36" s="567">
        <f t="shared" ref="D36:I36" si="4">+D21</f>
        <v>0</v>
      </c>
      <c r="E36" s="567">
        <f t="shared" si="4"/>
        <v>0</v>
      </c>
      <c r="F36" s="567">
        <f t="shared" si="4"/>
        <v>0</v>
      </c>
      <c r="G36" s="567">
        <f t="shared" si="4"/>
        <v>0</v>
      </c>
      <c r="H36" s="567">
        <f t="shared" si="4"/>
        <v>0</v>
      </c>
      <c r="I36" s="567">
        <f t="shared" si="4"/>
        <v>0</v>
      </c>
    </row>
    <row r="37" spans="1:9" x14ac:dyDescent="0.15">
      <c r="B37" s="451" t="s">
        <v>650</v>
      </c>
      <c r="C37" s="135" t="s">
        <v>734</v>
      </c>
      <c r="D37" s="40">
        <v>0</v>
      </c>
      <c r="E37" s="40">
        <v>0</v>
      </c>
      <c r="F37" s="40">
        <v>0</v>
      </c>
      <c r="G37" s="40">
        <v>0</v>
      </c>
      <c r="H37" s="462">
        <v>0</v>
      </c>
      <c r="I37" s="503">
        <f t="shared" si="3"/>
        <v>0</v>
      </c>
    </row>
    <row r="38" spans="1:9" ht="11.25" thickBot="1" x14ac:dyDescent="0.2">
      <c r="C38" s="135"/>
      <c r="D38" s="14"/>
      <c r="E38" s="14"/>
      <c r="F38" s="14"/>
      <c r="G38" s="14"/>
      <c r="I38" s="164"/>
    </row>
    <row r="39" spans="1:9" ht="12" thickTop="1" thickBot="1" x14ac:dyDescent="0.2">
      <c r="B39" s="451" t="s">
        <v>651</v>
      </c>
      <c r="C39" s="442" t="s">
        <v>465</v>
      </c>
      <c r="D39" s="153">
        <f t="shared" ref="D39:I39" si="5">SUM(D25:D37)</f>
        <v>0</v>
      </c>
      <c r="E39" s="153">
        <f t="shared" si="5"/>
        <v>0</v>
      </c>
      <c r="F39" s="153">
        <f t="shared" si="5"/>
        <v>0</v>
      </c>
      <c r="G39" s="153">
        <f t="shared" si="5"/>
        <v>0</v>
      </c>
      <c r="H39" s="153">
        <f t="shared" si="5"/>
        <v>0</v>
      </c>
      <c r="I39" s="170">
        <f t="shared" si="5"/>
        <v>0</v>
      </c>
    </row>
    <row r="40" spans="1:9" ht="11.25" thickTop="1" x14ac:dyDescent="0.15">
      <c r="E40" s="430"/>
      <c r="F40" s="430"/>
      <c r="G40" s="430"/>
      <c r="I40" s="164"/>
    </row>
    <row r="41" spans="1:9" x14ac:dyDescent="0.15">
      <c r="A41" s="484" t="s">
        <v>1048</v>
      </c>
      <c r="C41" s="485" t="s">
        <v>211</v>
      </c>
      <c r="D41" s="430"/>
      <c r="E41" s="430"/>
      <c r="F41" s="430"/>
      <c r="G41" s="430"/>
      <c r="I41" s="164"/>
    </row>
    <row r="42" spans="1:9" x14ac:dyDescent="0.15">
      <c r="A42" s="486" t="s">
        <v>827</v>
      </c>
      <c r="B42" s="441" t="s">
        <v>652</v>
      </c>
      <c r="C42" s="135" t="s">
        <v>821</v>
      </c>
      <c r="D42" s="40">
        <v>0</v>
      </c>
      <c r="E42" s="40">
        <v>0</v>
      </c>
      <c r="F42" s="40">
        <v>0</v>
      </c>
      <c r="G42" s="40">
        <v>0</v>
      </c>
      <c r="H42" s="462">
        <v>0</v>
      </c>
      <c r="I42" s="492">
        <f>SUM(G42+H42)</f>
        <v>0</v>
      </c>
    </row>
    <row r="43" spans="1:9" ht="11.25" customHeight="1" x14ac:dyDescent="0.15">
      <c r="A43" s="627" t="s">
        <v>1394</v>
      </c>
      <c r="B43" s="441" t="s">
        <v>657</v>
      </c>
      <c r="C43" s="135" t="s">
        <v>822</v>
      </c>
      <c r="D43" s="40">
        <v>0</v>
      </c>
      <c r="E43" s="40">
        <v>0</v>
      </c>
      <c r="F43" s="40">
        <v>0</v>
      </c>
      <c r="G43" s="40">
        <v>0</v>
      </c>
      <c r="H43" s="462">
        <v>0</v>
      </c>
      <c r="I43" s="492">
        <f>SUM(G43+H43)</f>
        <v>0</v>
      </c>
    </row>
    <row r="44" spans="1:9" x14ac:dyDescent="0.15">
      <c r="A44" s="627" t="s">
        <v>1395</v>
      </c>
      <c r="B44" s="441" t="s">
        <v>658</v>
      </c>
      <c r="C44" s="135" t="s">
        <v>823</v>
      </c>
      <c r="D44" s="40">
        <v>0</v>
      </c>
      <c r="E44" s="40">
        <v>0</v>
      </c>
      <c r="F44" s="40">
        <v>0</v>
      </c>
      <c r="G44" s="40">
        <v>0</v>
      </c>
      <c r="H44" s="462">
        <v>0</v>
      </c>
      <c r="I44" s="492">
        <f>SUM(G44+H44)</f>
        <v>0</v>
      </c>
    </row>
    <row r="45" spans="1:9" x14ac:dyDescent="0.15">
      <c r="A45" s="627" t="s">
        <v>1396</v>
      </c>
      <c r="B45" s="441" t="s">
        <v>659</v>
      </c>
      <c r="C45" s="625" t="s">
        <v>1397</v>
      </c>
      <c r="D45" s="40">
        <v>0</v>
      </c>
      <c r="E45" s="40">
        <v>0</v>
      </c>
      <c r="F45" s="40">
        <v>0</v>
      </c>
      <c r="G45" s="40">
        <v>0</v>
      </c>
      <c r="H45" s="462">
        <v>0</v>
      </c>
      <c r="I45" s="492">
        <f>SUM(G45+H45)</f>
        <v>0</v>
      </c>
    </row>
    <row r="46" spans="1:9" ht="11.25" thickBot="1" x14ac:dyDescent="0.2">
      <c r="A46" s="486" t="s">
        <v>831</v>
      </c>
      <c r="B46" s="441" t="s">
        <v>660</v>
      </c>
      <c r="C46" s="135" t="s">
        <v>825</v>
      </c>
      <c r="D46" s="147">
        <v>0</v>
      </c>
      <c r="E46" s="147">
        <v>0</v>
      </c>
      <c r="F46" s="147">
        <v>0</v>
      </c>
      <c r="G46" s="147">
        <v>0</v>
      </c>
      <c r="H46" s="462">
        <v>0</v>
      </c>
      <c r="I46" s="510">
        <f>SUM(G46+H46)</f>
        <v>0</v>
      </c>
    </row>
    <row r="47" spans="1:9" ht="12" thickTop="1" thickBot="1" x14ac:dyDescent="0.2">
      <c r="A47" s="487"/>
      <c r="B47" s="441" t="s">
        <v>662</v>
      </c>
      <c r="C47" s="625" t="s">
        <v>1419</v>
      </c>
      <c r="D47" s="148">
        <f t="shared" ref="D47:I47" si="6">SUM(D42:D46)</f>
        <v>0</v>
      </c>
      <c r="E47" s="148">
        <f t="shared" si="6"/>
        <v>0</v>
      </c>
      <c r="F47" s="148">
        <f t="shared" si="6"/>
        <v>0</v>
      </c>
      <c r="G47" s="148">
        <f t="shared" si="6"/>
        <v>0</v>
      </c>
      <c r="H47" s="148">
        <f t="shared" si="6"/>
        <v>0</v>
      </c>
      <c r="I47" s="166">
        <f t="shared" si="6"/>
        <v>0</v>
      </c>
    </row>
    <row r="48" spans="1:9" ht="12" thickTop="1" thickBot="1" x14ac:dyDescent="0.2">
      <c r="A48" s="487"/>
      <c r="C48" s="135"/>
      <c r="D48" s="430"/>
      <c r="E48" s="430"/>
      <c r="F48" s="430"/>
      <c r="G48" s="430"/>
      <c r="I48" s="164"/>
    </row>
    <row r="49" spans="1:9" ht="11.25" thickBot="1" x14ac:dyDescent="0.2">
      <c r="A49" s="726" t="s">
        <v>463</v>
      </c>
      <c r="B49" s="726"/>
      <c r="C49" s="727"/>
      <c r="D49" s="489">
        <f>D39+D47</f>
        <v>0</v>
      </c>
      <c r="E49" s="489">
        <f>E39+E47</f>
        <v>0</v>
      </c>
      <c r="F49" s="489">
        <f>F39+F47</f>
        <v>0</v>
      </c>
      <c r="G49" s="489">
        <f>G39+G47</f>
        <v>0</v>
      </c>
      <c r="H49" s="489">
        <f>H39+H47</f>
        <v>0</v>
      </c>
      <c r="I49" s="208">
        <f>G49+H49</f>
        <v>0</v>
      </c>
    </row>
    <row r="50" spans="1:9" x14ac:dyDescent="0.15">
      <c r="A50" s="487"/>
      <c r="C50" s="135" t="s">
        <v>203</v>
      </c>
      <c r="D50" s="430"/>
      <c r="E50" s="430"/>
      <c r="F50" s="430"/>
      <c r="G50" s="430"/>
      <c r="I50" s="164"/>
    </row>
    <row r="51" spans="1:9" ht="11.25" thickBot="1" x14ac:dyDescent="0.2">
      <c r="A51" s="487"/>
      <c r="C51" s="135"/>
      <c r="D51" s="430"/>
      <c r="E51" s="430"/>
      <c r="F51" s="430"/>
      <c r="G51" s="430"/>
      <c r="I51" s="164"/>
    </row>
    <row r="52" spans="1:9" ht="12" thickTop="1" thickBot="1" x14ac:dyDescent="0.2">
      <c r="C52" s="490" t="s">
        <v>204</v>
      </c>
      <c r="D52" s="153">
        <f>D18</f>
        <v>0</v>
      </c>
      <c r="E52" s="153">
        <f>E18</f>
        <v>0</v>
      </c>
      <c r="F52" s="153">
        <f>F18</f>
        <v>0</v>
      </c>
      <c r="G52" s="153">
        <f>G18</f>
        <v>0</v>
      </c>
      <c r="H52" s="153">
        <f>H18</f>
        <v>0</v>
      </c>
      <c r="I52" s="170">
        <f>G52+H52</f>
        <v>0</v>
      </c>
    </row>
    <row r="53" spans="1:9" ht="11.25" thickTop="1" x14ac:dyDescent="0.15">
      <c r="I53" s="164"/>
    </row>
    <row r="54" spans="1:9" x14ac:dyDescent="0.15">
      <c r="C54" s="490" t="s">
        <v>205</v>
      </c>
      <c r="D54" s="412">
        <f t="shared" ref="D54:I54" si="7">D49-D52</f>
        <v>0</v>
      </c>
      <c r="E54" s="412">
        <f t="shared" si="7"/>
        <v>0</v>
      </c>
      <c r="F54" s="412">
        <f t="shared" si="7"/>
        <v>0</v>
      </c>
      <c r="G54" s="412">
        <f t="shared" si="7"/>
        <v>0</v>
      </c>
      <c r="H54" s="412">
        <f t="shared" si="7"/>
        <v>0</v>
      </c>
      <c r="I54" s="164">
        <f t="shared" si="7"/>
        <v>0</v>
      </c>
    </row>
    <row r="55" spans="1:9" x14ac:dyDescent="0.15">
      <c r="I55" s="164"/>
    </row>
    <row r="56" spans="1:9" x14ac:dyDescent="0.15">
      <c r="I56" s="164"/>
    </row>
    <row r="59" spans="1:9" x14ac:dyDescent="0.15">
      <c r="A59" s="3" t="s">
        <v>1551</v>
      </c>
    </row>
    <row r="60" spans="1:9" x14ac:dyDescent="0.15">
      <c r="A60" s="565"/>
      <c r="B60" s="413"/>
    </row>
    <row r="61" spans="1:9" x14ac:dyDescent="0.15">
      <c r="A61" s="135"/>
    </row>
    <row r="62" spans="1:9" x14ac:dyDescent="0.15">
      <c r="A62" s="722" t="s">
        <v>1552</v>
      </c>
    </row>
  </sheetData>
  <sheetProtection password="CB03" sheet="1" objects="1" scenarios="1" formatCells="0" formatColumns="0" formatRows="0"/>
  <mergeCells count="1">
    <mergeCell ref="A49:C49"/>
  </mergeCells>
  <phoneticPr fontId="15" type="noConversion"/>
  <pageMargins left="0.75" right="0.75" top="1" bottom="1" header="0.5" footer="0.5"/>
  <pageSetup scale="61" firstPageNumber="26" fitToHeight="0" orientation="portrait" horizontalDpi="300" verticalDpi="300" r:id="rId1"/>
  <headerFooter alignWithMargins="0">
    <oddFooter>&amp;LCDE, Public Scool Finance Unit&amp;C&amp;P&amp;R&amp;D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47</vt:i4>
      </vt:variant>
      <vt:variant>
        <vt:lpstr>Named Ranges</vt:lpstr>
      </vt:variant>
      <vt:variant>
        <vt:i4>17</vt:i4>
      </vt:variant>
    </vt:vector>
  </HeadingPairs>
  <TitlesOfParts>
    <vt:vector size="64" baseType="lpstr">
      <vt:lpstr>General Instructions</vt:lpstr>
      <vt:lpstr>Page 1 - FY2016-17</vt:lpstr>
      <vt:lpstr>GenFundREV</vt:lpstr>
      <vt:lpstr>GenFundExp</vt:lpstr>
      <vt:lpstr>GenFundExp2</vt:lpstr>
      <vt:lpstr>CharterFundRev</vt:lpstr>
      <vt:lpstr>CharterFundExp</vt:lpstr>
      <vt:lpstr>CharterFundExp2</vt:lpstr>
      <vt:lpstr>InsResv</vt:lpstr>
      <vt:lpstr>CPP Fund</vt:lpstr>
      <vt:lpstr>Fund 20 Grants</vt:lpstr>
      <vt:lpstr>ARRAGrants</vt:lpstr>
      <vt:lpstr>FoodServiceSRF</vt:lpstr>
      <vt:lpstr>Fund 22 Grants</vt:lpstr>
      <vt:lpstr>GovGrants</vt:lpstr>
      <vt:lpstr>PupActiv</vt:lpstr>
      <vt:lpstr>FullDayKOverride</vt:lpstr>
      <vt:lpstr>Transp</vt:lpstr>
      <vt:lpstr>OthSpecRev</vt:lpstr>
      <vt:lpstr>BondRedm</vt:lpstr>
      <vt:lpstr>COPDebt</vt:lpstr>
      <vt:lpstr>BuildFund</vt:lpstr>
      <vt:lpstr>SpecBuild</vt:lpstr>
      <vt:lpstr>CapResCapPrj</vt:lpstr>
      <vt:lpstr>DO NOT USE</vt:lpstr>
      <vt:lpstr>OtherEnterprise</vt:lpstr>
      <vt:lpstr>RiskRelated</vt:lpstr>
      <vt:lpstr>OtherInternal</vt:lpstr>
      <vt:lpstr>PupilActAgency</vt:lpstr>
      <vt:lpstr>Trust&amp;Agency</vt:lpstr>
      <vt:lpstr>Foundation Fund</vt:lpstr>
      <vt:lpstr>GASB 34 Perm. Fund</vt:lpstr>
      <vt:lpstr>District Debt</vt:lpstr>
      <vt:lpstr>Arbitrage</vt:lpstr>
      <vt:lpstr>AppropRes</vt:lpstr>
      <vt:lpstr>UseofBFBRes</vt:lpstr>
      <vt:lpstr>SupplementalBudget</vt:lpstr>
      <vt:lpstr>CDE-18 Error Report</vt:lpstr>
      <vt:lpstr>Tabor Spending Limitations</vt:lpstr>
      <vt:lpstr>Tabor Property Tax Limitation</vt:lpstr>
      <vt:lpstr>Budget Summary Worksheet</vt:lpstr>
      <vt:lpstr>Budget Summaries 1</vt:lpstr>
      <vt:lpstr>Budget Summaries 2</vt:lpstr>
      <vt:lpstr>Budget Summaries 3</vt:lpstr>
      <vt:lpstr>Budget Summaries 4</vt:lpstr>
      <vt:lpstr>Budget Summaries 5</vt:lpstr>
      <vt:lpstr>Uniform Budget Summary</vt:lpstr>
      <vt:lpstr>'Fund 20 Grants'!Fund22Grants</vt:lpstr>
      <vt:lpstr>Fund22Grants</vt:lpstr>
      <vt:lpstr>'Fund 20 Grants'!Print_Area</vt:lpstr>
      <vt:lpstr>'Fund 22 Grants'!Print_Area</vt:lpstr>
      <vt:lpstr>'General Instructions'!Print_Area</vt:lpstr>
      <vt:lpstr>GenFundExp!Print_Area</vt:lpstr>
      <vt:lpstr>ARRAGrants!Print_Titles</vt:lpstr>
      <vt:lpstr>CapResCapPrj!Print_Titles</vt:lpstr>
      <vt:lpstr>'CPP Fund'!Print_Titles</vt:lpstr>
      <vt:lpstr>FoodServiceSRF!Print_Titles</vt:lpstr>
      <vt:lpstr>FullDayKOverride!Print_Titles</vt:lpstr>
      <vt:lpstr>GenFundExp!Print_Titles</vt:lpstr>
      <vt:lpstr>GenFundExp2!Print_Titles</vt:lpstr>
      <vt:lpstr>GenFundREV!Print_Titles</vt:lpstr>
      <vt:lpstr>GovGrants!Print_Titles</vt:lpstr>
      <vt:lpstr>OthSpecRev!Print_Titles</vt:lpstr>
      <vt:lpstr>Transp!Print_Titles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CDE-18 1999</dc:title>
  <dc:creator>Adam Williams</dc:creator>
  <cp:lastModifiedBy>Lucero, Yolanda</cp:lastModifiedBy>
  <cp:lastPrinted>2015-03-16T23:23:56Z</cp:lastPrinted>
  <dcterms:created xsi:type="dcterms:W3CDTF">2000-04-11T18:35:43Z</dcterms:created>
  <dcterms:modified xsi:type="dcterms:W3CDTF">2016-04-20T16:43:22Z</dcterms:modified>
</cp:coreProperties>
</file>