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<sst xmlns="http://schemas.openxmlformats.org/spreadsheetml/2006/main" count="217" uniqueCount="185">
  <si>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</si>
  <si>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</si>
  <si>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</si>
  <si>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</si>
  <si>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</si>
  <si>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</si>
  <si>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</si>
  <si>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</si>
  <si>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</si>
  <si>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</si>
  <si>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</si>
  <si>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</si>
  <si>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</si>
  <si>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</si>
  <si>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</si>
  <si>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</si>
  <si>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</si>
  <si>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</si>
  <si>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</si>
  <si>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</si>
  <si>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</si>
  <si>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</si>
  <si>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</si>
  <si>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</si>
  <si>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</si>
  <si>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</si>
  <si>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</si>
  <si>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</si>
  <si>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</si>
  <si>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</si>
  <si>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</si>
  <si>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</si>
  <si>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</si>
  <si>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</si>
  <si>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</si>
  <si>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</si>
  <si>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</si>
  <si>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</si>
  <si>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</si>
  <si>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</si>
  <si>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</si>
  <si>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</si>
  <si>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Debt Reserve  (804 WBA)</t>
  </si>
  <si>
    <t>Treasury Fee  (17F WBA)</t>
  </si>
  <si>
    <t>Intercept  (941 WBA)</t>
  </si>
  <si>
    <r>
      <t>Total for all payments</t>
    </r>
    <r>
      <rPr>
        <sz val="10"/>
        <rFont val="Arial"/>
        <family val="2"/>
      </rPr>
      <t xml:space="preserve">  (113 DAA)</t>
    </r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</si>
  <si>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</si>
  <si>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</si>
  <si>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</si>
  <si>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</si>
  <si>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</si>
  <si>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</si>
  <si>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</si>
  <si>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</si>
  <si>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</si>
  <si>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</si>
  <si>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</si>
  <si>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</si>
  <si>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</si>
  <si>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</si>
  <si>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</si>
  <si>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</si>
  <si>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</si>
  <si>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</si>
  <si>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</si>
  <si>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</si>
  <si>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</si>
  <si>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</si>
  <si>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</si>
  <si>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</si>
  <si>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</si>
  <si>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</si>
  <si>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</si>
  <si>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</si>
  <si>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</si>
  <si>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</si>
  <si>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</si>
  <si>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</si>
  <si>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</si>
  <si>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</si>
  <si>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</si>
  <si>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</si>
  <si>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</si>
  <si>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</si>
  <si>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</si>
  <si>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</si>
  <si>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</si>
  <si>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</si>
  <si>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</si>
  <si>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</si>
  <si>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</si>
  <si>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</si>
  <si>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</si>
  <si>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</si>
  <si>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</si>
  <si>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</si>
  <si>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</si>
  <si>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</si>
  <si>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</si>
  <si>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</si>
  <si>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</si>
  <si>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</si>
  <si>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</si>
  <si>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</si>
  <si>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</si>
  <si>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</si>
  <si>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</si>
  <si>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</si>
  <si>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</si>
  <si>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</si>
  <si>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32A</t>
  </si>
  <si>
    <t>32B</t>
  </si>
  <si>
    <t>32C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</si>
  <si>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</si>
  <si>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</si>
  <si>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</si>
  <si>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</si>
  <si>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</si>
  <si>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</si>
  <si>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</si>
  <si>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</si>
  <si>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</si>
  <si>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</si>
  <si>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</si>
  <si>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</si>
  <si>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</si>
  <si>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</si>
  <si>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</si>
  <si>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</si>
  <si>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</si>
  <si>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</si>
  <si>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</si>
  <si>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</si>
  <si>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</si>
  <si>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</si>
  <si>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</si>
  <si>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</si>
  <si>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</si>
  <si>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</si>
  <si>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</si>
  <si>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</si>
  <si>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</si>
  <si>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</si>
  <si>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</si>
  <si>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</si>
  <si>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</si>
  <si>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</si>
  <si>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</si>
  <si>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</si>
  <si>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</si>
  <si>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</si>
  <si>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</si>
  <si>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</si>
  <si>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</si>
  <si>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</si>
  <si>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</si>
  <si>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</si>
  <si>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</si>
  <si>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</si>
  <si>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</si>
  <si>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</si>
  <si>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</si>
  <si>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</si>
  <si>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</si>
  <si>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</si>
  <si>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</si>
  <si>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STEM School (#5259090013A)</t>
  </si>
  <si>
    <t>Total for STEM School</t>
  </si>
  <si>
    <t>Skyview Academy (#6365090013A)</t>
  </si>
  <si>
    <t>Total for Skyview Academy</t>
  </si>
  <si>
    <t>Total FY 13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</si>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</sst>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164" fontId="3" fillId="35" borderId="0" xfId="0" applyNumberFormat="1" applyFon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1" fillId="35" borderId="11" xfId="0" applyNumberFormat="1" applyFont="1" applyFill="1" applyBorder="1" applyAlignment="1">
      <alignment/>
    </xf>
    <xf numFmtId="39" fontId="3" fillId="35" borderId="0" xfId="0" applyNumberFormat="1" applyFont="1" applyFill="1" applyBorder="1" applyAlignment="1">
      <alignment/>
    </xf>
    <xf numFmtId="39" fontId="1" fillId="35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39" fontId="1" fillId="0" borderId="12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7" borderId="0" xfId="0" applyFont="1" applyFill="1" applyAlignment="1">
      <alignment horizontal="right"/>
    </xf>
    <xf numFmtId="43" fontId="3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horizontal="right" vertical="center"/>
    </xf>
    <xf numFmtId="43" fontId="3" fillId="37" borderId="0" xfId="0" applyNumberFormat="1" applyFont="1" applyFill="1" applyBorder="1" applyAlignment="1" quotePrefix="1">
      <alignment horizontal="left"/>
    </xf>
    <xf numFmtId="0" fontId="1" fillId="37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0" fillId="35" borderId="0" xfId="42" applyFont="1" applyFill="1" applyBorder="1" applyAlignment="1">
      <alignment/>
    </xf>
    <xf numFmtId="43" fontId="0" fillId="35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3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8"/>
  <sheetViews>
    <sheetView tabSelected="1" zoomScale="75" zoomScaleNormal="75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" sqref="O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88.7109375" style="0" customWidth="1"/>
    <col min="4" max="14" width="16.28125" style="0" customWidth="1"/>
    <col min="15" max="15" width="16.28125" style="30" customWidth="1"/>
    <col min="16" max="16" width="17.421875" style="0" bestFit="1" customWidth="1"/>
  </cols>
  <sheetData>
    <row r="1" ht="37.5">
      <c r="C1" s="2" t="s">
        <v>0</v>
      </c>
    </row>
    <row r="2" spans="3:16" ht="15.75">
      <c r="C2" s="3" t="s">
        <v>1</v>
      </c>
      <c r="D2" s="25">
        <v>41091</v>
      </c>
      <c r="E2" s="25">
        <v>41122</v>
      </c>
      <c r="F2" s="25">
        <v>41153</v>
      </c>
      <c r="G2" s="25">
        <v>41183</v>
      </c>
      <c r="H2" s="25">
        <v>41214</v>
      </c>
      <c r="I2" s="25">
        <v>41244</v>
      </c>
      <c r="J2" s="25">
        <v>41275</v>
      </c>
      <c r="K2" s="25">
        <v>41306</v>
      </c>
      <c r="L2" s="25">
        <v>41334</v>
      </c>
      <c r="M2" s="25">
        <v>41365</v>
      </c>
      <c r="N2" s="25">
        <v>41395</v>
      </c>
      <c r="O2" s="31">
        <v>41426</v>
      </c>
      <c r="P2" s="36" t="s">
        <v>170</v>
      </c>
    </row>
    <row r="3" ht="12.75">
      <c r="C3" s="4"/>
    </row>
    <row r="4" spans="1:3" ht="15.75">
      <c r="A4" s="1">
        <v>1</v>
      </c>
      <c r="C4" s="5" t="s">
        <v>2</v>
      </c>
    </row>
    <row r="5" spans="3:16" ht="12.75">
      <c r="C5" s="4" t="s">
        <v>3</v>
      </c>
      <c r="D5" s="26">
        <v>2911.67</v>
      </c>
      <c r="E5" s="26">
        <v>2911.67</v>
      </c>
      <c r="F5" s="26">
        <v>2911.67</v>
      </c>
      <c r="G5" s="26">
        <v>2836.67</v>
      </c>
      <c r="H5" s="26">
        <v>2836.67</v>
      </c>
      <c r="I5" s="26">
        <v>2836.67</v>
      </c>
      <c r="J5" s="26">
        <v>2836.67</v>
      </c>
      <c r="K5" s="26">
        <v>2836.67</v>
      </c>
      <c r="L5" s="26">
        <v>2836.67</v>
      </c>
      <c r="M5" s="26">
        <v>2836.67</v>
      </c>
      <c r="N5" s="26">
        <v>2836.67</v>
      </c>
      <c r="O5" s="32">
        <v>2836.67</v>
      </c>
      <c r="P5" s="26">
        <f>SUM(D5:O5)</f>
        <v>34265.03999999999</v>
      </c>
    </row>
    <row r="6" spans="3:16" ht="12.75">
      <c r="C6" s="4" t="s">
        <v>4</v>
      </c>
      <c r="D6" s="38">
        <v>250</v>
      </c>
      <c r="P6" s="26">
        <f>SUM(D6:O6)</f>
        <v>250</v>
      </c>
    </row>
    <row r="7" spans="3:16" ht="13.5" thickBot="1">
      <c r="C7" s="4" t="s">
        <v>5</v>
      </c>
      <c r="D7" s="26">
        <f>77500+137501.04</f>
        <v>215001.04</v>
      </c>
      <c r="E7" s="26">
        <f>77500+137501.04</f>
        <v>215001.04</v>
      </c>
      <c r="F7" s="26">
        <f>77500+137501.04</f>
        <v>215001.04</v>
      </c>
      <c r="G7" s="26">
        <f>77500+137501.04</f>
        <v>215001.04</v>
      </c>
      <c r="H7" s="26">
        <f>77500+137501.04</f>
        <v>215001.04</v>
      </c>
      <c r="I7" s="26">
        <f>80416.67+134691.67</f>
        <v>215108.34000000003</v>
      </c>
      <c r="J7" s="26">
        <f aca="true" t="shared" si="0" ref="J7:O7">80416.67+134691.67</f>
        <v>215108.34000000003</v>
      </c>
      <c r="K7" s="26">
        <f t="shared" si="0"/>
        <v>215108.34000000003</v>
      </c>
      <c r="L7" s="26">
        <f t="shared" si="0"/>
        <v>215108.34000000003</v>
      </c>
      <c r="M7" s="26">
        <f t="shared" si="0"/>
        <v>215108.34000000003</v>
      </c>
      <c r="N7" s="26">
        <f t="shared" si="0"/>
        <v>215108.34000000003</v>
      </c>
      <c r="O7" s="32">
        <f t="shared" si="0"/>
        <v>215108.34000000003</v>
      </c>
      <c r="P7" s="26">
        <f>SUM(D7:O7)</f>
        <v>2580763.58</v>
      </c>
    </row>
    <row r="8" spans="3:16" ht="13.5" thickBot="1">
      <c r="C8" s="6" t="s">
        <v>6</v>
      </c>
      <c r="D8" s="27">
        <f aca="true" t="shared" si="1" ref="D8:P8">SUM(D5:D7)</f>
        <v>218162.71000000002</v>
      </c>
      <c r="E8" s="27">
        <f t="shared" si="1"/>
        <v>217912.71000000002</v>
      </c>
      <c r="F8" s="27">
        <f t="shared" si="1"/>
        <v>217912.71000000002</v>
      </c>
      <c r="G8" s="27">
        <f t="shared" si="1"/>
        <v>217837.71000000002</v>
      </c>
      <c r="H8" s="27">
        <f t="shared" si="1"/>
        <v>217837.71000000002</v>
      </c>
      <c r="I8" s="27">
        <f t="shared" si="1"/>
        <v>217945.01000000004</v>
      </c>
      <c r="J8" s="27">
        <f t="shared" si="1"/>
        <v>217945.01000000004</v>
      </c>
      <c r="K8" s="27">
        <f t="shared" si="1"/>
        <v>217945.01000000004</v>
      </c>
      <c r="L8" s="27">
        <f t="shared" si="1"/>
        <v>217945.01000000004</v>
      </c>
      <c r="M8" s="27">
        <f t="shared" si="1"/>
        <v>217945.01000000004</v>
      </c>
      <c r="N8" s="27">
        <f t="shared" si="1"/>
        <v>217945.01000000004</v>
      </c>
      <c r="O8" s="33">
        <f t="shared" si="1"/>
        <v>217945.01000000004</v>
      </c>
      <c r="P8" s="37">
        <f t="shared" si="1"/>
        <v>2615278.62</v>
      </c>
    </row>
    <row r="9" ht="12.75">
      <c r="C9" s="4"/>
    </row>
    <row r="10" spans="2:3" ht="21">
      <c r="B10" s="40" t="s">
        <v>109</v>
      </c>
      <c r="C10" s="41" t="s">
        <v>7</v>
      </c>
    </row>
    <row r="11" spans="3:16" ht="12.75">
      <c r="C11" s="4" t="str">
        <f>C5</f>
        <v>Debt Reserve</v>
      </c>
      <c r="D11" s="26">
        <v>1619.58</v>
      </c>
      <c r="E11" s="26">
        <v>1619.58</v>
      </c>
      <c r="F11" s="26">
        <v>1619.58</v>
      </c>
      <c r="G11" s="26">
        <v>1575.42</v>
      </c>
      <c r="H11" s="26">
        <v>1575.42</v>
      </c>
      <c r="I11" s="26">
        <v>1575.42</v>
      </c>
      <c r="J11" s="26">
        <v>1575.42</v>
      </c>
      <c r="K11" s="26">
        <v>1575.42</v>
      </c>
      <c r="L11" s="26">
        <v>0</v>
      </c>
      <c r="M11" s="26">
        <v>0</v>
      </c>
      <c r="N11" s="26">
        <v>0</v>
      </c>
      <c r="O11" s="32">
        <v>0</v>
      </c>
      <c r="P11" s="26">
        <f>SUM(D11:O11)</f>
        <v>12735.84</v>
      </c>
    </row>
    <row r="12" spans="3:16" ht="12.75">
      <c r="C12" s="4" t="str">
        <f>C6</f>
        <v>Treasury Fee</v>
      </c>
      <c r="D12" s="38">
        <v>250</v>
      </c>
      <c r="P12" s="26">
        <f>SUM(D12:O12)</f>
        <v>250</v>
      </c>
    </row>
    <row r="13" spans="3:16" ht="13.5" thickBot="1">
      <c r="C13" s="4" t="str">
        <f>C7</f>
        <v>Intercept</v>
      </c>
      <c r="D13" s="26">
        <f aca="true" t="shared" si="2" ref="D13:K13">45833.33+76727.71</f>
        <v>122561.04000000001</v>
      </c>
      <c r="E13" s="26">
        <f t="shared" si="2"/>
        <v>122561.04000000001</v>
      </c>
      <c r="F13" s="26">
        <f t="shared" si="2"/>
        <v>122561.04000000001</v>
      </c>
      <c r="G13" s="26">
        <f t="shared" si="2"/>
        <v>122561.04000000001</v>
      </c>
      <c r="H13" s="26">
        <f t="shared" si="2"/>
        <v>122561.04000000001</v>
      </c>
      <c r="I13" s="26">
        <f t="shared" si="2"/>
        <v>122561.04000000001</v>
      </c>
      <c r="J13" s="26">
        <f t="shared" si="2"/>
        <v>122561.04000000001</v>
      </c>
      <c r="K13" s="26">
        <f t="shared" si="2"/>
        <v>122561.04000000001</v>
      </c>
      <c r="L13" s="26">
        <v>0</v>
      </c>
      <c r="M13" s="26">
        <v>0</v>
      </c>
      <c r="N13" s="26">
        <v>0</v>
      </c>
      <c r="O13" s="32">
        <v>0</v>
      </c>
      <c r="P13" s="26">
        <f>SUM(D13:O13)</f>
        <v>980488.3200000002</v>
      </c>
    </row>
    <row r="14" spans="3:16" ht="13.5" thickBot="1">
      <c r="C14" s="6" t="s">
        <v>8</v>
      </c>
      <c r="D14" s="27">
        <f aca="true" t="shared" si="3" ref="D14:P14">SUM(D11:D13)</f>
        <v>124430.62000000001</v>
      </c>
      <c r="E14" s="27">
        <f t="shared" si="3"/>
        <v>124180.62000000001</v>
      </c>
      <c r="F14" s="27">
        <f t="shared" si="3"/>
        <v>124180.62000000001</v>
      </c>
      <c r="G14" s="27">
        <f t="shared" si="3"/>
        <v>124136.46</v>
      </c>
      <c r="H14" s="27">
        <f t="shared" si="3"/>
        <v>124136.46</v>
      </c>
      <c r="I14" s="27">
        <f t="shared" si="3"/>
        <v>124136.46</v>
      </c>
      <c r="J14" s="27">
        <f t="shared" si="3"/>
        <v>124136.46</v>
      </c>
      <c r="K14" s="27">
        <f t="shared" si="3"/>
        <v>124136.46</v>
      </c>
      <c r="L14" s="27">
        <f t="shared" si="3"/>
        <v>0</v>
      </c>
      <c r="M14" s="27">
        <f t="shared" si="3"/>
        <v>0</v>
      </c>
      <c r="N14" s="27">
        <f t="shared" si="3"/>
        <v>0</v>
      </c>
      <c r="O14" s="33">
        <f t="shared" si="3"/>
        <v>0</v>
      </c>
      <c r="P14" s="37">
        <f t="shared" si="3"/>
        <v>993474.1600000001</v>
      </c>
    </row>
    <row r="15" ht="12.75">
      <c r="C15" s="4"/>
    </row>
    <row r="16" spans="2:3" ht="21">
      <c r="B16" s="7" t="s">
        <v>108</v>
      </c>
      <c r="C16" s="8" t="s">
        <v>9</v>
      </c>
    </row>
    <row r="17" ht="12.75">
      <c r="C17" s="4" t="str">
        <f>C11</f>
        <v>Debt Reserve</v>
      </c>
    </row>
    <row r="18" ht="12.75">
      <c r="C18" s="4" t="str">
        <f>C12</f>
        <v>Treasury Fee</v>
      </c>
    </row>
    <row r="19" ht="13.5" thickBot="1">
      <c r="C19" s="4" t="str">
        <f>C13</f>
        <v>Intercept</v>
      </c>
    </row>
    <row r="20" ht="13.5" thickBot="1">
      <c r="C20" s="6" t="s">
        <v>10</v>
      </c>
    </row>
    <row r="21" ht="12.75">
      <c r="C21" s="4"/>
    </row>
    <row r="22" spans="2:3" ht="21">
      <c r="B22" s="7" t="s">
        <v>108</v>
      </c>
      <c r="C22" s="8" t="s">
        <v>58</v>
      </c>
    </row>
    <row r="23" ht="12.75">
      <c r="C23" s="4" t="str">
        <f>C17</f>
        <v>Debt Reserve</v>
      </c>
    </row>
    <row r="24" ht="12.75">
      <c r="C24" s="4" t="str">
        <f>C18</f>
        <v>Treasury Fee</v>
      </c>
    </row>
    <row r="25" ht="13.5" thickBot="1">
      <c r="C25" s="4" t="str">
        <f>C19</f>
        <v>Intercept</v>
      </c>
    </row>
    <row r="26" ht="13.5" thickBot="1">
      <c r="C26" s="6" t="s">
        <v>11</v>
      </c>
    </row>
    <row r="27" ht="12.75">
      <c r="C27" s="4"/>
    </row>
    <row r="28" spans="1:15" s="47" customFormat="1" ht="15.75">
      <c r="A28" s="20">
        <f>+A4+1</f>
        <v>2</v>
      </c>
      <c r="B28" s="20"/>
      <c r="C28" s="5" t="s">
        <v>132</v>
      </c>
      <c r="O28" s="30"/>
    </row>
    <row r="29" spans="1:16" s="47" customFormat="1" ht="12.75">
      <c r="A29" s="20"/>
      <c r="B29" s="20"/>
      <c r="C29" s="4" t="str">
        <f>C23</f>
        <v>Debt Reserve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32">
        <v>0</v>
      </c>
      <c r="P29" s="26">
        <f>SUM(D29:O29)</f>
        <v>0</v>
      </c>
    </row>
    <row r="30" spans="1:16" s="47" customFormat="1" ht="12.75">
      <c r="A30" s="20"/>
      <c r="B30" s="20"/>
      <c r="C30" s="4" t="str">
        <f>C24</f>
        <v>Treasury Fee</v>
      </c>
      <c r="D30" s="48">
        <v>250</v>
      </c>
      <c r="O30" s="30"/>
      <c r="P30" s="26">
        <f>SUM(D30:O30)</f>
        <v>250</v>
      </c>
    </row>
    <row r="31" spans="1:16" s="47" customFormat="1" ht="13.5" thickBot="1">
      <c r="A31" s="20"/>
      <c r="B31" s="20"/>
      <c r="C31" s="4" t="str">
        <f>C25</f>
        <v>Intercept</v>
      </c>
      <c r="D31" s="26">
        <v>31185.89</v>
      </c>
      <c r="E31" s="26">
        <v>31185.89</v>
      </c>
      <c r="F31" s="26">
        <v>31185.89</v>
      </c>
      <c r="G31" s="26">
        <v>31185.89</v>
      </c>
      <c r="H31" s="26">
        <v>31185.89</v>
      </c>
      <c r="I31" s="26">
        <v>31185.89</v>
      </c>
      <c r="J31" s="26">
        <v>31185.89</v>
      </c>
      <c r="K31" s="26">
        <v>31185.89</v>
      </c>
      <c r="L31" s="26">
        <v>31185.89</v>
      </c>
      <c r="M31" s="26">
        <v>31185.89</v>
      </c>
      <c r="N31" s="26">
        <v>31185.89</v>
      </c>
      <c r="O31" s="32">
        <v>31185.89</v>
      </c>
      <c r="P31" s="26">
        <f>SUM(D31:O31)</f>
        <v>374230.6800000001</v>
      </c>
    </row>
    <row r="32" spans="1:16" s="47" customFormat="1" ht="13.5" thickBot="1">
      <c r="A32" s="20"/>
      <c r="B32" s="20"/>
      <c r="C32" s="6" t="s">
        <v>131</v>
      </c>
      <c r="D32" s="27">
        <f aca="true" t="shared" si="4" ref="D32:P32">SUM(D29:D31)</f>
        <v>31435.89</v>
      </c>
      <c r="E32" s="27">
        <f t="shared" si="4"/>
        <v>31185.89</v>
      </c>
      <c r="F32" s="27">
        <f t="shared" si="4"/>
        <v>31185.89</v>
      </c>
      <c r="G32" s="27">
        <f t="shared" si="4"/>
        <v>31185.89</v>
      </c>
      <c r="H32" s="27">
        <f t="shared" si="4"/>
        <v>31185.89</v>
      </c>
      <c r="I32" s="27">
        <f t="shared" si="4"/>
        <v>31185.89</v>
      </c>
      <c r="J32" s="27">
        <f t="shared" si="4"/>
        <v>31185.89</v>
      </c>
      <c r="K32" s="27">
        <f t="shared" si="4"/>
        <v>31185.89</v>
      </c>
      <c r="L32" s="27">
        <f t="shared" si="4"/>
        <v>31185.89</v>
      </c>
      <c r="M32" s="27">
        <f t="shared" si="4"/>
        <v>31185.89</v>
      </c>
      <c r="N32" s="27">
        <f t="shared" si="4"/>
        <v>31185.89</v>
      </c>
      <c r="O32" s="33">
        <f t="shared" si="4"/>
        <v>31185.89</v>
      </c>
      <c r="P32" s="37">
        <f t="shared" si="4"/>
        <v>374480.6800000001</v>
      </c>
    </row>
    <row r="33" ht="12.75">
      <c r="C33" s="4"/>
    </row>
    <row r="34" spans="1:3" ht="15.75">
      <c r="A34" s="1">
        <f>A28+1</f>
        <v>3</v>
      </c>
      <c r="C34" s="5" t="s">
        <v>12</v>
      </c>
    </row>
    <row r="35" spans="3:16" ht="12.75">
      <c r="C35" s="4" t="str">
        <f>C29</f>
        <v>Debt Reserve</v>
      </c>
      <c r="D35" s="26">
        <v>502.5</v>
      </c>
      <c r="E35" s="26">
        <v>502.5</v>
      </c>
      <c r="F35" s="26">
        <v>502.5</v>
      </c>
      <c r="G35" s="26">
        <v>502.5</v>
      </c>
      <c r="H35" s="26">
        <v>502.5</v>
      </c>
      <c r="I35" s="26">
        <v>488.75</v>
      </c>
      <c r="J35" s="26">
        <v>488.75</v>
      </c>
      <c r="K35" s="26">
        <v>488.75</v>
      </c>
      <c r="L35" s="26">
        <v>488.75</v>
      </c>
      <c r="M35" s="26">
        <v>488.75</v>
      </c>
      <c r="N35" s="26">
        <v>488.75</v>
      </c>
      <c r="O35" s="32">
        <v>488.75</v>
      </c>
      <c r="P35" s="26">
        <f>SUM(D35:O35)</f>
        <v>5933.75</v>
      </c>
    </row>
    <row r="36" spans="3:16" ht="12.75">
      <c r="C36" s="4" t="str">
        <f>C30</f>
        <v>Treasury Fee</v>
      </c>
      <c r="D36" s="38">
        <v>250</v>
      </c>
      <c r="P36" s="26">
        <f>SUM(D36:O36)</f>
        <v>250</v>
      </c>
    </row>
    <row r="37" spans="3:16" ht="13.5" thickBot="1">
      <c r="C37" s="4" t="str">
        <f>C31</f>
        <v>Intercept</v>
      </c>
      <c r="D37" s="26">
        <f>13750+24272.29</f>
        <v>38022.29</v>
      </c>
      <c r="E37" s="26">
        <f>13750+24272.29</f>
        <v>38022.29</v>
      </c>
      <c r="F37" s="26">
        <f>13750+24272.29</f>
        <v>38022.29</v>
      </c>
      <c r="G37" s="26">
        <f>13750+24272.29</f>
        <v>38022.29</v>
      </c>
      <c r="H37" s="26">
        <f>13750+24272.29</f>
        <v>38022.29</v>
      </c>
      <c r="I37" s="26">
        <f>14583.33+23756.67</f>
        <v>38340</v>
      </c>
      <c r="J37" s="26">
        <f aca="true" t="shared" si="5" ref="J37:O37">14583.33+23756.67</f>
        <v>38340</v>
      </c>
      <c r="K37" s="26">
        <f t="shared" si="5"/>
        <v>38340</v>
      </c>
      <c r="L37" s="26">
        <f t="shared" si="5"/>
        <v>38340</v>
      </c>
      <c r="M37" s="26">
        <f t="shared" si="5"/>
        <v>38340</v>
      </c>
      <c r="N37" s="26">
        <f t="shared" si="5"/>
        <v>38340</v>
      </c>
      <c r="O37" s="32">
        <f t="shared" si="5"/>
        <v>38340</v>
      </c>
      <c r="P37" s="26">
        <f>SUM(D37:O37)</f>
        <v>458491.45</v>
      </c>
    </row>
    <row r="38" spans="3:16" ht="13.5" thickBot="1">
      <c r="C38" s="6" t="s">
        <v>13</v>
      </c>
      <c r="D38" s="27">
        <f aca="true" t="shared" si="6" ref="D38:P38">SUM(D35:D37)</f>
        <v>38774.79</v>
      </c>
      <c r="E38" s="27">
        <f t="shared" si="6"/>
        <v>38524.79</v>
      </c>
      <c r="F38" s="27">
        <f t="shared" si="6"/>
        <v>38524.79</v>
      </c>
      <c r="G38" s="27">
        <f t="shared" si="6"/>
        <v>38524.79</v>
      </c>
      <c r="H38" s="27">
        <f t="shared" si="6"/>
        <v>38524.79</v>
      </c>
      <c r="I38" s="27">
        <f t="shared" si="6"/>
        <v>38828.75</v>
      </c>
      <c r="J38" s="27">
        <f t="shared" si="6"/>
        <v>38828.75</v>
      </c>
      <c r="K38" s="27">
        <f t="shared" si="6"/>
        <v>38828.75</v>
      </c>
      <c r="L38" s="27">
        <f t="shared" si="6"/>
        <v>38828.75</v>
      </c>
      <c r="M38" s="27">
        <f t="shared" si="6"/>
        <v>38828.75</v>
      </c>
      <c r="N38" s="27">
        <f t="shared" si="6"/>
        <v>38828.75</v>
      </c>
      <c r="O38" s="33">
        <f t="shared" si="6"/>
        <v>38828.75</v>
      </c>
      <c r="P38" s="37">
        <f t="shared" si="6"/>
        <v>464675.2</v>
      </c>
    </row>
    <row r="39" ht="12.75">
      <c r="C39" s="4"/>
    </row>
    <row r="40" spans="2:3" ht="21">
      <c r="B40" s="9" t="s">
        <v>109</v>
      </c>
      <c r="C40" s="10" t="s">
        <v>14</v>
      </c>
    </row>
    <row r="41" ht="12.75">
      <c r="C41" s="4" t="str">
        <f>C35</f>
        <v>Debt Reserve</v>
      </c>
    </row>
    <row r="42" ht="12.75">
      <c r="C42" s="4" t="str">
        <f>C36</f>
        <v>Treasury Fee</v>
      </c>
    </row>
    <row r="43" ht="13.5" thickBot="1">
      <c r="C43" s="4" t="str">
        <f>C37</f>
        <v>Intercept</v>
      </c>
    </row>
    <row r="44" ht="13.5" thickBot="1">
      <c r="C44" s="6" t="s">
        <v>15</v>
      </c>
    </row>
    <row r="45" ht="12.75">
      <c r="C45" s="4"/>
    </row>
    <row r="46" spans="2:3" ht="21">
      <c r="B46" s="9" t="s">
        <v>109</v>
      </c>
      <c r="C46" s="11" t="s">
        <v>91</v>
      </c>
    </row>
    <row r="47" ht="12.75">
      <c r="C47" s="4" t="str">
        <f>C41</f>
        <v>Debt Reserve</v>
      </c>
    </row>
    <row r="48" ht="12.75">
      <c r="C48" s="4" t="str">
        <f>C42</f>
        <v>Treasury Fee</v>
      </c>
    </row>
    <row r="49" ht="13.5" thickBot="1">
      <c r="C49" s="4" t="str">
        <f>C43</f>
        <v>Intercept</v>
      </c>
    </row>
    <row r="50" ht="13.5" thickBot="1">
      <c r="C50" s="6" t="s">
        <v>16</v>
      </c>
    </row>
    <row r="51" ht="12.75">
      <c r="C51" s="4"/>
    </row>
    <row r="52" spans="2:3" ht="21">
      <c r="B52" s="9" t="s">
        <v>109</v>
      </c>
      <c r="C52" s="10" t="s">
        <v>17</v>
      </c>
    </row>
    <row r="53" ht="12.75">
      <c r="C53" s="4" t="str">
        <f>C47</f>
        <v>Debt Reserve</v>
      </c>
    </row>
    <row r="54" ht="12.75">
      <c r="C54" s="4" t="str">
        <f>C48</f>
        <v>Treasury Fee</v>
      </c>
    </row>
    <row r="55" ht="13.5" thickBot="1">
      <c r="C55" s="4" t="str">
        <f>C49</f>
        <v>Intercept</v>
      </c>
    </row>
    <row r="56" ht="13.5" thickBot="1">
      <c r="C56" s="6" t="s">
        <v>18</v>
      </c>
    </row>
    <row r="57" ht="12.75">
      <c r="C57" s="4"/>
    </row>
    <row r="58" spans="1:3" ht="15.75">
      <c r="A58" s="1">
        <f>+A34+1</f>
        <v>4</v>
      </c>
      <c r="C58" s="5" t="s">
        <v>144</v>
      </c>
    </row>
    <row r="59" spans="3:16" ht="12.75">
      <c r="C59" s="4" t="str">
        <f>C53</f>
        <v>Debt Reserve</v>
      </c>
      <c r="D59" s="26">
        <v>342.92</v>
      </c>
      <c r="E59" s="26">
        <v>342.92</v>
      </c>
      <c r="F59" s="26">
        <v>342.92</v>
      </c>
      <c r="G59" s="26">
        <v>342.92</v>
      </c>
      <c r="H59" s="26">
        <v>342.92</v>
      </c>
      <c r="I59" s="26">
        <v>342.92</v>
      </c>
      <c r="J59" s="26">
        <v>342.92</v>
      </c>
      <c r="K59" s="26">
        <v>342.92</v>
      </c>
      <c r="L59" s="26">
        <v>342.92</v>
      </c>
      <c r="M59" s="26">
        <v>334.17</v>
      </c>
      <c r="N59" s="26">
        <v>334.17</v>
      </c>
      <c r="O59" s="32">
        <v>334.17</v>
      </c>
      <c r="P59" s="26">
        <f>SUM(D59:O59)</f>
        <v>4088.7900000000004</v>
      </c>
    </row>
    <row r="60" spans="3:16" ht="12.75">
      <c r="C60" s="4" t="str">
        <f>C54</f>
        <v>Treasury Fee</v>
      </c>
      <c r="D60" s="38">
        <v>250</v>
      </c>
      <c r="P60" s="26">
        <f>SUM(D60:O60)</f>
        <v>250</v>
      </c>
    </row>
    <row r="61" spans="3:16" ht="13.5" thickBot="1">
      <c r="C61" s="4" t="str">
        <f>C55</f>
        <v>Intercept</v>
      </c>
      <c r="D61" s="26">
        <f>8750+16990.63</f>
        <v>25740.63</v>
      </c>
      <c r="E61" s="26">
        <f>8750+16990.63</f>
        <v>25740.63</v>
      </c>
      <c r="F61" s="26">
        <f>8750+16990.63</f>
        <v>25740.63</v>
      </c>
      <c r="G61" s="26">
        <f>8750+16990.63</f>
        <v>25740.63</v>
      </c>
      <c r="H61" s="26">
        <f>8750+16684.38</f>
        <v>25434.38</v>
      </c>
      <c r="I61" s="26">
        <f aca="true" t="shared" si="7" ref="I61:O61">8750+16684.38</f>
        <v>25434.38</v>
      </c>
      <c r="J61" s="26">
        <f t="shared" si="7"/>
        <v>25434.38</v>
      </c>
      <c r="K61" s="26">
        <f t="shared" si="7"/>
        <v>25434.38</v>
      </c>
      <c r="L61" s="26">
        <f t="shared" si="7"/>
        <v>25434.38</v>
      </c>
      <c r="M61" s="26">
        <f t="shared" si="7"/>
        <v>25434.38</v>
      </c>
      <c r="N61" s="26">
        <f t="shared" si="7"/>
        <v>25434.38</v>
      </c>
      <c r="O61" s="32">
        <f t="shared" si="7"/>
        <v>25434.38</v>
      </c>
      <c r="P61" s="26">
        <f>SUM(D61:O61)</f>
        <v>306437.56</v>
      </c>
    </row>
    <row r="62" spans="3:16" ht="13.5" thickBot="1">
      <c r="C62" s="6" t="s">
        <v>145</v>
      </c>
      <c r="D62" s="27">
        <f aca="true" t="shared" si="8" ref="D62:P62">SUM(D59:D61)</f>
        <v>26333.550000000003</v>
      </c>
      <c r="E62" s="27">
        <f t="shared" si="8"/>
        <v>26083.55</v>
      </c>
      <c r="F62" s="27">
        <f t="shared" si="8"/>
        <v>26083.55</v>
      </c>
      <c r="G62" s="27">
        <f t="shared" si="8"/>
        <v>26083.55</v>
      </c>
      <c r="H62" s="27">
        <f t="shared" si="8"/>
        <v>25777.3</v>
      </c>
      <c r="I62" s="27">
        <f t="shared" si="8"/>
        <v>25777.3</v>
      </c>
      <c r="J62" s="27">
        <f t="shared" si="8"/>
        <v>25777.3</v>
      </c>
      <c r="K62" s="27">
        <f t="shared" si="8"/>
        <v>25777.3</v>
      </c>
      <c r="L62" s="27">
        <f t="shared" si="8"/>
        <v>25777.3</v>
      </c>
      <c r="M62" s="27">
        <f t="shared" si="8"/>
        <v>25768.55</v>
      </c>
      <c r="N62" s="27">
        <f t="shared" si="8"/>
        <v>25768.55</v>
      </c>
      <c r="O62" s="33">
        <f t="shared" si="8"/>
        <v>25768.55</v>
      </c>
      <c r="P62" s="37">
        <f t="shared" si="8"/>
        <v>310776.35</v>
      </c>
    </row>
    <row r="63" ht="12.75">
      <c r="C63" s="4"/>
    </row>
    <row r="64" spans="2:3" ht="21">
      <c r="B64" s="9" t="s">
        <v>109</v>
      </c>
      <c r="C64" s="10" t="s">
        <v>19</v>
      </c>
    </row>
    <row r="65" ht="12.75">
      <c r="C65" s="4" t="str">
        <f>C59</f>
        <v>Debt Reserve</v>
      </c>
    </row>
    <row r="66" ht="12.75">
      <c r="C66" s="4" t="str">
        <f>C60</f>
        <v>Treasury Fee</v>
      </c>
    </row>
    <row r="67" ht="13.5" thickBot="1">
      <c r="C67" s="4" t="str">
        <f>C61</f>
        <v>Intercept</v>
      </c>
    </row>
    <row r="68" ht="13.5" thickBot="1">
      <c r="C68" s="6" t="s">
        <v>20</v>
      </c>
    </row>
    <row r="69" ht="12.75">
      <c r="C69" s="4"/>
    </row>
    <row r="70" spans="1:3" ht="15.75">
      <c r="A70" s="1">
        <f>+A58+1</f>
        <v>5</v>
      </c>
      <c r="C70" s="5" t="s">
        <v>21</v>
      </c>
    </row>
    <row r="71" spans="3:16" ht="12.75">
      <c r="C71" s="4" t="str">
        <f>C65</f>
        <v>Debt Reserve</v>
      </c>
      <c r="D71" s="26">
        <v>1692.08</v>
      </c>
      <c r="E71" s="26">
        <v>1692.08</v>
      </c>
      <c r="F71" s="26">
        <v>1692.08</v>
      </c>
      <c r="G71" s="26">
        <v>1692.08</v>
      </c>
      <c r="H71" s="26">
        <v>1692.08</v>
      </c>
      <c r="I71" s="26">
        <v>1692.08</v>
      </c>
      <c r="J71" s="26">
        <v>1692.08</v>
      </c>
      <c r="K71" s="26">
        <v>1692.08</v>
      </c>
      <c r="L71" s="26">
        <v>1692.08</v>
      </c>
      <c r="M71" s="26">
        <v>1651.25</v>
      </c>
      <c r="N71" s="26">
        <v>1651.25</v>
      </c>
      <c r="O71" s="32">
        <v>1651.25</v>
      </c>
      <c r="P71" s="26">
        <f>SUM(D71:O71)</f>
        <v>20182.47</v>
      </c>
    </row>
    <row r="72" spans="3:16" ht="12.75">
      <c r="C72" s="4" t="str">
        <f>C66</f>
        <v>Treasury Fee</v>
      </c>
      <c r="D72" s="38">
        <v>250</v>
      </c>
      <c r="P72" s="26">
        <f>SUM(D72:O72)</f>
        <v>250</v>
      </c>
    </row>
    <row r="73" spans="3:16" ht="13.5" thickBot="1">
      <c r="C73" s="4" t="str">
        <f>C67</f>
        <v>Intercept</v>
      </c>
      <c r="D73" s="26">
        <f>40833.33+87368.13</f>
        <v>128201.46</v>
      </c>
      <c r="E73" s="26">
        <f>42500+85693.96</f>
        <v>128193.96</v>
      </c>
      <c r="F73" s="26">
        <f aca="true" t="shared" si="9" ref="F73:O73">42500+85693.96</f>
        <v>128193.96</v>
      </c>
      <c r="G73" s="26">
        <f t="shared" si="9"/>
        <v>128193.96</v>
      </c>
      <c r="H73" s="26">
        <f t="shared" si="9"/>
        <v>128193.96</v>
      </c>
      <c r="I73" s="26">
        <f t="shared" si="9"/>
        <v>128193.96</v>
      </c>
      <c r="J73" s="26">
        <f t="shared" si="9"/>
        <v>128193.96</v>
      </c>
      <c r="K73" s="26">
        <f t="shared" si="9"/>
        <v>128193.96</v>
      </c>
      <c r="L73" s="26">
        <f t="shared" si="9"/>
        <v>128193.96</v>
      </c>
      <c r="M73" s="26">
        <f t="shared" si="9"/>
        <v>128193.96</v>
      </c>
      <c r="N73" s="26">
        <f t="shared" si="9"/>
        <v>128193.96</v>
      </c>
      <c r="O73" s="32">
        <f t="shared" si="9"/>
        <v>128193.96</v>
      </c>
      <c r="P73" s="26">
        <f>SUM(D73:O73)</f>
        <v>1538335.0199999998</v>
      </c>
    </row>
    <row r="74" spans="3:16" ht="13.5" thickBot="1">
      <c r="C74" s="6" t="s">
        <v>22</v>
      </c>
      <c r="D74" s="27">
        <f aca="true" t="shared" si="10" ref="D74:P74">SUM(D71:D73)</f>
        <v>130143.54000000001</v>
      </c>
      <c r="E74" s="27">
        <f t="shared" si="10"/>
        <v>129886.04000000001</v>
      </c>
      <c r="F74" s="27">
        <f t="shared" si="10"/>
        <v>129886.04000000001</v>
      </c>
      <c r="G74" s="27">
        <f t="shared" si="10"/>
        <v>129886.04000000001</v>
      </c>
      <c r="H74" s="27">
        <f t="shared" si="10"/>
        <v>129886.04000000001</v>
      </c>
      <c r="I74" s="27">
        <f t="shared" si="10"/>
        <v>129886.04000000001</v>
      </c>
      <c r="J74" s="27">
        <f t="shared" si="10"/>
        <v>129886.04000000001</v>
      </c>
      <c r="K74" s="27">
        <f t="shared" si="10"/>
        <v>129886.04000000001</v>
      </c>
      <c r="L74" s="27">
        <f t="shared" si="10"/>
        <v>129886.04000000001</v>
      </c>
      <c r="M74" s="27">
        <f t="shared" si="10"/>
        <v>129845.21</v>
      </c>
      <c r="N74" s="27">
        <f t="shared" si="10"/>
        <v>129845.21</v>
      </c>
      <c r="O74" s="33">
        <f t="shared" si="10"/>
        <v>129845.21</v>
      </c>
      <c r="P74" s="37">
        <f t="shared" si="10"/>
        <v>1558767.4899999998</v>
      </c>
    </row>
    <row r="75" ht="12.75">
      <c r="C75" s="4"/>
    </row>
    <row r="76" spans="1:3" ht="15.75">
      <c r="A76" s="1">
        <f>A70+1</f>
        <v>6</v>
      </c>
      <c r="C76" s="5" t="s">
        <v>23</v>
      </c>
    </row>
    <row r="77" spans="3:16" ht="12.75">
      <c r="C77" s="4" t="str">
        <f>C71</f>
        <v>Debt Reserve</v>
      </c>
      <c r="D77" s="39">
        <v>561.67</v>
      </c>
      <c r="E77" s="39">
        <v>561.67</v>
      </c>
      <c r="F77" s="39">
        <v>561.67</v>
      </c>
      <c r="G77" s="39">
        <v>561.67</v>
      </c>
      <c r="H77" s="39">
        <v>561.67</v>
      </c>
      <c r="I77" s="39">
        <v>561.67</v>
      </c>
      <c r="J77" s="39">
        <v>561.67</v>
      </c>
      <c r="K77" s="39">
        <v>561.67</v>
      </c>
      <c r="L77" s="39">
        <v>561.67</v>
      </c>
      <c r="M77" s="39">
        <v>561.67</v>
      </c>
      <c r="N77" s="39">
        <v>543.75</v>
      </c>
      <c r="O77" s="49">
        <v>543.75</v>
      </c>
      <c r="P77" s="26">
        <f>SUM(D77:O77)</f>
        <v>6704.2</v>
      </c>
    </row>
    <row r="78" spans="3:16" ht="12.75">
      <c r="C78" s="4" t="str">
        <f>C72</f>
        <v>Treasury Fee</v>
      </c>
      <c r="D78" s="38">
        <v>250</v>
      </c>
      <c r="P78" s="26">
        <f>SUM(D78:O78)</f>
        <v>250</v>
      </c>
    </row>
    <row r="79" spans="3:16" ht="13.5" thickBot="1">
      <c r="C79" s="4" t="str">
        <f>C73</f>
        <v>Intercept</v>
      </c>
      <c r="D79" s="26">
        <f aca="true" t="shared" si="11" ref="D79:N79">17916.67+28440.63</f>
        <v>46357.3</v>
      </c>
      <c r="E79" s="26">
        <f t="shared" si="11"/>
        <v>46357.3</v>
      </c>
      <c r="F79" s="26">
        <f t="shared" si="11"/>
        <v>46357.3</v>
      </c>
      <c r="G79" s="26">
        <f t="shared" si="11"/>
        <v>46357.3</v>
      </c>
      <c r="H79" s="26">
        <f t="shared" si="11"/>
        <v>46357.3</v>
      </c>
      <c r="I79" s="26">
        <f t="shared" si="11"/>
        <v>46357.3</v>
      </c>
      <c r="J79" s="26">
        <f t="shared" si="11"/>
        <v>46357.3</v>
      </c>
      <c r="K79" s="26">
        <f t="shared" si="11"/>
        <v>46357.3</v>
      </c>
      <c r="L79" s="26">
        <f t="shared" si="11"/>
        <v>46357.3</v>
      </c>
      <c r="M79" s="26">
        <f t="shared" si="11"/>
        <v>46357.3</v>
      </c>
      <c r="N79" s="26">
        <f t="shared" si="11"/>
        <v>46357.3</v>
      </c>
      <c r="O79" s="32">
        <f>19166.67+27544.79</f>
        <v>46711.46</v>
      </c>
      <c r="P79" s="26">
        <f>SUM(D79:O79)</f>
        <v>556641.7599999999</v>
      </c>
    </row>
    <row r="80" spans="3:16" ht="13.5" thickBot="1">
      <c r="C80" s="6" t="s">
        <v>24</v>
      </c>
      <c r="D80" s="27">
        <f aca="true" t="shared" si="12" ref="D80:P80">SUM(D77:D79)</f>
        <v>47168.97</v>
      </c>
      <c r="E80" s="27">
        <f t="shared" si="12"/>
        <v>46918.97</v>
      </c>
      <c r="F80" s="27">
        <f t="shared" si="12"/>
        <v>46918.97</v>
      </c>
      <c r="G80" s="27">
        <f t="shared" si="12"/>
        <v>46918.97</v>
      </c>
      <c r="H80" s="27">
        <f t="shared" si="12"/>
        <v>46918.97</v>
      </c>
      <c r="I80" s="27">
        <f t="shared" si="12"/>
        <v>46918.97</v>
      </c>
      <c r="J80" s="27">
        <f t="shared" si="12"/>
        <v>46918.97</v>
      </c>
      <c r="K80" s="27">
        <f t="shared" si="12"/>
        <v>46918.97</v>
      </c>
      <c r="L80" s="27">
        <f t="shared" si="12"/>
        <v>46918.97</v>
      </c>
      <c r="M80" s="27">
        <f t="shared" si="12"/>
        <v>46918.97</v>
      </c>
      <c r="N80" s="27">
        <f t="shared" si="12"/>
        <v>46901.05</v>
      </c>
      <c r="O80" s="33">
        <f t="shared" si="12"/>
        <v>47255.21</v>
      </c>
      <c r="P80" s="37">
        <f t="shared" si="12"/>
        <v>563595.9599999998</v>
      </c>
    </row>
    <row r="81" ht="12.75">
      <c r="C81" s="12"/>
    </row>
    <row r="82" spans="1:3" ht="15.75">
      <c r="A82" s="1">
        <f>A76+1</f>
        <v>7</v>
      </c>
      <c r="C82" s="5" t="s">
        <v>25</v>
      </c>
    </row>
    <row r="83" spans="3:16" ht="12.75">
      <c r="C83" s="4" t="str">
        <f>C77</f>
        <v>Debt Reserve</v>
      </c>
      <c r="D83" s="26">
        <v>1583.75</v>
      </c>
      <c r="E83" s="26">
        <v>1583.75</v>
      </c>
      <c r="F83" s="26">
        <v>1583.75</v>
      </c>
      <c r="G83" s="26">
        <v>1583.75</v>
      </c>
      <c r="H83" s="26">
        <v>1583.75</v>
      </c>
      <c r="I83" s="26">
        <v>1583.75</v>
      </c>
      <c r="J83" s="26">
        <v>1583.75</v>
      </c>
      <c r="K83" s="26">
        <v>1583.75</v>
      </c>
      <c r="L83" s="26">
        <v>1583.75</v>
      </c>
      <c r="M83" s="26">
        <v>1583.75</v>
      </c>
      <c r="N83" s="26">
        <v>1549.17</v>
      </c>
      <c r="O83" s="32">
        <v>1549.17</v>
      </c>
      <c r="P83" s="26">
        <f>SUM(D83:O83)</f>
        <v>18935.839999999997</v>
      </c>
    </row>
    <row r="84" spans="3:16" ht="12.75">
      <c r="C84" s="4" t="str">
        <f>C78</f>
        <v>Treasury Fee</v>
      </c>
      <c r="D84" s="38">
        <v>250</v>
      </c>
      <c r="P84" s="26">
        <f>SUM(D84:O84)</f>
        <v>250</v>
      </c>
    </row>
    <row r="85" spans="3:16" ht="13.5" thickBot="1">
      <c r="C85" s="4" t="str">
        <f>C79</f>
        <v>Intercept</v>
      </c>
      <c r="D85" s="38">
        <f aca="true" t="shared" si="13" ref="D85:M85">34583.33+84327.08</f>
        <v>118910.41</v>
      </c>
      <c r="E85" s="38">
        <f t="shared" si="13"/>
        <v>118910.41</v>
      </c>
      <c r="F85" s="38">
        <f t="shared" si="13"/>
        <v>118910.41</v>
      </c>
      <c r="G85" s="38">
        <f t="shared" si="13"/>
        <v>118910.41</v>
      </c>
      <c r="H85" s="38">
        <f t="shared" si="13"/>
        <v>118910.41</v>
      </c>
      <c r="I85" s="38">
        <f t="shared" si="13"/>
        <v>118910.41</v>
      </c>
      <c r="J85" s="38">
        <f t="shared" si="13"/>
        <v>118910.41</v>
      </c>
      <c r="K85" s="38">
        <f t="shared" si="13"/>
        <v>118910.41</v>
      </c>
      <c r="L85" s="38">
        <f t="shared" si="13"/>
        <v>118910.41</v>
      </c>
      <c r="M85" s="38">
        <f t="shared" si="13"/>
        <v>118910.41</v>
      </c>
      <c r="N85" s="38">
        <f>36250+82753.54</f>
        <v>119003.54</v>
      </c>
      <c r="O85" s="50">
        <f>36250+82753.54</f>
        <v>119003.54</v>
      </c>
      <c r="P85" s="26">
        <f>SUM(D85:O85)</f>
        <v>1427111.1800000002</v>
      </c>
    </row>
    <row r="86" spans="3:16" ht="13.5" thickBot="1">
      <c r="C86" s="6" t="s">
        <v>26</v>
      </c>
      <c r="D86" s="27">
        <f aca="true" t="shared" si="14" ref="D86:P86">SUM(D83:D85)</f>
        <v>120744.16</v>
      </c>
      <c r="E86" s="27">
        <f t="shared" si="14"/>
        <v>120494.16</v>
      </c>
      <c r="F86" s="27">
        <f t="shared" si="14"/>
        <v>120494.16</v>
      </c>
      <c r="G86" s="27">
        <f t="shared" si="14"/>
        <v>120494.16</v>
      </c>
      <c r="H86" s="27">
        <f t="shared" si="14"/>
        <v>120494.16</v>
      </c>
      <c r="I86" s="27">
        <f t="shared" si="14"/>
        <v>120494.16</v>
      </c>
      <c r="J86" s="27">
        <f t="shared" si="14"/>
        <v>120494.16</v>
      </c>
      <c r="K86" s="27">
        <f t="shared" si="14"/>
        <v>120494.16</v>
      </c>
      <c r="L86" s="27">
        <f t="shared" si="14"/>
        <v>120494.16</v>
      </c>
      <c r="M86" s="27">
        <f t="shared" si="14"/>
        <v>120494.16</v>
      </c>
      <c r="N86" s="27">
        <f t="shared" si="14"/>
        <v>120552.70999999999</v>
      </c>
      <c r="O86" s="33">
        <f t="shared" si="14"/>
        <v>120552.70999999999</v>
      </c>
      <c r="P86" s="37">
        <f t="shared" si="14"/>
        <v>1446297.0200000003</v>
      </c>
    </row>
    <row r="87" ht="12.75">
      <c r="C87" s="12"/>
    </row>
    <row r="88" spans="1:3" ht="15.75">
      <c r="A88" s="1">
        <f>A82+1</f>
        <v>8</v>
      </c>
      <c r="C88" s="5" t="s">
        <v>27</v>
      </c>
    </row>
    <row r="89" spans="3:16" ht="12.75">
      <c r="C89" s="4" t="str">
        <f>C83</f>
        <v>Debt Reserve</v>
      </c>
      <c r="D89" s="26">
        <v>1439.17</v>
      </c>
      <c r="E89" s="26">
        <v>1439.17</v>
      </c>
      <c r="F89" s="26">
        <v>1439.17</v>
      </c>
      <c r="G89" s="26">
        <v>1439.17</v>
      </c>
      <c r="H89" s="26">
        <v>1439.17</v>
      </c>
      <c r="I89" s="26">
        <v>1439.17</v>
      </c>
      <c r="J89" s="26">
        <v>1439.17</v>
      </c>
      <c r="K89" s="26">
        <v>1439.17</v>
      </c>
      <c r="L89" s="26">
        <v>1439.17</v>
      </c>
      <c r="M89" s="26">
        <v>1439.17</v>
      </c>
      <c r="N89" s="26">
        <v>1439.17</v>
      </c>
      <c r="O89" s="32">
        <v>1398.75</v>
      </c>
      <c r="P89" s="26">
        <f>SUM(D89:O89)</f>
        <v>17229.620000000003</v>
      </c>
    </row>
    <row r="90" spans="3:16" ht="12.75">
      <c r="C90" s="4" t="str">
        <f>C84</f>
        <v>Treasury Fee</v>
      </c>
      <c r="D90" s="38">
        <v>250</v>
      </c>
      <c r="P90" s="26">
        <f>SUM(D90:O90)</f>
        <v>250</v>
      </c>
    </row>
    <row r="91" spans="3:16" ht="13.5" thickBot="1">
      <c r="C91" s="4" t="str">
        <f>C85</f>
        <v>Intercept</v>
      </c>
      <c r="D91" s="26">
        <f aca="true" t="shared" si="15" ref="D91:N91">40416.67+72313.54</f>
        <v>112730.20999999999</v>
      </c>
      <c r="E91" s="26">
        <f t="shared" si="15"/>
        <v>112730.20999999999</v>
      </c>
      <c r="F91" s="26">
        <f t="shared" si="15"/>
        <v>112730.20999999999</v>
      </c>
      <c r="G91" s="26">
        <f t="shared" si="15"/>
        <v>112730.20999999999</v>
      </c>
      <c r="H91" s="26">
        <f t="shared" si="15"/>
        <v>112730.20999999999</v>
      </c>
      <c r="I91" s="26">
        <f t="shared" si="15"/>
        <v>112730.20999999999</v>
      </c>
      <c r="J91" s="26">
        <f t="shared" si="15"/>
        <v>112730.20999999999</v>
      </c>
      <c r="K91" s="26">
        <f t="shared" si="15"/>
        <v>112730.20999999999</v>
      </c>
      <c r="L91" s="26">
        <f t="shared" si="15"/>
        <v>112730.20999999999</v>
      </c>
      <c r="M91" s="26">
        <f t="shared" si="15"/>
        <v>112730.20999999999</v>
      </c>
      <c r="N91" s="26">
        <f t="shared" si="15"/>
        <v>112730.20999999999</v>
      </c>
      <c r="O91" s="32">
        <f>42083.33+70797.92</f>
        <v>112881.25</v>
      </c>
      <c r="P91" s="26">
        <f>SUM(D91:O91)</f>
        <v>1352913.5599999998</v>
      </c>
    </row>
    <row r="92" spans="3:16" ht="13.5" thickBot="1">
      <c r="C92" s="6" t="s">
        <v>28</v>
      </c>
      <c r="D92" s="27">
        <f aca="true" t="shared" si="16" ref="D92:P92">SUM(D89:D91)</f>
        <v>114419.37999999999</v>
      </c>
      <c r="E92" s="27">
        <f t="shared" si="16"/>
        <v>114169.37999999999</v>
      </c>
      <c r="F92" s="27">
        <f t="shared" si="16"/>
        <v>114169.37999999999</v>
      </c>
      <c r="G92" s="27">
        <f t="shared" si="16"/>
        <v>114169.37999999999</v>
      </c>
      <c r="H92" s="27">
        <f t="shared" si="16"/>
        <v>114169.37999999999</v>
      </c>
      <c r="I92" s="27">
        <f t="shared" si="16"/>
        <v>114169.37999999999</v>
      </c>
      <c r="J92" s="27">
        <f t="shared" si="16"/>
        <v>114169.37999999999</v>
      </c>
      <c r="K92" s="27">
        <f t="shared" si="16"/>
        <v>114169.37999999999</v>
      </c>
      <c r="L92" s="27">
        <f t="shared" si="16"/>
        <v>114169.37999999999</v>
      </c>
      <c r="M92" s="27">
        <f t="shared" si="16"/>
        <v>114169.37999999999</v>
      </c>
      <c r="N92" s="27">
        <f t="shared" si="16"/>
        <v>114169.37999999999</v>
      </c>
      <c r="O92" s="33">
        <f t="shared" si="16"/>
        <v>114280</v>
      </c>
      <c r="P92" s="37">
        <f t="shared" si="16"/>
        <v>1370393.18</v>
      </c>
    </row>
    <row r="93" ht="12.75">
      <c r="C93" s="12"/>
    </row>
    <row r="94" spans="2:3" ht="21">
      <c r="B94" s="9" t="s">
        <v>109</v>
      </c>
      <c r="C94" s="10" t="s">
        <v>29</v>
      </c>
    </row>
    <row r="95" ht="12.75">
      <c r="C95" s="4" t="str">
        <f>C89</f>
        <v>Debt Reserve</v>
      </c>
    </row>
    <row r="96" ht="12.75">
      <c r="C96" s="4" t="str">
        <f>C90</f>
        <v>Treasury Fee</v>
      </c>
    </row>
    <row r="97" ht="13.5" thickBot="1">
      <c r="C97" s="4" t="str">
        <f>C91</f>
        <v>Intercept</v>
      </c>
    </row>
    <row r="98" ht="13.5" thickBot="1">
      <c r="C98" s="6" t="s">
        <v>30</v>
      </c>
    </row>
    <row r="99" ht="12.75">
      <c r="C99" s="12"/>
    </row>
    <row r="100" spans="2:3" ht="21">
      <c r="B100" s="9" t="s">
        <v>109</v>
      </c>
      <c r="C100" s="10" t="s">
        <v>31</v>
      </c>
    </row>
    <row r="101" ht="12.75">
      <c r="C101" s="4" t="str">
        <f>C95</f>
        <v>Debt Reserve</v>
      </c>
    </row>
    <row r="102" ht="12.75">
      <c r="C102" s="4" t="str">
        <f>C96</f>
        <v>Treasury Fee</v>
      </c>
    </row>
    <row r="103" ht="13.5" thickBot="1">
      <c r="C103" s="4" t="str">
        <f>C97</f>
        <v>Intercept</v>
      </c>
    </row>
    <row r="104" ht="13.5" thickBot="1">
      <c r="C104" s="6" t="s">
        <v>32</v>
      </c>
    </row>
    <row r="105" ht="12.75">
      <c r="C105" s="12"/>
    </row>
    <row r="106" spans="1:3" ht="15.75">
      <c r="A106" s="1">
        <f>+A88+1</f>
        <v>9</v>
      </c>
      <c r="C106" s="5" t="s">
        <v>33</v>
      </c>
    </row>
    <row r="107" spans="3:16" ht="12.75">
      <c r="C107" s="4" t="str">
        <f>C89</f>
        <v>Debt Reserve</v>
      </c>
      <c r="D107" s="26">
        <v>536.67</v>
      </c>
      <c r="E107" s="26">
        <v>536.67</v>
      </c>
      <c r="F107" s="26">
        <v>524.17</v>
      </c>
      <c r="G107" s="26">
        <v>524.17</v>
      </c>
      <c r="H107" s="26">
        <v>524.17</v>
      </c>
      <c r="I107" s="26">
        <v>524.17</v>
      </c>
      <c r="J107" s="26">
        <v>524.17</v>
      </c>
      <c r="K107" s="26">
        <v>524.17</v>
      </c>
      <c r="L107" s="26">
        <v>524.17</v>
      </c>
      <c r="M107" s="26">
        <v>524.17</v>
      </c>
      <c r="N107" s="26">
        <v>524.17</v>
      </c>
      <c r="O107" s="32">
        <v>524.17</v>
      </c>
      <c r="P107" s="26">
        <f>SUM(D107:O107)</f>
        <v>6315.04</v>
      </c>
    </row>
    <row r="108" spans="3:16" ht="12.75">
      <c r="C108" s="4" t="str">
        <f>C90</f>
        <v>Treasury Fee</v>
      </c>
      <c r="D108" s="38">
        <v>250</v>
      </c>
      <c r="P108" s="26">
        <f>SUM(D108:O108)</f>
        <v>250</v>
      </c>
    </row>
    <row r="109" spans="3:16" ht="13.5" thickBot="1">
      <c r="C109" s="4" t="str">
        <f>C91</f>
        <v>Intercept</v>
      </c>
      <c r="D109" s="26">
        <f aca="true" t="shared" si="17" ref="D109:J109">13333.33+27403.13</f>
        <v>40736.46</v>
      </c>
      <c r="E109" s="26">
        <f t="shared" si="17"/>
        <v>40736.46</v>
      </c>
      <c r="F109" s="26">
        <f t="shared" si="17"/>
        <v>40736.46</v>
      </c>
      <c r="G109" s="26">
        <f t="shared" si="17"/>
        <v>40736.46</v>
      </c>
      <c r="H109" s="26">
        <f t="shared" si="17"/>
        <v>40736.46</v>
      </c>
      <c r="I109" s="26">
        <f t="shared" si="17"/>
        <v>40736.46</v>
      </c>
      <c r="J109" s="26">
        <f t="shared" si="17"/>
        <v>40736.46</v>
      </c>
      <c r="K109" s="26">
        <f>13750+26936.46</f>
        <v>40686.46</v>
      </c>
      <c r="L109" s="26">
        <f>13750+26936.46</f>
        <v>40686.46</v>
      </c>
      <c r="M109" s="26">
        <f>13750+26936.46</f>
        <v>40686.46</v>
      </c>
      <c r="N109" s="26">
        <f>13750+26936.46</f>
        <v>40686.46</v>
      </c>
      <c r="O109" s="32">
        <f>13750+26936.46</f>
        <v>40686.46</v>
      </c>
      <c r="P109" s="26">
        <f>SUM(D109:O109)</f>
        <v>488587.5200000001</v>
      </c>
    </row>
    <row r="110" spans="3:16" ht="13.5" thickBot="1">
      <c r="C110" s="6" t="s">
        <v>34</v>
      </c>
      <c r="D110" s="27">
        <f aca="true" t="shared" si="18" ref="D110:P110">SUM(D107:D109)</f>
        <v>41523.13</v>
      </c>
      <c r="E110" s="27">
        <f t="shared" si="18"/>
        <v>41273.13</v>
      </c>
      <c r="F110" s="27">
        <f t="shared" si="18"/>
        <v>41260.63</v>
      </c>
      <c r="G110" s="27">
        <f t="shared" si="18"/>
        <v>41260.63</v>
      </c>
      <c r="H110" s="27">
        <f t="shared" si="18"/>
        <v>41260.63</v>
      </c>
      <c r="I110" s="27">
        <f t="shared" si="18"/>
        <v>41260.63</v>
      </c>
      <c r="J110" s="27">
        <f t="shared" si="18"/>
        <v>41260.63</v>
      </c>
      <c r="K110" s="27">
        <f t="shared" si="18"/>
        <v>41210.63</v>
      </c>
      <c r="L110" s="27">
        <f t="shared" si="18"/>
        <v>41210.63</v>
      </c>
      <c r="M110" s="27">
        <f t="shared" si="18"/>
        <v>41210.63</v>
      </c>
      <c r="N110" s="27">
        <f t="shared" si="18"/>
        <v>41210.63</v>
      </c>
      <c r="O110" s="33">
        <f t="shared" si="18"/>
        <v>41210.63</v>
      </c>
      <c r="P110" s="37">
        <f t="shared" si="18"/>
        <v>495152.56000000006</v>
      </c>
    </row>
    <row r="111" ht="12.75">
      <c r="C111" s="12"/>
    </row>
    <row r="112" spans="1:3" ht="15.75">
      <c r="A112" s="1">
        <f>A106+1</f>
        <v>10</v>
      </c>
      <c r="C112" s="5" t="s">
        <v>35</v>
      </c>
    </row>
    <row r="113" spans="3:16" ht="12.75">
      <c r="C113" s="4" t="str">
        <f>C95</f>
        <v>Debt Reserve</v>
      </c>
      <c r="D113" s="26">
        <v>575.83</v>
      </c>
      <c r="E113" s="26">
        <v>575.83</v>
      </c>
      <c r="F113" s="26">
        <v>575.83</v>
      </c>
      <c r="G113" s="26">
        <v>575.83</v>
      </c>
      <c r="H113" s="26">
        <v>560.42</v>
      </c>
      <c r="I113" s="26">
        <v>560.42</v>
      </c>
      <c r="J113" s="26">
        <v>560.42</v>
      </c>
      <c r="K113" s="26">
        <v>560.42</v>
      </c>
      <c r="L113" s="26">
        <v>560.42</v>
      </c>
      <c r="M113" s="26">
        <v>560.42</v>
      </c>
      <c r="N113" s="26">
        <v>560.42</v>
      </c>
      <c r="O113" s="32">
        <v>560.42</v>
      </c>
      <c r="P113" s="26">
        <f>SUM(D113:O113)</f>
        <v>6786.68</v>
      </c>
    </row>
    <row r="114" spans="3:16" ht="12.75">
      <c r="C114" s="4" t="str">
        <f>C96</f>
        <v>Treasury Fee</v>
      </c>
      <c r="D114" s="38">
        <v>250</v>
      </c>
      <c r="P114" s="26">
        <f>SUM(D114:O114)</f>
        <v>250</v>
      </c>
    </row>
    <row r="115" spans="3:16" ht="13.5" thickBot="1">
      <c r="C115" s="4" t="str">
        <f>C97</f>
        <v>Intercept</v>
      </c>
      <c r="D115" s="26">
        <f aca="true" t="shared" si="19" ref="D115:L115">15833.33+25435.73</f>
        <v>41269.06</v>
      </c>
      <c r="E115" s="26">
        <f t="shared" si="19"/>
        <v>41269.06</v>
      </c>
      <c r="F115" s="26">
        <f t="shared" si="19"/>
        <v>41269.06</v>
      </c>
      <c r="G115" s="26">
        <f t="shared" si="19"/>
        <v>41269.06</v>
      </c>
      <c r="H115" s="26">
        <f t="shared" si="19"/>
        <v>41269.06</v>
      </c>
      <c r="I115" s="26">
        <f t="shared" si="19"/>
        <v>41269.06</v>
      </c>
      <c r="J115" s="26">
        <f t="shared" si="19"/>
        <v>41269.06</v>
      </c>
      <c r="K115" s="26">
        <f t="shared" si="19"/>
        <v>41269.06</v>
      </c>
      <c r="L115" s="26">
        <f t="shared" si="19"/>
        <v>41269.06</v>
      </c>
      <c r="M115" s="26">
        <f>16250+24901.36</f>
        <v>41151.36</v>
      </c>
      <c r="N115" s="26">
        <f>16250+24901.36</f>
        <v>41151.36</v>
      </c>
      <c r="O115" s="32">
        <f>16250+24901.36</f>
        <v>41151.36</v>
      </c>
      <c r="P115" s="26">
        <f>SUM(D115:O115)</f>
        <v>494875.61999999994</v>
      </c>
    </row>
    <row r="116" spans="3:16" ht="13.5" thickBot="1">
      <c r="C116" s="6" t="s">
        <v>36</v>
      </c>
      <c r="D116" s="27">
        <f aca="true" t="shared" si="20" ref="D116:P116">SUM(D113:D115)</f>
        <v>42094.89</v>
      </c>
      <c r="E116" s="27">
        <f t="shared" si="20"/>
        <v>41844.89</v>
      </c>
      <c r="F116" s="27">
        <f t="shared" si="20"/>
        <v>41844.89</v>
      </c>
      <c r="G116" s="27">
        <f t="shared" si="20"/>
        <v>41844.89</v>
      </c>
      <c r="H116" s="27">
        <f t="shared" si="20"/>
        <v>41829.479999999996</v>
      </c>
      <c r="I116" s="27">
        <f t="shared" si="20"/>
        <v>41829.479999999996</v>
      </c>
      <c r="J116" s="27">
        <f t="shared" si="20"/>
        <v>41829.479999999996</v>
      </c>
      <c r="K116" s="27">
        <f t="shared" si="20"/>
        <v>41829.479999999996</v>
      </c>
      <c r="L116" s="27">
        <f t="shared" si="20"/>
        <v>41829.479999999996</v>
      </c>
      <c r="M116" s="27">
        <f t="shared" si="20"/>
        <v>41711.78</v>
      </c>
      <c r="N116" s="27">
        <f t="shared" si="20"/>
        <v>41711.78</v>
      </c>
      <c r="O116" s="33">
        <f t="shared" si="20"/>
        <v>41711.78</v>
      </c>
      <c r="P116" s="37">
        <f t="shared" si="20"/>
        <v>501912.29999999993</v>
      </c>
    </row>
    <row r="117" ht="12.75">
      <c r="C117" s="12"/>
    </row>
    <row r="118" spans="1:3" ht="15.75">
      <c r="A118" s="1">
        <f>A112+1</f>
        <v>11</v>
      </c>
      <c r="C118" s="5" t="s">
        <v>164</v>
      </c>
    </row>
    <row r="119" spans="3:16" ht="12.75">
      <c r="C119" s="4" t="str">
        <f>C101</f>
        <v>Debt Reserve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32">
        <v>0</v>
      </c>
      <c r="P119" s="26">
        <f>SUM(D119:O119)</f>
        <v>0</v>
      </c>
    </row>
    <row r="120" spans="3:16" ht="12.75">
      <c r="C120" s="4" t="str">
        <f>C102</f>
        <v>Treasury Fee</v>
      </c>
      <c r="D120" s="38">
        <v>250</v>
      </c>
      <c r="P120" s="26">
        <f>SUM(D120:O120)</f>
        <v>250</v>
      </c>
    </row>
    <row r="121" spans="3:16" ht="13.5" thickBot="1">
      <c r="C121" s="4" t="str">
        <f>C103</f>
        <v>Intercept</v>
      </c>
      <c r="D121" s="26">
        <f aca="true" t="shared" si="21" ref="D121:K121">7500+34042.19</f>
        <v>41542.19</v>
      </c>
      <c r="E121" s="26">
        <f t="shared" si="21"/>
        <v>41542.19</v>
      </c>
      <c r="F121" s="26">
        <f t="shared" si="21"/>
        <v>41542.19</v>
      </c>
      <c r="G121" s="26">
        <f t="shared" si="21"/>
        <v>41542.19</v>
      </c>
      <c r="H121" s="26">
        <f t="shared" si="21"/>
        <v>41542.19</v>
      </c>
      <c r="I121" s="26">
        <f t="shared" si="21"/>
        <v>41542.19</v>
      </c>
      <c r="J121" s="26">
        <f t="shared" si="21"/>
        <v>41542.19</v>
      </c>
      <c r="K121" s="26">
        <f t="shared" si="21"/>
        <v>41542.19</v>
      </c>
      <c r="L121" s="26">
        <f>8333.33+33535.94</f>
        <v>41869.270000000004</v>
      </c>
      <c r="M121" s="26">
        <f>8333.33+33535.94</f>
        <v>41869.270000000004</v>
      </c>
      <c r="N121" s="26">
        <f>8333.33+33535.94</f>
        <v>41869.270000000004</v>
      </c>
      <c r="O121" s="32">
        <f>8333.33+33535.94</f>
        <v>41869.270000000004</v>
      </c>
      <c r="P121" s="26">
        <f>SUM(D121:O121)</f>
        <v>499814.6000000001</v>
      </c>
    </row>
    <row r="122" spans="3:16" ht="13.5" thickBot="1">
      <c r="C122" s="6" t="s">
        <v>37</v>
      </c>
      <c r="D122" s="27">
        <f aca="true" t="shared" si="22" ref="D122:P122">SUM(D119:D121)</f>
        <v>41792.19</v>
      </c>
      <c r="E122" s="27">
        <f t="shared" si="22"/>
        <v>41542.19</v>
      </c>
      <c r="F122" s="27">
        <f t="shared" si="22"/>
        <v>41542.19</v>
      </c>
      <c r="G122" s="27">
        <f t="shared" si="22"/>
        <v>41542.19</v>
      </c>
      <c r="H122" s="27">
        <f t="shared" si="22"/>
        <v>41542.19</v>
      </c>
      <c r="I122" s="27">
        <f t="shared" si="22"/>
        <v>41542.19</v>
      </c>
      <c r="J122" s="27">
        <f t="shared" si="22"/>
        <v>41542.19</v>
      </c>
      <c r="K122" s="27">
        <f t="shared" si="22"/>
        <v>41542.19</v>
      </c>
      <c r="L122" s="27">
        <f t="shared" si="22"/>
        <v>41869.270000000004</v>
      </c>
      <c r="M122" s="27">
        <f t="shared" si="22"/>
        <v>41869.270000000004</v>
      </c>
      <c r="N122" s="27">
        <f t="shared" si="22"/>
        <v>41869.270000000004</v>
      </c>
      <c r="O122" s="33">
        <f t="shared" si="22"/>
        <v>41869.270000000004</v>
      </c>
      <c r="P122" s="37">
        <f t="shared" si="22"/>
        <v>500064.6000000001</v>
      </c>
    </row>
    <row r="123" ht="12.75">
      <c r="C123" s="12"/>
    </row>
    <row r="124" spans="1:3" ht="15.75">
      <c r="A124" s="1">
        <f>A118+1</f>
        <v>12</v>
      </c>
      <c r="C124" s="5" t="s">
        <v>38</v>
      </c>
    </row>
    <row r="125" spans="3:16" ht="12.75">
      <c r="C125" s="4" t="str">
        <f>C107</f>
        <v>Debt Reserve</v>
      </c>
      <c r="D125" s="26">
        <v>464.17</v>
      </c>
      <c r="E125" s="26">
        <v>464.17</v>
      </c>
      <c r="F125" s="26">
        <v>464.17</v>
      </c>
      <c r="G125" s="26">
        <v>464.17</v>
      </c>
      <c r="H125" s="26">
        <v>464.17</v>
      </c>
      <c r="I125" s="26">
        <v>464.17</v>
      </c>
      <c r="J125" s="26">
        <v>464.17</v>
      </c>
      <c r="K125" s="26">
        <v>464.17</v>
      </c>
      <c r="L125" s="26">
        <v>464.17</v>
      </c>
      <c r="M125" s="26">
        <v>464.17</v>
      </c>
      <c r="N125" s="26">
        <v>452.5</v>
      </c>
      <c r="O125" s="32">
        <v>452.5</v>
      </c>
      <c r="P125" s="26">
        <f>SUM(D125:O125)</f>
        <v>5546.7</v>
      </c>
    </row>
    <row r="126" spans="3:16" ht="12.75">
      <c r="C126" s="4" t="str">
        <f>C108</f>
        <v>Treasury Fee</v>
      </c>
      <c r="D126" s="38">
        <v>250</v>
      </c>
      <c r="P126" s="26">
        <f>SUM(D126:O126)</f>
        <v>250</v>
      </c>
    </row>
    <row r="127" spans="3:16" ht="13.5" thickBot="1">
      <c r="C127" s="4" t="str">
        <f>C109</f>
        <v>Intercept</v>
      </c>
      <c r="D127" s="26">
        <f>11666.67+23369.27</f>
        <v>35035.94</v>
      </c>
      <c r="E127" s="26">
        <f>11666.67+23369.27</f>
        <v>35035.94</v>
      </c>
      <c r="F127" s="26">
        <f>11666.67+23369.27</f>
        <v>35035.94</v>
      </c>
      <c r="G127" s="26">
        <f>11666.67+23369.27</f>
        <v>35035.94</v>
      </c>
      <c r="H127" s="26">
        <f>11666.67+23369.27</f>
        <v>35035.94</v>
      </c>
      <c r="I127" s="26">
        <f>12083.33+22975.52</f>
        <v>35058.85</v>
      </c>
      <c r="J127" s="26">
        <f aca="true" t="shared" si="23" ref="J127:O127">12083.33+22975.52</f>
        <v>35058.85</v>
      </c>
      <c r="K127" s="26">
        <f t="shared" si="23"/>
        <v>35058.85</v>
      </c>
      <c r="L127" s="26">
        <f t="shared" si="23"/>
        <v>35058.85</v>
      </c>
      <c r="M127" s="26">
        <f t="shared" si="23"/>
        <v>35058.85</v>
      </c>
      <c r="N127" s="26">
        <f t="shared" si="23"/>
        <v>35058.85</v>
      </c>
      <c r="O127" s="32">
        <f t="shared" si="23"/>
        <v>35058.85</v>
      </c>
      <c r="P127" s="26">
        <f>SUM(D127:O127)</f>
        <v>420591.6499999999</v>
      </c>
    </row>
    <row r="128" spans="3:16" ht="13.5" thickBot="1">
      <c r="C128" s="6" t="s">
        <v>39</v>
      </c>
      <c r="D128" s="27">
        <f aca="true" t="shared" si="24" ref="D128:P128">SUM(D125:D127)</f>
        <v>35750.11</v>
      </c>
      <c r="E128" s="27">
        <f t="shared" si="24"/>
        <v>35500.11</v>
      </c>
      <c r="F128" s="27">
        <f t="shared" si="24"/>
        <v>35500.11</v>
      </c>
      <c r="G128" s="27">
        <f t="shared" si="24"/>
        <v>35500.11</v>
      </c>
      <c r="H128" s="27">
        <f t="shared" si="24"/>
        <v>35500.11</v>
      </c>
      <c r="I128" s="27">
        <f t="shared" si="24"/>
        <v>35523.02</v>
      </c>
      <c r="J128" s="27">
        <f t="shared" si="24"/>
        <v>35523.02</v>
      </c>
      <c r="K128" s="27">
        <f t="shared" si="24"/>
        <v>35523.02</v>
      </c>
      <c r="L128" s="27">
        <f t="shared" si="24"/>
        <v>35523.02</v>
      </c>
      <c r="M128" s="27">
        <f t="shared" si="24"/>
        <v>35523.02</v>
      </c>
      <c r="N128" s="27">
        <f t="shared" si="24"/>
        <v>35511.35</v>
      </c>
      <c r="O128" s="33">
        <f t="shared" si="24"/>
        <v>35511.35</v>
      </c>
      <c r="P128" s="37">
        <f t="shared" si="24"/>
        <v>426388.3499999999</v>
      </c>
    </row>
    <row r="129" ht="12.75">
      <c r="C129" s="12"/>
    </row>
    <row r="130" spans="1:3" ht="15.75">
      <c r="A130" s="1">
        <f>A124+1</f>
        <v>13</v>
      </c>
      <c r="C130" s="5" t="s">
        <v>46</v>
      </c>
    </row>
    <row r="131" spans="3:16" ht="12.75">
      <c r="C131" s="4" t="str">
        <f>C113</f>
        <v>Debt Reserve</v>
      </c>
      <c r="D131" s="26">
        <v>1035.42</v>
      </c>
      <c r="E131" s="26">
        <v>1035.42</v>
      </c>
      <c r="F131" s="26">
        <v>1035.42</v>
      </c>
      <c r="G131" s="26">
        <v>1035.42</v>
      </c>
      <c r="H131" s="26">
        <v>1035.42</v>
      </c>
      <c r="I131" s="26">
        <v>1035.42</v>
      </c>
      <c r="J131" s="26">
        <v>1035.42</v>
      </c>
      <c r="K131" s="26">
        <v>1035.42</v>
      </c>
      <c r="L131" s="26">
        <v>1035.42</v>
      </c>
      <c r="M131" s="26">
        <v>1035.42</v>
      </c>
      <c r="N131" s="26">
        <v>1035.42</v>
      </c>
      <c r="O131" s="32">
        <v>1005.42</v>
      </c>
      <c r="P131" s="26">
        <f>SUM(D131:O131)</f>
        <v>12395.04</v>
      </c>
    </row>
    <row r="132" spans="3:16" ht="12.75">
      <c r="C132" s="4" t="str">
        <f>C114</f>
        <v>Treasury Fee</v>
      </c>
      <c r="D132" s="38">
        <v>250</v>
      </c>
      <c r="P132" s="26">
        <f>SUM(D132:O132)</f>
        <v>250</v>
      </c>
    </row>
    <row r="133" spans="3:16" ht="13.5" thickBot="1">
      <c r="C133" s="4" t="str">
        <f>C115</f>
        <v>Intercept</v>
      </c>
      <c r="D133" s="26">
        <f>30000+51403.65</f>
        <v>81403.65</v>
      </c>
      <c r="E133" s="26">
        <f>30000+51403.65</f>
        <v>81403.65</v>
      </c>
      <c r="F133" s="26">
        <f>31250+50466.15</f>
        <v>81716.15</v>
      </c>
      <c r="G133" s="26">
        <f aca="true" t="shared" si="25" ref="G133:O133">31250+50466.15</f>
        <v>81716.15</v>
      </c>
      <c r="H133" s="26">
        <f t="shared" si="25"/>
        <v>81716.15</v>
      </c>
      <c r="I133" s="26">
        <f t="shared" si="25"/>
        <v>81716.15</v>
      </c>
      <c r="J133" s="26">
        <f t="shared" si="25"/>
        <v>81716.15</v>
      </c>
      <c r="K133" s="26">
        <f t="shared" si="25"/>
        <v>81716.15</v>
      </c>
      <c r="L133" s="26">
        <f t="shared" si="25"/>
        <v>81716.15</v>
      </c>
      <c r="M133" s="26">
        <f t="shared" si="25"/>
        <v>81716.15</v>
      </c>
      <c r="N133" s="26">
        <f t="shared" si="25"/>
        <v>81716.15</v>
      </c>
      <c r="O133" s="32">
        <f t="shared" si="25"/>
        <v>81716.15</v>
      </c>
      <c r="P133" s="26">
        <f>SUM(D133:O133)</f>
        <v>979968.8000000002</v>
      </c>
    </row>
    <row r="134" spans="3:16" ht="13.5" thickBot="1">
      <c r="C134" s="6" t="s">
        <v>40</v>
      </c>
      <c r="D134" s="27">
        <f aca="true" t="shared" si="26" ref="D134:P134">SUM(D131:D133)</f>
        <v>82689.06999999999</v>
      </c>
      <c r="E134" s="27">
        <f t="shared" si="26"/>
        <v>82439.06999999999</v>
      </c>
      <c r="F134" s="27">
        <f t="shared" si="26"/>
        <v>82751.56999999999</v>
      </c>
      <c r="G134" s="27">
        <f t="shared" si="26"/>
        <v>82751.56999999999</v>
      </c>
      <c r="H134" s="27">
        <f t="shared" si="26"/>
        <v>82751.56999999999</v>
      </c>
      <c r="I134" s="27">
        <f t="shared" si="26"/>
        <v>82751.56999999999</v>
      </c>
      <c r="J134" s="27">
        <f t="shared" si="26"/>
        <v>82751.56999999999</v>
      </c>
      <c r="K134" s="27">
        <f t="shared" si="26"/>
        <v>82751.56999999999</v>
      </c>
      <c r="L134" s="27">
        <f t="shared" si="26"/>
        <v>82751.56999999999</v>
      </c>
      <c r="M134" s="27">
        <f t="shared" si="26"/>
        <v>82751.56999999999</v>
      </c>
      <c r="N134" s="27">
        <f t="shared" si="26"/>
        <v>82751.56999999999</v>
      </c>
      <c r="O134" s="33">
        <f t="shared" si="26"/>
        <v>82721.56999999999</v>
      </c>
      <c r="P134" s="37">
        <f t="shared" si="26"/>
        <v>992613.8400000002</v>
      </c>
    </row>
    <row r="135" ht="12.75">
      <c r="C135" s="12"/>
    </row>
    <row r="136" spans="2:3" ht="21">
      <c r="B136" s="9" t="s">
        <v>109</v>
      </c>
      <c r="C136" s="41" t="s">
        <v>47</v>
      </c>
    </row>
    <row r="137" spans="3:16" ht="12.75">
      <c r="C137" s="4" t="str">
        <f>C119</f>
        <v>Debt Reserve</v>
      </c>
      <c r="D137" s="26">
        <v>130.89</v>
      </c>
      <c r="E137" s="26">
        <v>130.89</v>
      </c>
      <c r="F137" s="26">
        <v>130.89</v>
      </c>
      <c r="G137" s="26">
        <v>130.89</v>
      </c>
      <c r="H137" s="26">
        <v>130.89</v>
      </c>
      <c r="I137" s="26">
        <v>130.89</v>
      </c>
      <c r="J137" s="26">
        <v>122.14</v>
      </c>
      <c r="K137" s="26">
        <v>122.14</v>
      </c>
      <c r="L137" s="26">
        <v>122.14</v>
      </c>
      <c r="M137" s="26">
        <v>122.14</v>
      </c>
      <c r="N137" s="26"/>
      <c r="O137" s="32"/>
      <c r="P137" s="26">
        <f>SUM(D137:O137)</f>
        <v>1273.9</v>
      </c>
    </row>
    <row r="138" spans="3:16" ht="12.75">
      <c r="C138" s="4" t="str">
        <f>C120</f>
        <v>Treasury Fee</v>
      </c>
      <c r="D138" s="38">
        <v>250</v>
      </c>
      <c r="P138" s="26">
        <f>SUM(D138:O138)</f>
        <v>250</v>
      </c>
    </row>
    <row r="139" spans="3:16" ht="13.5" thickBot="1">
      <c r="C139" s="4" t="str">
        <f>C121</f>
        <v>Intercept</v>
      </c>
      <c r="D139" s="26">
        <f aca="true" t="shared" si="27" ref="D139:K139">8333.33+7328.33</f>
        <v>15661.66</v>
      </c>
      <c r="E139" s="26">
        <f t="shared" si="27"/>
        <v>15661.66</v>
      </c>
      <c r="F139" s="26">
        <f t="shared" si="27"/>
        <v>15661.66</v>
      </c>
      <c r="G139" s="26">
        <f t="shared" si="27"/>
        <v>15661.66</v>
      </c>
      <c r="H139" s="26">
        <f t="shared" si="27"/>
        <v>15661.66</v>
      </c>
      <c r="I139" s="26">
        <f t="shared" si="27"/>
        <v>15661.66</v>
      </c>
      <c r="J139" s="26">
        <f t="shared" si="27"/>
        <v>15661.66</v>
      </c>
      <c r="K139" s="26">
        <f t="shared" si="27"/>
        <v>15661.66</v>
      </c>
      <c r="L139" s="26">
        <f>8750+7026.25</f>
        <v>15776.25</v>
      </c>
      <c r="M139" s="26">
        <f>8750+7026.25</f>
        <v>15776.25</v>
      </c>
      <c r="N139" s="26"/>
      <c r="O139" s="32"/>
      <c r="P139" s="26">
        <f>SUM(D139:O139)</f>
        <v>156845.78000000003</v>
      </c>
    </row>
    <row r="140" spans="3:16" ht="13.5" thickBot="1">
      <c r="C140" s="6" t="s">
        <v>48</v>
      </c>
      <c r="D140" s="27">
        <f aca="true" t="shared" si="28" ref="D140:P140">SUM(D137:D139)</f>
        <v>16042.55</v>
      </c>
      <c r="E140" s="27">
        <f t="shared" si="28"/>
        <v>15792.55</v>
      </c>
      <c r="F140" s="27">
        <f t="shared" si="28"/>
        <v>15792.55</v>
      </c>
      <c r="G140" s="27">
        <f t="shared" si="28"/>
        <v>15792.55</v>
      </c>
      <c r="H140" s="27">
        <f t="shared" si="28"/>
        <v>15792.55</v>
      </c>
      <c r="I140" s="27">
        <f t="shared" si="28"/>
        <v>15792.55</v>
      </c>
      <c r="J140" s="27">
        <f t="shared" si="28"/>
        <v>15783.8</v>
      </c>
      <c r="K140" s="27">
        <f t="shared" si="28"/>
        <v>15783.8</v>
      </c>
      <c r="L140" s="27">
        <f t="shared" si="28"/>
        <v>15898.39</v>
      </c>
      <c r="M140" s="27">
        <f t="shared" si="28"/>
        <v>15898.39</v>
      </c>
      <c r="N140" s="27">
        <f t="shared" si="28"/>
        <v>0</v>
      </c>
      <c r="O140" s="33">
        <f t="shared" si="28"/>
        <v>0</v>
      </c>
      <c r="P140" s="37">
        <f t="shared" si="28"/>
        <v>158369.68000000002</v>
      </c>
    </row>
    <row r="141" ht="12.75">
      <c r="C141" s="12"/>
    </row>
    <row r="142" spans="1:3" ht="15.75">
      <c r="A142" s="1">
        <f>A130+1</f>
        <v>14</v>
      </c>
      <c r="C142" s="5" t="s">
        <v>49</v>
      </c>
    </row>
    <row r="143" spans="3:16" ht="12.75">
      <c r="C143" s="4" t="str">
        <f>C125</f>
        <v>Debt Reserve</v>
      </c>
      <c r="D143" s="26">
        <v>570.42</v>
      </c>
      <c r="E143" s="26">
        <v>570.42</v>
      </c>
      <c r="F143" s="26">
        <v>556.25</v>
      </c>
      <c r="G143" s="26">
        <v>556.25</v>
      </c>
      <c r="H143" s="26">
        <v>556.25</v>
      </c>
      <c r="I143" s="26">
        <v>556.25</v>
      </c>
      <c r="J143" s="26">
        <v>556.25</v>
      </c>
      <c r="K143" s="26">
        <v>556.25</v>
      </c>
      <c r="L143" s="26">
        <v>556.25</v>
      </c>
      <c r="M143" s="26">
        <v>556.25</v>
      </c>
      <c r="N143" s="26">
        <v>556.25</v>
      </c>
      <c r="O143" s="32">
        <v>556.25</v>
      </c>
      <c r="P143" s="26">
        <f>SUM(D143:O143)</f>
        <v>6703.34</v>
      </c>
    </row>
    <row r="144" spans="3:16" ht="12.75">
      <c r="C144" s="4" t="str">
        <f>C126</f>
        <v>Treasury Fee</v>
      </c>
      <c r="D144" s="38">
        <v>250</v>
      </c>
      <c r="P144" s="26">
        <f>SUM(D144:O144)</f>
        <v>250</v>
      </c>
    </row>
    <row r="145" spans="3:16" ht="13.5" thickBot="1">
      <c r="C145" s="4" t="str">
        <f>C127</f>
        <v>Intercept</v>
      </c>
      <c r="D145" s="26">
        <f>14583.33+29493.13</f>
        <v>44076.46</v>
      </c>
      <c r="E145" s="26">
        <f>14583.33+29493.13</f>
        <v>44076.46</v>
      </c>
      <c r="F145" s="26">
        <f>14583.33+29493.13</f>
        <v>44076.46</v>
      </c>
      <c r="G145" s="26">
        <f>14583.33+29493.13</f>
        <v>44076.46</v>
      </c>
      <c r="H145" s="26">
        <f>14583.33+29493.13</f>
        <v>44076.46</v>
      </c>
      <c r="I145" s="26">
        <f>15000+28968.13</f>
        <v>43968.130000000005</v>
      </c>
      <c r="J145" s="26">
        <f aca="true" t="shared" si="29" ref="J145:O145">15000+28968.13</f>
        <v>43968.130000000005</v>
      </c>
      <c r="K145" s="26">
        <f t="shared" si="29"/>
        <v>43968.130000000005</v>
      </c>
      <c r="L145" s="26">
        <f t="shared" si="29"/>
        <v>43968.130000000005</v>
      </c>
      <c r="M145" s="26">
        <f t="shared" si="29"/>
        <v>43968.130000000005</v>
      </c>
      <c r="N145" s="26">
        <f t="shared" si="29"/>
        <v>43968.130000000005</v>
      </c>
      <c r="O145" s="32">
        <f t="shared" si="29"/>
        <v>43968.130000000005</v>
      </c>
      <c r="P145" s="26">
        <f>SUM(D145:O145)</f>
        <v>528159.21</v>
      </c>
    </row>
    <row r="146" spans="3:16" ht="13.5" thickBot="1">
      <c r="C146" s="6" t="s">
        <v>50</v>
      </c>
      <c r="D146" s="27">
        <f aca="true" t="shared" si="30" ref="D146:P146">SUM(D143:D145)</f>
        <v>44896.88</v>
      </c>
      <c r="E146" s="27">
        <f t="shared" si="30"/>
        <v>44646.88</v>
      </c>
      <c r="F146" s="27">
        <f t="shared" si="30"/>
        <v>44632.71</v>
      </c>
      <c r="G146" s="27">
        <f t="shared" si="30"/>
        <v>44632.71</v>
      </c>
      <c r="H146" s="27">
        <f t="shared" si="30"/>
        <v>44632.71</v>
      </c>
      <c r="I146" s="27">
        <f t="shared" si="30"/>
        <v>44524.380000000005</v>
      </c>
      <c r="J146" s="27">
        <f t="shared" si="30"/>
        <v>44524.380000000005</v>
      </c>
      <c r="K146" s="27">
        <f t="shared" si="30"/>
        <v>44524.380000000005</v>
      </c>
      <c r="L146" s="27">
        <f t="shared" si="30"/>
        <v>44524.380000000005</v>
      </c>
      <c r="M146" s="27">
        <f t="shared" si="30"/>
        <v>44524.380000000005</v>
      </c>
      <c r="N146" s="27">
        <f t="shared" si="30"/>
        <v>44524.380000000005</v>
      </c>
      <c r="O146" s="33">
        <f t="shared" si="30"/>
        <v>44524.380000000005</v>
      </c>
      <c r="P146" s="37">
        <f t="shared" si="30"/>
        <v>535112.5499999999</v>
      </c>
    </row>
    <row r="147" ht="12.75">
      <c r="C147" s="12"/>
    </row>
    <row r="148" spans="1:3" ht="15.75">
      <c r="A148" s="1">
        <f>A142+1</f>
        <v>15</v>
      </c>
      <c r="C148" s="5" t="s">
        <v>51</v>
      </c>
    </row>
    <row r="149" spans="3:16" ht="12.75">
      <c r="C149" s="4" t="str">
        <f>C131</f>
        <v>Debt Reserve</v>
      </c>
      <c r="D149" s="26">
        <v>608.75</v>
      </c>
      <c r="E149" s="26">
        <v>608.75</v>
      </c>
      <c r="F149" s="26">
        <v>595</v>
      </c>
      <c r="G149" s="26">
        <v>595</v>
      </c>
      <c r="H149" s="26">
        <v>595</v>
      </c>
      <c r="I149" s="26">
        <v>595</v>
      </c>
      <c r="J149" s="26">
        <v>595</v>
      </c>
      <c r="K149" s="26">
        <v>595</v>
      </c>
      <c r="L149" s="26">
        <v>595</v>
      </c>
      <c r="M149" s="26">
        <v>595</v>
      </c>
      <c r="N149" s="26">
        <v>595</v>
      </c>
      <c r="O149" s="32">
        <v>595</v>
      </c>
      <c r="P149" s="26">
        <f>SUM(D149:O149)</f>
        <v>7167.5</v>
      </c>
    </row>
    <row r="150" spans="3:16" ht="12.75">
      <c r="C150" s="4" t="str">
        <f>C132</f>
        <v>Treasury Fee</v>
      </c>
      <c r="D150" s="38">
        <v>250</v>
      </c>
      <c r="P150" s="26">
        <f>SUM(D150:O150)</f>
        <v>250</v>
      </c>
    </row>
    <row r="151" spans="3:16" ht="13.5" thickBot="1">
      <c r="C151" s="4" t="str">
        <f>C133</f>
        <v>Intercept</v>
      </c>
      <c r="D151" s="26">
        <f>13750+32404.79</f>
        <v>46154.79</v>
      </c>
      <c r="E151" s="26">
        <f>14166.67+31923.54</f>
        <v>46090.21</v>
      </c>
      <c r="F151" s="26">
        <f aca="true" t="shared" si="31" ref="F151:O151">14166.67+31923.54</f>
        <v>46090.21</v>
      </c>
      <c r="G151" s="26">
        <f t="shared" si="31"/>
        <v>46090.21</v>
      </c>
      <c r="H151" s="26">
        <f t="shared" si="31"/>
        <v>46090.21</v>
      </c>
      <c r="I151" s="26">
        <f t="shared" si="31"/>
        <v>46090.21</v>
      </c>
      <c r="J151" s="26">
        <f t="shared" si="31"/>
        <v>46090.21</v>
      </c>
      <c r="K151" s="26">
        <f t="shared" si="31"/>
        <v>46090.21</v>
      </c>
      <c r="L151" s="26">
        <f t="shared" si="31"/>
        <v>46090.21</v>
      </c>
      <c r="M151" s="26">
        <f t="shared" si="31"/>
        <v>46090.21</v>
      </c>
      <c r="N151" s="26">
        <f t="shared" si="31"/>
        <v>46090.21</v>
      </c>
      <c r="O151" s="32">
        <f t="shared" si="31"/>
        <v>46090.21</v>
      </c>
      <c r="P151" s="26">
        <f>SUM(D151:O151)</f>
        <v>553147.1000000001</v>
      </c>
    </row>
    <row r="152" spans="3:16" ht="13.5" thickBot="1">
      <c r="C152" s="6" t="s">
        <v>52</v>
      </c>
      <c r="D152" s="27">
        <f aca="true" t="shared" si="32" ref="D152:P152">SUM(D149:D151)</f>
        <v>47013.54</v>
      </c>
      <c r="E152" s="27">
        <f t="shared" si="32"/>
        <v>46698.96</v>
      </c>
      <c r="F152" s="27">
        <f t="shared" si="32"/>
        <v>46685.21</v>
      </c>
      <c r="G152" s="27">
        <f t="shared" si="32"/>
        <v>46685.21</v>
      </c>
      <c r="H152" s="27">
        <f t="shared" si="32"/>
        <v>46685.21</v>
      </c>
      <c r="I152" s="27">
        <f t="shared" si="32"/>
        <v>46685.21</v>
      </c>
      <c r="J152" s="27">
        <f t="shared" si="32"/>
        <v>46685.21</v>
      </c>
      <c r="K152" s="27">
        <f t="shared" si="32"/>
        <v>46685.21</v>
      </c>
      <c r="L152" s="27">
        <f t="shared" si="32"/>
        <v>46685.21</v>
      </c>
      <c r="M152" s="27">
        <f t="shared" si="32"/>
        <v>46685.21</v>
      </c>
      <c r="N152" s="27">
        <f t="shared" si="32"/>
        <v>46685.21</v>
      </c>
      <c r="O152" s="33">
        <f t="shared" si="32"/>
        <v>46685.21</v>
      </c>
      <c r="P152" s="37">
        <f t="shared" si="32"/>
        <v>560564.6000000001</v>
      </c>
    </row>
    <row r="153" ht="12.75">
      <c r="C153" s="12"/>
    </row>
    <row r="154" spans="1:3" ht="15.75">
      <c r="A154" s="1">
        <f>A148+1</f>
        <v>16</v>
      </c>
      <c r="C154" s="5" t="s">
        <v>53</v>
      </c>
    </row>
    <row r="155" spans="3:16" ht="12.75">
      <c r="C155" s="4" t="str">
        <f>C137</f>
        <v>Debt Reserve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32">
        <v>0</v>
      </c>
      <c r="P155" s="26">
        <f>SUM(D155:O155)</f>
        <v>0</v>
      </c>
    </row>
    <row r="156" spans="3:16" ht="12.75">
      <c r="C156" s="4" t="str">
        <f>C138</f>
        <v>Treasury Fee</v>
      </c>
      <c r="D156" s="38">
        <v>250</v>
      </c>
      <c r="P156" s="26">
        <f>SUM(D156:O156)</f>
        <v>250</v>
      </c>
    </row>
    <row r="157" spans="3:16" ht="13.5" thickBot="1">
      <c r="C157" s="4" t="str">
        <f>C139</f>
        <v>Intercept</v>
      </c>
      <c r="D157" s="26">
        <f aca="true" t="shared" si="33" ref="D157:M157">7500+29602.08</f>
        <v>37102.08</v>
      </c>
      <c r="E157" s="26">
        <f t="shared" si="33"/>
        <v>37102.08</v>
      </c>
      <c r="F157" s="26">
        <f t="shared" si="33"/>
        <v>37102.08</v>
      </c>
      <c r="G157" s="26">
        <f t="shared" si="33"/>
        <v>37102.08</v>
      </c>
      <c r="H157" s="26">
        <f t="shared" si="33"/>
        <v>37102.08</v>
      </c>
      <c r="I157" s="26">
        <f t="shared" si="33"/>
        <v>37102.08</v>
      </c>
      <c r="J157" s="26">
        <f t="shared" si="33"/>
        <v>37102.08</v>
      </c>
      <c r="K157" s="26">
        <f t="shared" si="33"/>
        <v>37102.08</v>
      </c>
      <c r="L157" s="26">
        <f t="shared" si="33"/>
        <v>37102.08</v>
      </c>
      <c r="M157" s="26">
        <f t="shared" si="33"/>
        <v>37102.08</v>
      </c>
      <c r="N157" s="26">
        <f>7916.67+29114.58</f>
        <v>37031.25</v>
      </c>
      <c r="O157" s="32">
        <f>7916.67+29114.58</f>
        <v>37031.25</v>
      </c>
      <c r="P157" s="26">
        <f>SUM(D157:O157)</f>
        <v>445083.3000000001</v>
      </c>
    </row>
    <row r="158" spans="3:16" ht="13.5" thickBot="1">
      <c r="C158" s="6" t="s">
        <v>54</v>
      </c>
      <c r="D158" s="27">
        <f aca="true" t="shared" si="34" ref="D158:P158">SUM(D155:D157)</f>
        <v>37352.08</v>
      </c>
      <c r="E158" s="27">
        <f t="shared" si="34"/>
        <v>37102.08</v>
      </c>
      <c r="F158" s="27">
        <f t="shared" si="34"/>
        <v>37102.08</v>
      </c>
      <c r="G158" s="27">
        <f t="shared" si="34"/>
        <v>37102.08</v>
      </c>
      <c r="H158" s="27">
        <f t="shared" si="34"/>
        <v>37102.08</v>
      </c>
      <c r="I158" s="27">
        <f t="shared" si="34"/>
        <v>37102.08</v>
      </c>
      <c r="J158" s="27">
        <f t="shared" si="34"/>
        <v>37102.08</v>
      </c>
      <c r="K158" s="27">
        <f t="shared" si="34"/>
        <v>37102.08</v>
      </c>
      <c r="L158" s="27">
        <f t="shared" si="34"/>
        <v>37102.08</v>
      </c>
      <c r="M158" s="27">
        <f t="shared" si="34"/>
        <v>37102.08</v>
      </c>
      <c r="N158" s="27">
        <f t="shared" si="34"/>
        <v>37031.25</v>
      </c>
      <c r="O158" s="33">
        <f t="shared" si="34"/>
        <v>37031.25</v>
      </c>
      <c r="P158" s="37">
        <f t="shared" si="34"/>
        <v>445333.3000000001</v>
      </c>
    </row>
    <row r="159" ht="12.75">
      <c r="C159" s="12"/>
    </row>
    <row r="160" spans="2:3" ht="21">
      <c r="B160" s="9" t="s">
        <v>109</v>
      </c>
      <c r="C160" s="10" t="s">
        <v>55</v>
      </c>
    </row>
    <row r="161" ht="12.75">
      <c r="C161" s="4" t="str">
        <f>C143</f>
        <v>Debt Reserve</v>
      </c>
    </row>
    <row r="162" ht="12.75">
      <c r="C162" s="4" t="str">
        <f>C144</f>
        <v>Treasury Fee</v>
      </c>
    </row>
    <row r="163" ht="13.5" thickBot="1">
      <c r="C163" s="4" t="str">
        <f>C145</f>
        <v>Intercept</v>
      </c>
    </row>
    <row r="164" ht="13.5" thickBot="1">
      <c r="C164" s="6" t="s">
        <v>56</v>
      </c>
    </row>
    <row r="165" ht="12.75">
      <c r="C165" s="12"/>
    </row>
    <row r="166" spans="1:3" ht="21">
      <c r="A166" s="1">
        <f>+A154+1</f>
        <v>17</v>
      </c>
      <c r="B166" s="42" t="s">
        <v>107</v>
      </c>
      <c r="C166" s="43" t="s">
        <v>59</v>
      </c>
    </row>
    <row r="167" spans="3:16" ht="12.75">
      <c r="C167" s="4" t="str">
        <f>C149</f>
        <v>Debt Reserve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32">
        <v>0</v>
      </c>
      <c r="P167" s="26">
        <f>SUM(D167:O167)</f>
        <v>0</v>
      </c>
    </row>
    <row r="168" spans="3:16" ht="12.75">
      <c r="C168" s="4" t="str">
        <f>C150</f>
        <v>Treasury Fee</v>
      </c>
      <c r="D168" s="38">
        <v>250</v>
      </c>
      <c r="P168" s="26">
        <f>SUM(D168:O168)</f>
        <v>250</v>
      </c>
    </row>
    <row r="169" spans="3:16" ht="13.5" thickBot="1">
      <c r="C169" s="4" t="str">
        <f>C151</f>
        <v>Intercept</v>
      </c>
      <c r="D169" s="26">
        <f aca="true" t="shared" si="35" ref="D169:L169">7500+32987.5</f>
        <v>40487.5</v>
      </c>
      <c r="E169" s="26">
        <f t="shared" si="35"/>
        <v>40487.5</v>
      </c>
      <c r="F169" s="26">
        <f t="shared" si="35"/>
        <v>40487.5</v>
      </c>
      <c r="G169" s="26">
        <f t="shared" si="35"/>
        <v>40487.5</v>
      </c>
      <c r="H169" s="26">
        <f t="shared" si="35"/>
        <v>40487.5</v>
      </c>
      <c r="I169" s="26">
        <f t="shared" si="35"/>
        <v>40487.5</v>
      </c>
      <c r="J169" s="26">
        <f t="shared" si="35"/>
        <v>40487.5</v>
      </c>
      <c r="K169" s="26">
        <f t="shared" si="35"/>
        <v>40487.5</v>
      </c>
      <c r="L169" s="26">
        <f t="shared" si="35"/>
        <v>40487.5</v>
      </c>
      <c r="M169" s="26">
        <f>8333.33+32462.5</f>
        <v>40795.83</v>
      </c>
      <c r="N169" s="26">
        <f>8333.33+32462.5</f>
        <v>40795.83</v>
      </c>
      <c r="O169" s="32">
        <f>8333.33+32462.5</f>
        <v>40795.83</v>
      </c>
      <c r="P169" s="26">
        <f>SUM(D169:O169)</f>
        <v>486774.99000000005</v>
      </c>
    </row>
    <row r="170" spans="3:16" ht="13.5" thickBot="1">
      <c r="C170" s="6" t="s">
        <v>57</v>
      </c>
      <c r="D170" s="27">
        <f aca="true" t="shared" si="36" ref="D170:P170">SUM(D167:D169)</f>
        <v>40737.5</v>
      </c>
      <c r="E170" s="27">
        <f t="shared" si="36"/>
        <v>40487.5</v>
      </c>
      <c r="F170" s="27">
        <f t="shared" si="36"/>
        <v>40487.5</v>
      </c>
      <c r="G170" s="27">
        <f t="shared" si="36"/>
        <v>40487.5</v>
      </c>
      <c r="H170" s="27">
        <f t="shared" si="36"/>
        <v>40487.5</v>
      </c>
      <c r="I170" s="27">
        <f t="shared" si="36"/>
        <v>40487.5</v>
      </c>
      <c r="J170" s="27">
        <f t="shared" si="36"/>
        <v>40487.5</v>
      </c>
      <c r="K170" s="27">
        <f t="shared" si="36"/>
        <v>40487.5</v>
      </c>
      <c r="L170" s="27">
        <f t="shared" si="36"/>
        <v>40487.5</v>
      </c>
      <c r="M170" s="27">
        <f t="shared" si="36"/>
        <v>40795.83</v>
      </c>
      <c r="N170" s="27">
        <f t="shared" si="36"/>
        <v>40795.83</v>
      </c>
      <c r="O170" s="33">
        <f t="shared" si="36"/>
        <v>40795.83</v>
      </c>
      <c r="P170" s="37">
        <f t="shared" si="36"/>
        <v>487024.99000000005</v>
      </c>
    </row>
    <row r="171" ht="12.75">
      <c r="C171" s="12"/>
    </row>
    <row r="172" spans="1:3" ht="15.75">
      <c r="A172" s="1">
        <f>A166+1</f>
        <v>18</v>
      </c>
      <c r="C172" s="5" t="s">
        <v>61</v>
      </c>
    </row>
    <row r="173" spans="3:16" ht="12.75">
      <c r="C173" s="4" t="str">
        <f>C155</f>
        <v>Debt Reserve</v>
      </c>
      <c r="D173" s="26">
        <v>608.33</v>
      </c>
      <c r="E173" s="26">
        <v>608.33</v>
      </c>
      <c r="F173" s="26">
        <v>595.42</v>
      </c>
      <c r="G173" s="26">
        <v>595.42</v>
      </c>
      <c r="H173" s="26">
        <v>595.42</v>
      </c>
      <c r="I173" s="26">
        <v>595.42</v>
      </c>
      <c r="J173" s="26">
        <v>595.42</v>
      </c>
      <c r="K173" s="26">
        <v>595.42</v>
      </c>
      <c r="L173" s="26">
        <v>595.42</v>
      </c>
      <c r="M173" s="26">
        <v>595.42</v>
      </c>
      <c r="N173" s="26">
        <v>595.42</v>
      </c>
      <c r="O173" s="32">
        <v>595.42</v>
      </c>
      <c r="P173" s="26">
        <f>SUM(D173:O173)</f>
        <v>7170.860000000001</v>
      </c>
    </row>
    <row r="174" spans="3:16" ht="12.75">
      <c r="C174" s="4" t="str">
        <f>C156</f>
        <v>Treasury Fee</v>
      </c>
      <c r="D174" s="38">
        <v>250</v>
      </c>
      <c r="P174" s="26">
        <f>SUM(D174:O174)</f>
        <v>250</v>
      </c>
    </row>
    <row r="175" spans="3:16" ht="13.5" thickBot="1">
      <c r="C175" s="4" t="str">
        <f>C157</f>
        <v>Intercept</v>
      </c>
      <c r="D175" s="26">
        <f>12916.67+28508.54</f>
        <v>41425.21</v>
      </c>
      <c r="E175" s="26">
        <f>12916.67+28508.54</f>
        <v>41425.21</v>
      </c>
      <c r="F175" s="26">
        <f>12916.67+28508.54</f>
        <v>41425.21</v>
      </c>
      <c r="G175" s="26">
        <f>12916.67+28508.54</f>
        <v>41425.21</v>
      </c>
      <c r="H175" s="26">
        <f>12916.67+28508.54</f>
        <v>41425.21</v>
      </c>
      <c r="I175" s="26">
        <f>13333.33+27991.88</f>
        <v>41325.21</v>
      </c>
      <c r="J175" s="26">
        <f aca="true" t="shared" si="37" ref="J175:O175">13333.33+27991.88</f>
        <v>41325.21</v>
      </c>
      <c r="K175" s="26">
        <f t="shared" si="37"/>
        <v>41325.21</v>
      </c>
      <c r="L175" s="26">
        <f t="shared" si="37"/>
        <v>41325.21</v>
      </c>
      <c r="M175" s="26">
        <f t="shared" si="37"/>
        <v>41325.21</v>
      </c>
      <c r="N175" s="26">
        <f t="shared" si="37"/>
        <v>41325.21</v>
      </c>
      <c r="O175" s="32">
        <f t="shared" si="37"/>
        <v>41325.21</v>
      </c>
      <c r="P175" s="26">
        <f>SUM(D175:O175)</f>
        <v>496402.5200000001</v>
      </c>
    </row>
    <row r="176" spans="3:16" ht="13.5" thickBot="1">
      <c r="C176" s="6" t="s">
        <v>62</v>
      </c>
      <c r="D176" s="27">
        <f aca="true" t="shared" si="38" ref="D176:P176">SUM(D173:D175)</f>
        <v>42283.54</v>
      </c>
      <c r="E176" s="27">
        <f t="shared" si="38"/>
        <v>42033.54</v>
      </c>
      <c r="F176" s="27">
        <f t="shared" si="38"/>
        <v>42020.63</v>
      </c>
      <c r="G176" s="27">
        <f t="shared" si="38"/>
        <v>42020.63</v>
      </c>
      <c r="H176" s="27">
        <f t="shared" si="38"/>
        <v>42020.63</v>
      </c>
      <c r="I176" s="27">
        <f t="shared" si="38"/>
        <v>41920.63</v>
      </c>
      <c r="J176" s="27">
        <f t="shared" si="38"/>
        <v>41920.63</v>
      </c>
      <c r="K176" s="27">
        <f t="shared" si="38"/>
        <v>41920.63</v>
      </c>
      <c r="L176" s="27">
        <f t="shared" si="38"/>
        <v>41920.63</v>
      </c>
      <c r="M176" s="27">
        <f t="shared" si="38"/>
        <v>41920.63</v>
      </c>
      <c r="N176" s="27">
        <f t="shared" si="38"/>
        <v>41920.63</v>
      </c>
      <c r="O176" s="33">
        <f t="shared" si="38"/>
        <v>41920.63</v>
      </c>
      <c r="P176" s="37">
        <f t="shared" si="38"/>
        <v>503823.38000000006</v>
      </c>
    </row>
    <row r="177" ht="12.75">
      <c r="C177" s="12"/>
    </row>
    <row r="178" spans="1:3" ht="15.75">
      <c r="A178" s="1">
        <f>A172+1</f>
        <v>19</v>
      </c>
      <c r="C178" s="5" t="s">
        <v>63</v>
      </c>
    </row>
    <row r="179" spans="3:16" ht="12.75">
      <c r="C179" s="4" t="str">
        <f>C161</f>
        <v>Debt Reserve</v>
      </c>
      <c r="D179" s="26">
        <v>899.17</v>
      </c>
      <c r="E179" s="26">
        <v>899.17</v>
      </c>
      <c r="F179" s="26">
        <v>878.75</v>
      </c>
      <c r="G179" s="26">
        <v>878.75</v>
      </c>
      <c r="H179" s="26">
        <v>878.75</v>
      </c>
      <c r="I179" s="26">
        <v>878.75</v>
      </c>
      <c r="J179" s="26">
        <v>878.75</v>
      </c>
      <c r="K179" s="26">
        <v>878.75</v>
      </c>
      <c r="L179" s="26">
        <v>878.75</v>
      </c>
      <c r="M179" s="26">
        <v>878.75</v>
      </c>
      <c r="N179" s="26">
        <v>878.75</v>
      </c>
      <c r="O179" s="32">
        <v>878.75</v>
      </c>
      <c r="P179" s="26">
        <f>SUM(D179:O179)</f>
        <v>10585.84</v>
      </c>
    </row>
    <row r="180" spans="3:16" ht="12.75">
      <c r="C180" s="4" t="str">
        <f>C162</f>
        <v>Treasury Fee</v>
      </c>
      <c r="D180" s="38">
        <v>250</v>
      </c>
      <c r="P180" s="26">
        <f>SUM(D180:O180)</f>
        <v>250</v>
      </c>
    </row>
    <row r="181" spans="3:16" ht="13.5" thickBot="1">
      <c r="C181" s="4" t="str">
        <f>C163</f>
        <v>Intercept</v>
      </c>
      <c r="D181" s="26">
        <f aca="true" t="shared" si="39" ref="D181:N181">21250+38629.58</f>
        <v>59879.58</v>
      </c>
      <c r="E181" s="26">
        <f t="shared" si="39"/>
        <v>59879.58</v>
      </c>
      <c r="F181" s="26">
        <f t="shared" si="39"/>
        <v>59879.58</v>
      </c>
      <c r="G181" s="26">
        <f t="shared" si="39"/>
        <v>59879.58</v>
      </c>
      <c r="H181" s="26">
        <f t="shared" si="39"/>
        <v>59879.58</v>
      </c>
      <c r="I181" s="26">
        <f t="shared" si="39"/>
        <v>59879.58</v>
      </c>
      <c r="J181" s="26">
        <f t="shared" si="39"/>
        <v>59879.58</v>
      </c>
      <c r="K181" s="26">
        <f t="shared" si="39"/>
        <v>59879.58</v>
      </c>
      <c r="L181" s="26">
        <f t="shared" si="39"/>
        <v>59879.58</v>
      </c>
      <c r="M181" s="26">
        <f t="shared" si="39"/>
        <v>59879.58</v>
      </c>
      <c r="N181" s="26">
        <f t="shared" si="39"/>
        <v>59879.58</v>
      </c>
      <c r="O181" s="32">
        <f>22083.33+37779.58</f>
        <v>59862.91</v>
      </c>
      <c r="P181" s="26">
        <f>SUM(D181:O181)</f>
        <v>718538.29</v>
      </c>
    </row>
    <row r="182" spans="3:16" ht="13.5" thickBot="1">
      <c r="C182" s="6" t="s">
        <v>64</v>
      </c>
      <c r="D182" s="27">
        <f aca="true" t="shared" si="40" ref="D182:P182">SUM(D179:D181)</f>
        <v>61028.75</v>
      </c>
      <c r="E182" s="27">
        <f t="shared" si="40"/>
        <v>60778.75</v>
      </c>
      <c r="F182" s="27">
        <f t="shared" si="40"/>
        <v>60758.33</v>
      </c>
      <c r="G182" s="27">
        <f t="shared" si="40"/>
        <v>60758.33</v>
      </c>
      <c r="H182" s="27">
        <f t="shared" si="40"/>
        <v>60758.33</v>
      </c>
      <c r="I182" s="27">
        <f t="shared" si="40"/>
        <v>60758.33</v>
      </c>
      <c r="J182" s="27">
        <f t="shared" si="40"/>
        <v>60758.33</v>
      </c>
      <c r="K182" s="27">
        <f t="shared" si="40"/>
        <v>60758.33</v>
      </c>
      <c r="L182" s="27">
        <f t="shared" si="40"/>
        <v>60758.33</v>
      </c>
      <c r="M182" s="27">
        <f t="shared" si="40"/>
        <v>60758.33</v>
      </c>
      <c r="N182" s="27">
        <f t="shared" si="40"/>
        <v>60758.33</v>
      </c>
      <c r="O182" s="33">
        <f t="shared" si="40"/>
        <v>60741.66</v>
      </c>
      <c r="P182" s="37">
        <f t="shared" si="40"/>
        <v>729374.13</v>
      </c>
    </row>
    <row r="183" ht="12.75">
      <c r="C183" s="12"/>
    </row>
    <row r="184" spans="1:3" ht="15.75">
      <c r="A184" s="1">
        <f>A178+1</f>
        <v>20</v>
      </c>
      <c r="C184" s="5" t="s">
        <v>66</v>
      </c>
    </row>
    <row r="185" spans="3:16" ht="12.75">
      <c r="C185" s="4" t="str">
        <f>C167</f>
        <v>Debt Reserve</v>
      </c>
      <c r="D185" s="26">
        <v>1091.82</v>
      </c>
      <c r="E185" s="26">
        <v>1091.82</v>
      </c>
      <c r="F185" s="26">
        <v>1091.82</v>
      </c>
      <c r="G185" s="26">
        <v>1091.82</v>
      </c>
      <c r="H185" s="26">
        <v>1091.82</v>
      </c>
      <c r="I185" s="26">
        <v>1091.82</v>
      </c>
      <c r="J185" s="26">
        <v>1091.82</v>
      </c>
      <c r="K185" s="26">
        <v>1091.82</v>
      </c>
      <c r="L185" s="26">
        <v>1091.82</v>
      </c>
      <c r="M185" s="26">
        <v>1091.82</v>
      </c>
      <c r="N185" s="26">
        <v>1091.82</v>
      </c>
      <c r="O185" s="32">
        <v>1046.82</v>
      </c>
      <c r="P185" s="26">
        <f>SUM(D185:O185)</f>
        <v>13056.839999999998</v>
      </c>
    </row>
    <row r="186" spans="3:16" ht="12.75">
      <c r="C186" s="4" t="str">
        <f>C168</f>
        <v>Treasury Fee</v>
      </c>
      <c r="D186" s="38">
        <v>250</v>
      </c>
      <c r="P186" s="26">
        <f>SUM(D186:O186)</f>
        <v>250</v>
      </c>
    </row>
    <row r="187" spans="3:16" ht="13.5" thickBot="1">
      <c r="C187" s="4" t="str">
        <f>C169</f>
        <v>Intercept</v>
      </c>
      <c r="D187" s="26">
        <f aca="true" t="shared" si="41" ref="D187:N187">43333.33+54609.38</f>
        <v>97942.70999999999</v>
      </c>
      <c r="E187" s="26">
        <f t="shared" si="41"/>
        <v>97942.70999999999</v>
      </c>
      <c r="F187" s="26">
        <f t="shared" si="41"/>
        <v>97942.70999999999</v>
      </c>
      <c r="G187" s="26">
        <f t="shared" si="41"/>
        <v>97942.70999999999</v>
      </c>
      <c r="H187" s="26">
        <f t="shared" si="41"/>
        <v>97942.70999999999</v>
      </c>
      <c r="I187" s="26">
        <f t="shared" si="41"/>
        <v>97942.70999999999</v>
      </c>
      <c r="J187" s="26">
        <f t="shared" si="41"/>
        <v>97942.70999999999</v>
      </c>
      <c r="K187" s="26">
        <f t="shared" si="41"/>
        <v>97942.70999999999</v>
      </c>
      <c r="L187" s="26">
        <f t="shared" si="41"/>
        <v>97942.70999999999</v>
      </c>
      <c r="M187" s="26">
        <f t="shared" si="41"/>
        <v>97942.70999999999</v>
      </c>
      <c r="N187" s="26">
        <f t="shared" si="41"/>
        <v>97942.70999999999</v>
      </c>
      <c r="O187" s="32">
        <f>45000+52876.04</f>
        <v>97876.04000000001</v>
      </c>
      <c r="P187" s="26">
        <f>SUM(D187:O187)</f>
        <v>1175245.8499999999</v>
      </c>
    </row>
    <row r="188" spans="3:16" ht="13.5" thickBot="1">
      <c r="C188" s="6" t="s">
        <v>67</v>
      </c>
      <c r="D188" s="27">
        <f aca="true" t="shared" si="42" ref="D188:P188">SUM(D185:D187)</f>
        <v>99284.53</v>
      </c>
      <c r="E188" s="27">
        <f t="shared" si="42"/>
        <v>99034.53</v>
      </c>
      <c r="F188" s="27">
        <f t="shared" si="42"/>
        <v>99034.53</v>
      </c>
      <c r="G188" s="27">
        <f t="shared" si="42"/>
        <v>99034.53</v>
      </c>
      <c r="H188" s="27">
        <f t="shared" si="42"/>
        <v>99034.53</v>
      </c>
      <c r="I188" s="27">
        <f t="shared" si="42"/>
        <v>99034.53</v>
      </c>
      <c r="J188" s="27">
        <f t="shared" si="42"/>
        <v>99034.53</v>
      </c>
      <c r="K188" s="27">
        <f t="shared" si="42"/>
        <v>99034.53</v>
      </c>
      <c r="L188" s="27">
        <f t="shared" si="42"/>
        <v>99034.53</v>
      </c>
      <c r="M188" s="27">
        <f t="shared" si="42"/>
        <v>99034.53</v>
      </c>
      <c r="N188" s="27">
        <f t="shared" si="42"/>
        <v>99034.53</v>
      </c>
      <c r="O188" s="33">
        <f t="shared" si="42"/>
        <v>98922.86000000002</v>
      </c>
      <c r="P188" s="37">
        <f t="shared" si="42"/>
        <v>1188552.69</v>
      </c>
    </row>
    <row r="189" ht="12.75">
      <c r="C189" s="12"/>
    </row>
    <row r="190" spans="1:3" ht="15.75">
      <c r="A190" s="1">
        <f>A184+1</f>
        <v>21</v>
      </c>
      <c r="C190" s="5" t="s">
        <v>68</v>
      </c>
    </row>
    <row r="191" spans="3:16" ht="12.75">
      <c r="C191" s="4" t="str">
        <f>C173</f>
        <v>Debt Reserve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32">
        <v>0</v>
      </c>
      <c r="P191" s="26">
        <f>SUM(D191:O191)</f>
        <v>0</v>
      </c>
    </row>
    <row r="192" spans="3:16" ht="12.75">
      <c r="C192" s="4" t="str">
        <f>C174</f>
        <v>Treasury Fee</v>
      </c>
      <c r="D192" s="38">
        <v>250</v>
      </c>
      <c r="P192" s="26">
        <f>SUM(D192:O192)</f>
        <v>250</v>
      </c>
    </row>
    <row r="193" spans="3:16" ht="13.5" thickBot="1">
      <c r="C193" s="4" t="str">
        <f>C175</f>
        <v>Intercept</v>
      </c>
      <c r="D193" s="26">
        <f>11250+38485.42</f>
        <v>49735.42</v>
      </c>
      <c r="E193" s="26">
        <f>11250+38485.42</f>
        <v>49735.42</v>
      </c>
      <c r="F193" s="26">
        <f>11250+38485.42</f>
        <v>49735.42</v>
      </c>
      <c r="G193" s="26">
        <f>11250+38485.42</f>
        <v>49735.42</v>
      </c>
      <c r="H193" s="26">
        <f>11250+38485.42</f>
        <v>49735.42</v>
      </c>
      <c r="I193" s="26">
        <f>11666.67+37796.36</f>
        <v>49463.03</v>
      </c>
      <c r="J193" s="26">
        <f aca="true" t="shared" si="43" ref="J193:O193">11666.67+37796.36</f>
        <v>49463.03</v>
      </c>
      <c r="K193" s="26">
        <f t="shared" si="43"/>
        <v>49463.03</v>
      </c>
      <c r="L193" s="26">
        <f t="shared" si="43"/>
        <v>49463.03</v>
      </c>
      <c r="M193" s="26">
        <f t="shared" si="43"/>
        <v>49463.03</v>
      </c>
      <c r="N193" s="26">
        <f t="shared" si="43"/>
        <v>49463.03</v>
      </c>
      <c r="O193" s="32">
        <f t="shared" si="43"/>
        <v>49463.03</v>
      </c>
      <c r="P193" s="26">
        <f>SUM(D193:O193)</f>
        <v>594918.3100000002</v>
      </c>
    </row>
    <row r="194" spans="3:16" ht="13.5" thickBot="1">
      <c r="C194" s="6" t="s">
        <v>69</v>
      </c>
      <c r="D194" s="27">
        <f aca="true" t="shared" si="44" ref="D194:P194">SUM(D191:D193)</f>
        <v>49985.42</v>
      </c>
      <c r="E194" s="27">
        <f t="shared" si="44"/>
        <v>49735.42</v>
      </c>
      <c r="F194" s="27">
        <f t="shared" si="44"/>
        <v>49735.42</v>
      </c>
      <c r="G194" s="27">
        <f t="shared" si="44"/>
        <v>49735.42</v>
      </c>
      <c r="H194" s="27">
        <f t="shared" si="44"/>
        <v>49735.42</v>
      </c>
      <c r="I194" s="27">
        <f t="shared" si="44"/>
        <v>49463.03</v>
      </c>
      <c r="J194" s="27">
        <f t="shared" si="44"/>
        <v>49463.03</v>
      </c>
      <c r="K194" s="27">
        <f t="shared" si="44"/>
        <v>49463.03</v>
      </c>
      <c r="L194" s="27">
        <f t="shared" si="44"/>
        <v>49463.03</v>
      </c>
      <c r="M194" s="27">
        <f t="shared" si="44"/>
        <v>49463.03</v>
      </c>
      <c r="N194" s="27">
        <f t="shared" si="44"/>
        <v>49463.03</v>
      </c>
      <c r="O194" s="33">
        <f t="shared" si="44"/>
        <v>49463.03</v>
      </c>
      <c r="P194" s="37">
        <f t="shared" si="44"/>
        <v>595168.3100000002</v>
      </c>
    </row>
    <row r="195" ht="12.75">
      <c r="C195" s="12"/>
    </row>
    <row r="196" spans="1:3" ht="15.75">
      <c r="A196" s="1">
        <f>A190+1</f>
        <v>22</v>
      </c>
      <c r="C196" s="5" t="s">
        <v>70</v>
      </c>
    </row>
    <row r="197" spans="3:16" ht="12.75">
      <c r="C197" s="4" t="str">
        <f>C179</f>
        <v>Debt Reserve</v>
      </c>
      <c r="D197" s="26">
        <v>754.58</v>
      </c>
      <c r="E197" s="26">
        <v>754.58</v>
      </c>
      <c r="F197" s="26">
        <v>754.58</v>
      </c>
      <c r="G197" s="26">
        <v>754.58</v>
      </c>
      <c r="H197" s="26">
        <v>739.17</v>
      </c>
      <c r="I197" s="26">
        <v>739.17</v>
      </c>
      <c r="J197" s="26">
        <v>739.17</v>
      </c>
      <c r="K197" s="26">
        <v>739.17</v>
      </c>
      <c r="L197" s="26">
        <v>739.17</v>
      </c>
      <c r="M197" s="26">
        <v>739.17</v>
      </c>
      <c r="N197" s="26">
        <v>739.17</v>
      </c>
      <c r="O197" s="32">
        <v>739.17</v>
      </c>
      <c r="P197" s="26">
        <f>SUM(D197:O197)</f>
        <v>8931.68</v>
      </c>
    </row>
    <row r="198" spans="3:16" ht="12.75">
      <c r="C198" s="4" t="str">
        <f>C180</f>
        <v>Treasury Fee</v>
      </c>
      <c r="D198" s="38">
        <v>250</v>
      </c>
      <c r="P198" s="26">
        <f>SUM(D198:O198)</f>
        <v>250</v>
      </c>
    </row>
    <row r="199" spans="3:16" ht="13.5" thickBot="1">
      <c r="C199" s="4" t="str">
        <f>C181</f>
        <v>Intercept</v>
      </c>
      <c r="D199" s="26">
        <f>15416.67+32834.38</f>
        <v>48251.049999999996</v>
      </c>
      <c r="E199" s="26">
        <f>15416.67+32834.38</f>
        <v>48251.049999999996</v>
      </c>
      <c r="F199" s="26">
        <f>15416.67+32834.38</f>
        <v>48251.049999999996</v>
      </c>
      <c r="G199" s="26">
        <f>16250+32217.71</f>
        <v>48467.71</v>
      </c>
      <c r="H199" s="26">
        <f aca="true" t="shared" si="45" ref="H199:O199">16250+32217.71</f>
        <v>48467.71</v>
      </c>
      <c r="I199" s="26">
        <f t="shared" si="45"/>
        <v>48467.71</v>
      </c>
      <c r="J199" s="26">
        <f t="shared" si="45"/>
        <v>48467.71</v>
      </c>
      <c r="K199" s="26">
        <f t="shared" si="45"/>
        <v>48467.71</v>
      </c>
      <c r="L199" s="26">
        <f t="shared" si="45"/>
        <v>48467.71</v>
      </c>
      <c r="M199" s="26">
        <f t="shared" si="45"/>
        <v>48467.71</v>
      </c>
      <c r="N199" s="26">
        <f t="shared" si="45"/>
        <v>48467.71</v>
      </c>
      <c r="O199" s="32">
        <f t="shared" si="45"/>
        <v>48467.71</v>
      </c>
      <c r="P199" s="26">
        <f>SUM(D199:O199)</f>
        <v>580962.54</v>
      </c>
    </row>
    <row r="200" spans="3:16" ht="13.5" thickBot="1">
      <c r="C200" s="6" t="s">
        <v>71</v>
      </c>
      <c r="D200" s="27">
        <f aca="true" t="shared" si="46" ref="D200:P200">SUM(D197:D199)</f>
        <v>49255.63</v>
      </c>
      <c r="E200" s="27">
        <f t="shared" si="46"/>
        <v>49005.63</v>
      </c>
      <c r="F200" s="27">
        <f t="shared" si="46"/>
        <v>49005.63</v>
      </c>
      <c r="G200" s="27">
        <f t="shared" si="46"/>
        <v>49222.29</v>
      </c>
      <c r="H200" s="27">
        <f t="shared" si="46"/>
        <v>49206.88</v>
      </c>
      <c r="I200" s="27">
        <f t="shared" si="46"/>
        <v>49206.88</v>
      </c>
      <c r="J200" s="27">
        <f t="shared" si="46"/>
        <v>49206.88</v>
      </c>
      <c r="K200" s="27">
        <f t="shared" si="46"/>
        <v>49206.88</v>
      </c>
      <c r="L200" s="27">
        <f t="shared" si="46"/>
        <v>49206.88</v>
      </c>
      <c r="M200" s="27">
        <f t="shared" si="46"/>
        <v>49206.88</v>
      </c>
      <c r="N200" s="27">
        <f t="shared" si="46"/>
        <v>49206.88</v>
      </c>
      <c r="O200" s="33">
        <f t="shared" si="46"/>
        <v>49206.88</v>
      </c>
      <c r="P200" s="37">
        <f t="shared" si="46"/>
        <v>590144.2200000001</v>
      </c>
    </row>
    <row r="201" ht="12.75">
      <c r="C201" s="12"/>
    </row>
    <row r="202" spans="1:3" ht="15.75">
      <c r="A202" s="1">
        <f>A196+1</f>
        <v>23</v>
      </c>
      <c r="C202" s="5" t="s">
        <v>141</v>
      </c>
    </row>
    <row r="203" spans="3:16" ht="12.75">
      <c r="C203" s="4" t="str">
        <f>C185</f>
        <v>Debt Reserve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32">
        <v>0</v>
      </c>
      <c r="P203" s="26">
        <f>SUM(D203:O203)</f>
        <v>0</v>
      </c>
    </row>
    <row r="204" spans="3:16" ht="12.75">
      <c r="C204" s="4" t="str">
        <f>C186</f>
        <v>Treasury Fee</v>
      </c>
      <c r="D204" s="38">
        <v>250</v>
      </c>
      <c r="P204" s="26">
        <f>SUM(D204:O204)</f>
        <v>250</v>
      </c>
    </row>
    <row r="205" spans="3:16" ht="13.5" thickBot="1">
      <c r="C205" s="4" t="str">
        <f>C187</f>
        <v>Intercept</v>
      </c>
      <c r="D205" s="38">
        <f>13571.43+49900</f>
        <v>63471.43</v>
      </c>
      <c r="E205" s="38">
        <f>13571.43+49900</f>
        <v>63471.43</v>
      </c>
      <c r="F205" s="38">
        <f>13571.43+49900</f>
        <v>63471.43</v>
      </c>
      <c r="G205" s="38">
        <f>14166.67+49425</f>
        <v>63591.67</v>
      </c>
      <c r="H205" s="38">
        <f aca="true" t="shared" si="47" ref="H205:O205">14166.67+49425</f>
        <v>63591.67</v>
      </c>
      <c r="I205" s="38">
        <f t="shared" si="47"/>
        <v>63591.67</v>
      </c>
      <c r="J205" s="38">
        <f t="shared" si="47"/>
        <v>63591.67</v>
      </c>
      <c r="K205" s="38">
        <f t="shared" si="47"/>
        <v>63591.67</v>
      </c>
      <c r="L205" s="38">
        <f t="shared" si="47"/>
        <v>63591.67</v>
      </c>
      <c r="M205" s="38">
        <f t="shared" si="47"/>
        <v>63591.67</v>
      </c>
      <c r="N205" s="38">
        <f t="shared" si="47"/>
        <v>63591.67</v>
      </c>
      <c r="O205" s="50">
        <f t="shared" si="47"/>
        <v>63591.67</v>
      </c>
      <c r="P205" s="26">
        <f>SUM(D205:O205)</f>
        <v>762739.3200000001</v>
      </c>
    </row>
    <row r="206" spans="3:16" ht="13.5" thickBot="1">
      <c r="C206" s="6" t="s">
        <v>72</v>
      </c>
      <c r="D206" s="27">
        <f aca="true" t="shared" si="48" ref="D206:P206">SUM(D203:D205)</f>
        <v>63721.43</v>
      </c>
      <c r="E206" s="27">
        <f t="shared" si="48"/>
        <v>63471.43</v>
      </c>
      <c r="F206" s="27">
        <f t="shared" si="48"/>
        <v>63471.43</v>
      </c>
      <c r="G206" s="27">
        <f t="shared" si="48"/>
        <v>63591.67</v>
      </c>
      <c r="H206" s="27">
        <f t="shared" si="48"/>
        <v>63591.67</v>
      </c>
      <c r="I206" s="27">
        <f t="shared" si="48"/>
        <v>63591.67</v>
      </c>
      <c r="J206" s="27">
        <f t="shared" si="48"/>
        <v>63591.67</v>
      </c>
      <c r="K206" s="27">
        <f t="shared" si="48"/>
        <v>63591.67</v>
      </c>
      <c r="L206" s="27">
        <f t="shared" si="48"/>
        <v>63591.67</v>
      </c>
      <c r="M206" s="27">
        <f t="shared" si="48"/>
        <v>63591.67</v>
      </c>
      <c r="N206" s="27">
        <f t="shared" si="48"/>
        <v>63591.67</v>
      </c>
      <c r="O206" s="33">
        <f t="shared" si="48"/>
        <v>63591.67</v>
      </c>
      <c r="P206" s="37">
        <f t="shared" si="48"/>
        <v>762989.3200000001</v>
      </c>
    </row>
    <row r="207" ht="12.75">
      <c r="C207" s="12"/>
    </row>
    <row r="208" spans="1:3" ht="15.75">
      <c r="A208" s="1">
        <f>A202+1</f>
        <v>24</v>
      </c>
      <c r="C208" s="5" t="s">
        <v>73</v>
      </c>
    </row>
    <row r="209" spans="3:16" ht="12.75">
      <c r="C209" s="4" t="str">
        <f>C191</f>
        <v>Debt Reserve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32">
        <v>0</v>
      </c>
      <c r="P209" s="26">
        <f>SUM(D209:O209)</f>
        <v>0</v>
      </c>
    </row>
    <row r="210" spans="3:16" ht="12.75">
      <c r="C210" s="4" t="str">
        <f>C192</f>
        <v>Treasury Fee</v>
      </c>
      <c r="D210" s="38">
        <v>250</v>
      </c>
      <c r="P210" s="26">
        <f>SUM(D210:O210)</f>
        <v>250</v>
      </c>
    </row>
    <row r="211" spans="3:16" ht="13.5" thickBot="1">
      <c r="C211" s="4" t="str">
        <f>C193</f>
        <v>Intercept</v>
      </c>
      <c r="D211" s="26">
        <f aca="true" t="shared" si="49" ref="D211:M211">12083.33+31447.92</f>
        <v>43531.25</v>
      </c>
      <c r="E211" s="26">
        <f t="shared" si="49"/>
        <v>43531.25</v>
      </c>
      <c r="F211" s="26">
        <f t="shared" si="49"/>
        <v>43531.25</v>
      </c>
      <c r="G211" s="26">
        <f t="shared" si="49"/>
        <v>43531.25</v>
      </c>
      <c r="H211" s="26">
        <f t="shared" si="49"/>
        <v>43531.25</v>
      </c>
      <c r="I211" s="26">
        <f t="shared" si="49"/>
        <v>43531.25</v>
      </c>
      <c r="J211" s="26">
        <f t="shared" si="49"/>
        <v>43531.25</v>
      </c>
      <c r="K211" s="26">
        <f t="shared" si="49"/>
        <v>43531.25</v>
      </c>
      <c r="L211" s="26">
        <f t="shared" si="49"/>
        <v>43531.25</v>
      </c>
      <c r="M211" s="26">
        <f t="shared" si="49"/>
        <v>43531.25</v>
      </c>
      <c r="N211" s="26">
        <f>12916.67+30795.42</f>
        <v>43712.09</v>
      </c>
      <c r="O211" s="32">
        <f>12916.67+30795.42</f>
        <v>43712.09</v>
      </c>
      <c r="P211" s="26">
        <f>SUM(D211:O211)</f>
        <v>522736.67999999993</v>
      </c>
    </row>
    <row r="212" spans="3:16" ht="13.5" thickBot="1">
      <c r="C212" s="6" t="s">
        <v>20</v>
      </c>
      <c r="D212" s="27">
        <f aca="true" t="shared" si="50" ref="D212:P212">SUM(D209:D211)</f>
        <v>43781.25</v>
      </c>
      <c r="E212" s="27">
        <f t="shared" si="50"/>
        <v>43531.25</v>
      </c>
      <c r="F212" s="27">
        <f t="shared" si="50"/>
        <v>43531.25</v>
      </c>
      <c r="G212" s="27">
        <f t="shared" si="50"/>
        <v>43531.25</v>
      </c>
      <c r="H212" s="27">
        <f t="shared" si="50"/>
        <v>43531.25</v>
      </c>
      <c r="I212" s="27">
        <f t="shared" si="50"/>
        <v>43531.25</v>
      </c>
      <c r="J212" s="27">
        <f t="shared" si="50"/>
        <v>43531.25</v>
      </c>
      <c r="K212" s="27">
        <f t="shared" si="50"/>
        <v>43531.25</v>
      </c>
      <c r="L212" s="27">
        <f t="shared" si="50"/>
        <v>43531.25</v>
      </c>
      <c r="M212" s="27">
        <f t="shared" si="50"/>
        <v>43531.25</v>
      </c>
      <c r="N212" s="27">
        <f t="shared" si="50"/>
        <v>43712.09</v>
      </c>
      <c r="O212" s="33">
        <f t="shared" si="50"/>
        <v>43712.09</v>
      </c>
      <c r="P212" s="37">
        <f t="shared" si="50"/>
        <v>522986.67999999993</v>
      </c>
    </row>
    <row r="213" ht="12.75">
      <c r="C213" s="12"/>
    </row>
    <row r="214" spans="1:3" ht="15.75">
      <c r="A214" s="1">
        <f>A208+1</f>
        <v>25</v>
      </c>
      <c r="C214" s="5" t="s">
        <v>74</v>
      </c>
    </row>
    <row r="215" spans="3:16" ht="12.75">
      <c r="C215" s="4" t="str">
        <f>C197</f>
        <v>Debt Reserve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32">
        <v>0</v>
      </c>
      <c r="P215" s="26">
        <f>SUM(D215:O215)</f>
        <v>0</v>
      </c>
    </row>
    <row r="216" spans="3:16" ht="12.75">
      <c r="C216" s="4" t="str">
        <f>C198</f>
        <v>Treasury Fee</v>
      </c>
      <c r="D216" s="38">
        <v>250</v>
      </c>
      <c r="P216" s="26">
        <f>SUM(D216:O216)</f>
        <v>250</v>
      </c>
    </row>
    <row r="217" spans="3:16" ht="13.5" thickBot="1">
      <c r="C217" s="4" t="str">
        <f>C199</f>
        <v>Intercept</v>
      </c>
      <c r="D217" s="26">
        <f>7500+23039.06</f>
        <v>30539.06</v>
      </c>
      <c r="E217" s="26">
        <f>7500+23039.06</f>
        <v>30539.06</v>
      </c>
      <c r="F217" s="26">
        <f>7500+23039.06</f>
        <v>30539.06</v>
      </c>
      <c r="G217" s="26">
        <f>7500+23039.06</f>
        <v>30539.06</v>
      </c>
      <c r="H217" s="26">
        <f>7916.67+22617.19</f>
        <v>30533.86</v>
      </c>
      <c r="I217" s="26">
        <f aca="true" t="shared" si="51" ref="I217:O217">7916.67+22617.19</f>
        <v>30533.86</v>
      </c>
      <c r="J217" s="26">
        <f t="shared" si="51"/>
        <v>30533.86</v>
      </c>
      <c r="K217" s="26">
        <f t="shared" si="51"/>
        <v>30533.86</v>
      </c>
      <c r="L217" s="26">
        <f t="shared" si="51"/>
        <v>30533.86</v>
      </c>
      <c r="M217" s="26">
        <f t="shared" si="51"/>
        <v>30533.86</v>
      </c>
      <c r="N217" s="26">
        <f t="shared" si="51"/>
        <v>30533.86</v>
      </c>
      <c r="O217" s="32">
        <f t="shared" si="51"/>
        <v>30533.86</v>
      </c>
      <c r="P217" s="26">
        <f>SUM(D217:O217)</f>
        <v>366427.11999999994</v>
      </c>
    </row>
    <row r="218" spans="3:16" ht="13.5" thickBot="1">
      <c r="C218" s="6" t="s">
        <v>75</v>
      </c>
      <c r="D218" s="27">
        <f aca="true" t="shared" si="52" ref="D218:P218">SUM(D215:D217)</f>
        <v>30789.06</v>
      </c>
      <c r="E218" s="27">
        <f t="shared" si="52"/>
        <v>30539.06</v>
      </c>
      <c r="F218" s="27">
        <f t="shared" si="52"/>
        <v>30539.06</v>
      </c>
      <c r="G218" s="27">
        <f t="shared" si="52"/>
        <v>30539.06</v>
      </c>
      <c r="H218" s="27">
        <f t="shared" si="52"/>
        <v>30533.86</v>
      </c>
      <c r="I218" s="27">
        <f t="shared" si="52"/>
        <v>30533.86</v>
      </c>
      <c r="J218" s="27">
        <f t="shared" si="52"/>
        <v>30533.86</v>
      </c>
      <c r="K218" s="27">
        <f t="shared" si="52"/>
        <v>30533.86</v>
      </c>
      <c r="L218" s="27">
        <f t="shared" si="52"/>
        <v>30533.86</v>
      </c>
      <c r="M218" s="27">
        <f t="shared" si="52"/>
        <v>30533.86</v>
      </c>
      <c r="N218" s="27">
        <f t="shared" si="52"/>
        <v>30533.86</v>
      </c>
      <c r="O218" s="33">
        <f t="shared" si="52"/>
        <v>30533.86</v>
      </c>
      <c r="P218" s="37">
        <f t="shared" si="52"/>
        <v>366677.11999999994</v>
      </c>
    </row>
    <row r="219" ht="12.75">
      <c r="C219" s="12"/>
    </row>
    <row r="220" spans="1:3" ht="15.75">
      <c r="A220" s="1">
        <f>A214+1</f>
        <v>26</v>
      </c>
      <c r="C220" s="5" t="s">
        <v>76</v>
      </c>
    </row>
    <row r="221" spans="3:16" ht="12.75">
      <c r="C221" s="4" t="str">
        <f>C203</f>
        <v>Debt Reserve</v>
      </c>
      <c r="D221" s="26">
        <v>408.06</v>
      </c>
      <c r="E221" s="26">
        <v>408.06</v>
      </c>
      <c r="F221" s="26">
        <v>408.06</v>
      </c>
      <c r="G221" s="26">
        <v>408.06</v>
      </c>
      <c r="H221" s="26">
        <v>408.06</v>
      </c>
      <c r="I221" s="26">
        <v>408.06</v>
      </c>
      <c r="J221" s="26">
        <v>397.66</v>
      </c>
      <c r="K221" s="26">
        <v>397.66</v>
      </c>
      <c r="L221" s="26">
        <v>397.66</v>
      </c>
      <c r="M221" s="26">
        <v>397.66</v>
      </c>
      <c r="N221" s="26">
        <v>397.66</v>
      </c>
      <c r="O221" s="32">
        <v>397.66</v>
      </c>
      <c r="P221" s="26">
        <f>SUM(D221:O221)</f>
        <v>4834.32</v>
      </c>
    </row>
    <row r="222" spans="3:16" ht="12.75">
      <c r="C222" s="4" t="str">
        <f>C204</f>
        <v>Treasury Fee</v>
      </c>
      <c r="D222" s="38">
        <v>250</v>
      </c>
      <c r="P222" s="26">
        <f>SUM(D222:O222)</f>
        <v>250</v>
      </c>
    </row>
    <row r="223" spans="3:16" ht="13.5" thickBot="1">
      <c r="C223" s="4" t="str">
        <f>C205</f>
        <v>Intercept</v>
      </c>
      <c r="D223" s="26">
        <f>10416.67+17264.38</f>
        <v>27681.050000000003</v>
      </c>
      <c r="E223" s="26">
        <f>10416.67+17264.38</f>
        <v>27681.050000000003</v>
      </c>
      <c r="F223" s="26">
        <f>10416.67+17264.38</f>
        <v>27681.050000000003</v>
      </c>
      <c r="G223" s="26">
        <f>10416.67+17264.38</f>
        <v>27681.050000000003</v>
      </c>
      <c r="H223" s="26">
        <f>10416.67+17264.38</f>
        <v>27681.050000000003</v>
      </c>
      <c r="I223" s="26">
        <f>10833.33+16873.75</f>
        <v>27707.08</v>
      </c>
      <c r="J223" s="26">
        <f aca="true" t="shared" si="53" ref="J223:O223">10833.33+16873.75</f>
        <v>27707.08</v>
      </c>
      <c r="K223" s="26">
        <f t="shared" si="53"/>
        <v>27707.08</v>
      </c>
      <c r="L223" s="26">
        <f t="shared" si="53"/>
        <v>27707.08</v>
      </c>
      <c r="M223" s="26">
        <f t="shared" si="53"/>
        <v>27707.08</v>
      </c>
      <c r="N223" s="26">
        <f t="shared" si="53"/>
        <v>27707.08</v>
      </c>
      <c r="O223" s="32">
        <f t="shared" si="53"/>
        <v>27707.08</v>
      </c>
      <c r="P223" s="26">
        <f>SUM(D223:O223)</f>
        <v>332354.8100000001</v>
      </c>
    </row>
    <row r="224" spans="3:16" ht="13.5" thickBot="1">
      <c r="C224" s="6" t="s">
        <v>77</v>
      </c>
      <c r="D224" s="27">
        <f aca="true" t="shared" si="54" ref="D224:P224">SUM(D221:D223)</f>
        <v>28339.110000000004</v>
      </c>
      <c r="E224" s="27">
        <f t="shared" si="54"/>
        <v>28089.110000000004</v>
      </c>
      <c r="F224" s="27">
        <f t="shared" si="54"/>
        <v>28089.110000000004</v>
      </c>
      <c r="G224" s="27">
        <f t="shared" si="54"/>
        <v>28089.110000000004</v>
      </c>
      <c r="H224" s="27">
        <f t="shared" si="54"/>
        <v>28089.110000000004</v>
      </c>
      <c r="I224" s="27">
        <f t="shared" si="54"/>
        <v>28115.140000000003</v>
      </c>
      <c r="J224" s="27">
        <f t="shared" si="54"/>
        <v>28104.74</v>
      </c>
      <c r="K224" s="27">
        <f t="shared" si="54"/>
        <v>28104.74</v>
      </c>
      <c r="L224" s="27">
        <f t="shared" si="54"/>
        <v>28104.74</v>
      </c>
      <c r="M224" s="27">
        <f t="shared" si="54"/>
        <v>28104.74</v>
      </c>
      <c r="N224" s="27">
        <f t="shared" si="54"/>
        <v>28104.74</v>
      </c>
      <c r="O224" s="33">
        <f t="shared" si="54"/>
        <v>28104.74</v>
      </c>
      <c r="P224" s="37">
        <f t="shared" si="54"/>
        <v>337439.1300000001</v>
      </c>
    </row>
    <row r="225" ht="12.75">
      <c r="C225" s="12"/>
    </row>
    <row r="226" spans="1:3" ht="15.75">
      <c r="A226" s="1">
        <f>A220+1</f>
        <v>27</v>
      </c>
      <c r="C226" s="13" t="s">
        <v>78</v>
      </c>
    </row>
    <row r="227" spans="3:16" ht="12.75">
      <c r="C227" s="4" t="str">
        <f>C209</f>
        <v>Debt Reserve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32">
        <v>0</v>
      </c>
      <c r="P227" s="26">
        <f>SUM(D227:O227)</f>
        <v>0</v>
      </c>
    </row>
    <row r="228" spans="3:16" ht="12.75">
      <c r="C228" s="4" t="str">
        <f>C210</f>
        <v>Treasury Fee</v>
      </c>
      <c r="D228" s="38">
        <v>250</v>
      </c>
      <c r="P228" s="26">
        <f>SUM(D228:O228)</f>
        <v>250</v>
      </c>
    </row>
    <row r="229" spans="3:16" ht="13.5" thickBot="1">
      <c r="C229" s="4" t="str">
        <f>C211</f>
        <v>Intercept</v>
      </c>
      <c r="D229" s="26">
        <f>6666.67+22377.08</f>
        <v>29043.75</v>
      </c>
      <c r="E229" s="26">
        <f>6666.67+22377.08</f>
        <v>29043.75</v>
      </c>
      <c r="F229" s="26">
        <f>6666.67+22377.08</f>
        <v>29043.75</v>
      </c>
      <c r="G229" s="26">
        <f>6666.67+22377.08</f>
        <v>29043.75</v>
      </c>
      <c r="H229" s="26">
        <f>6666.67+22377.08</f>
        <v>29043.75</v>
      </c>
      <c r="I229" s="26">
        <f>7083.33+21993.75</f>
        <v>29077.08</v>
      </c>
      <c r="J229" s="26">
        <f aca="true" t="shared" si="55" ref="J229:O229">7083.33+21993.75</f>
        <v>29077.08</v>
      </c>
      <c r="K229" s="26">
        <f t="shared" si="55"/>
        <v>29077.08</v>
      </c>
      <c r="L229" s="26">
        <f t="shared" si="55"/>
        <v>29077.08</v>
      </c>
      <c r="M229" s="26">
        <f t="shared" si="55"/>
        <v>29077.08</v>
      </c>
      <c r="N229" s="26">
        <f t="shared" si="55"/>
        <v>29077.08</v>
      </c>
      <c r="O229" s="32">
        <f t="shared" si="55"/>
        <v>29077.08</v>
      </c>
      <c r="P229" s="26">
        <f>SUM(D229:O229)</f>
        <v>348758.3100000001</v>
      </c>
    </row>
    <row r="230" spans="3:16" ht="13.5" thickBot="1">
      <c r="C230" s="14" t="s">
        <v>79</v>
      </c>
      <c r="D230" s="27">
        <f aca="true" t="shared" si="56" ref="D230:P230">SUM(D227:D229)</f>
        <v>29293.75</v>
      </c>
      <c r="E230" s="27">
        <f t="shared" si="56"/>
        <v>29043.75</v>
      </c>
      <c r="F230" s="27">
        <f t="shared" si="56"/>
        <v>29043.75</v>
      </c>
      <c r="G230" s="27">
        <f t="shared" si="56"/>
        <v>29043.75</v>
      </c>
      <c r="H230" s="27">
        <f t="shared" si="56"/>
        <v>29043.75</v>
      </c>
      <c r="I230" s="27">
        <f t="shared" si="56"/>
        <v>29077.08</v>
      </c>
      <c r="J230" s="27">
        <f t="shared" si="56"/>
        <v>29077.08</v>
      </c>
      <c r="K230" s="27">
        <f t="shared" si="56"/>
        <v>29077.08</v>
      </c>
      <c r="L230" s="27">
        <f t="shared" si="56"/>
        <v>29077.08</v>
      </c>
      <c r="M230" s="27">
        <f t="shared" si="56"/>
        <v>29077.08</v>
      </c>
      <c r="N230" s="27">
        <f t="shared" si="56"/>
        <v>29077.08</v>
      </c>
      <c r="O230" s="33">
        <f t="shared" si="56"/>
        <v>29077.08</v>
      </c>
      <c r="P230" s="37">
        <f t="shared" si="56"/>
        <v>349008.3100000001</v>
      </c>
    </row>
    <row r="231" ht="12.75">
      <c r="C231" s="12"/>
    </row>
    <row r="232" spans="1:3" ht="15.75">
      <c r="A232" s="1">
        <f>A226+1</f>
        <v>28</v>
      </c>
      <c r="C232" s="13" t="s">
        <v>80</v>
      </c>
    </row>
    <row r="233" spans="3:16" ht="12.75">
      <c r="C233" s="4" t="str">
        <f>C221</f>
        <v>Debt Reserve</v>
      </c>
      <c r="D233" s="26">
        <v>1223.33</v>
      </c>
      <c r="E233" s="26">
        <v>1223.33</v>
      </c>
      <c r="F233" s="26">
        <v>1223.33</v>
      </c>
      <c r="G233" s="26">
        <v>1223.33</v>
      </c>
      <c r="H233" s="26">
        <v>1223.33</v>
      </c>
      <c r="I233" s="26">
        <v>1223.33</v>
      </c>
      <c r="J233" s="26">
        <v>1223.33</v>
      </c>
      <c r="K233" s="26">
        <v>1223.33</v>
      </c>
      <c r="L233" s="26">
        <v>1223.33</v>
      </c>
      <c r="M233" s="26">
        <v>1196.67</v>
      </c>
      <c r="N233" s="26">
        <v>1196.67</v>
      </c>
      <c r="O233" s="32">
        <v>1196.67</v>
      </c>
      <c r="P233" s="26">
        <f>SUM(D233:O233)</f>
        <v>14599.98</v>
      </c>
    </row>
    <row r="234" spans="3:16" ht="12.75">
      <c r="C234" s="4" t="str">
        <f>C222</f>
        <v>Treasury Fee</v>
      </c>
      <c r="D234" s="38">
        <v>250</v>
      </c>
      <c r="P234" s="26">
        <f>SUM(D234:O234)</f>
        <v>250</v>
      </c>
    </row>
    <row r="235" spans="3:16" ht="13.5" thickBot="1">
      <c r="C235" s="4" t="str">
        <f>C223</f>
        <v>Intercept</v>
      </c>
      <c r="D235" s="26">
        <f>26666.67+53113.02</f>
        <v>79779.69</v>
      </c>
      <c r="E235" s="26">
        <f>27916.67+52046.36</f>
        <v>79963.03</v>
      </c>
      <c r="F235" s="26">
        <f aca="true" t="shared" si="57" ref="F235:O235">27916.67+52046.36</f>
        <v>79963.03</v>
      </c>
      <c r="G235" s="26">
        <f t="shared" si="57"/>
        <v>79963.03</v>
      </c>
      <c r="H235" s="26">
        <f t="shared" si="57"/>
        <v>79963.03</v>
      </c>
      <c r="I235" s="26">
        <f t="shared" si="57"/>
        <v>79963.03</v>
      </c>
      <c r="J235" s="26">
        <f t="shared" si="57"/>
        <v>79963.03</v>
      </c>
      <c r="K235" s="26">
        <f t="shared" si="57"/>
        <v>79963.03</v>
      </c>
      <c r="L235" s="26">
        <f t="shared" si="57"/>
        <v>79963.03</v>
      </c>
      <c r="M235" s="26">
        <f t="shared" si="57"/>
        <v>79963.03</v>
      </c>
      <c r="N235" s="26">
        <f t="shared" si="57"/>
        <v>79963.03</v>
      </c>
      <c r="O235" s="32">
        <f t="shared" si="57"/>
        <v>79963.03</v>
      </c>
      <c r="P235" s="26">
        <f>SUM(D235:O235)</f>
        <v>959373.0200000003</v>
      </c>
    </row>
    <row r="236" spans="3:16" ht="13.5" thickBot="1">
      <c r="C236" s="14" t="s">
        <v>81</v>
      </c>
      <c r="D236" s="27">
        <f aca="true" t="shared" si="58" ref="D236:P236">SUM(D233:D235)</f>
        <v>81253.02</v>
      </c>
      <c r="E236" s="27">
        <f t="shared" si="58"/>
        <v>81186.36</v>
      </c>
      <c r="F236" s="27">
        <f t="shared" si="58"/>
        <v>81186.36</v>
      </c>
      <c r="G236" s="27">
        <f t="shared" si="58"/>
        <v>81186.36</v>
      </c>
      <c r="H236" s="27">
        <f t="shared" si="58"/>
        <v>81186.36</v>
      </c>
      <c r="I236" s="27">
        <f t="shared" si="58"/>
        <v>81186.36</v>
      </c>
      <c r="J236" s="27">
        <f t="shared" si="58"/>
        <v>81186.36</v>
      </c>
      <c r="K236" s="27">
        <f t="shared" si="58"/>
        <v>81186.36</v>
      </c>
      <c r="L236" s="27">
        <f t="shared" si="58"/>
        <v>81186.36</v>
      </c>
      <c r="M236" s="27">
        <f t="shared" si="58"/>
        <v>81159.7</v>
      </c>
      <c r="N236" s="27">
        <f t="shared" si="58"/>
        <v>81159.7</v>
      </c>
      <c r="O236" s="33">
        <f t="shared" si="58"/>
        <v>81159.7</v>
      </c>
      <c r="P236" s="37">
        <f t="shared" si="58"/>
        <v>974223.0000000002</v>
      </c>
    </row>
    <row r="237" ht="12.75">
      <c r="C237" s="12"/>
    </row>
    <row r="238" spans="1:3" ht="15.75">
      <c r="A238" s="1">
        <f>A232+1</f>
        <v>29</v>
      </c>
      <c r="C238" s="13" t="s">
        <v>82</v>
      </c>
    </row>
    <row r="239" spans="3:16" ht="12.75">
      <c r="C239" s="4" t="str">
        <f>C227</f>
        <v>Debt Reserve</v>
      </c>
      <c r="D239" s="26">
        <v>701.25</v>
      </c>
      <c r="E239" s="26">
        <v>701.25</v>
      </c>
      <c r="F239" s="26">
        <v>701.25</v>
      </c>
      <c r="G239" s="26">
        <v>701.25</v>
      </c>
      <c r="H239" s="26">
        <v>701.25</v>
      </c>
      <c r="I239" s="26">
        <v>701.25</v>
      </c>
      <c r="J239" s="26">
        <v>701.25</v>
      </c>
      <c r="K239" s="26">
        <v>701.25</v>
      </c>
      <c r="L239" s="26">
        <v>701.25</v>
      </c>
      <c r="M239" s="26">
        <v>701.25</v>
      </c>
      <c r="N239" s="26">
        <v>701.25</v>
      </c>
      <c r="O239" s="32">
        <v>685</v>
      </c>
      <c r="P239" s="26">
        <f>SUM(D239:O239)</f>
        <v>8398.75</v>
      </c>
    </row>
    <row r="240" spans="3:16" ht="12.75">
      <c r="C240" s="4" t="str">
        <f>C228</f>
        <v>Treasury Fee</v>
      </c>
      <c r="D240" s="38">
        <v>250</v>
      </c>
      <c r="P240" s="26">
        <f>SUM(D240:O240)</f>
        <v>250</v>
      </c>
    </row>
    <row r="241" spans="3:16" ht="13.5" thickBot="1">
      <c r="C241" s="4" t="str">
        <f>C229</f>
        <v>Intercept</v>
      </c>
      <c r="D241" s="26">
        <f aca="true" t="shared" si="59" ref="D241:K241">16250+31351.77</f>
        <v>47601.770000000004</v>
      </c>
      <c r="E241" s="26">
        <f t="shared" si="59"/>
        <v>47601.770000000004</v>
      </c>
      <c r="F241" s="26">
        <f t="shared" si="59"/>
        <v>47601.770000000004</v>
      </c>
      <c r="G241" s="26">
        <f t="shared" si="59"/>
        <v>47601.770000000004</v>
      </c>
      <c r="H241" s="26">
        <f t="shared" si="59"/>
        <v>47601.770000000004</v>
      </c>
      <c r="I241" s="26">
        <f t="shared" si="59"/>
        <v>47601.770000000004</v>
      </c>
      <c r="J241" s="26">
        <f t="shared" si="59"/>
        <v>47601.770000000004</v>
      </c>
      <c r="K241" s="26">
        <f t="shared" si="59"/>
        <v>47601.770000000004</v>
      </c>
      <c r="L241" s="26">
        <f>16666.67+30701.77</f>
        <v>47368.44</v>
      </c>
      <c r="M241" s="26">
        <f>16666.67+30701.77</f>
        <v>47368.44</v>
      </c>
      <c r="N241" s="26">
        <f>16666.67+30701.77</f>
        <v>47368.44</v>
      </c>
      <c r="O241" s="32">
        <f>16666.67+30701.77</f>
        <v>47368.44</v>
      </c>
      <c r="P241" s="26">
        <f>SUM(D241:O241)</f>
        <v>570287.9200000002</v>
      </c>
    </row>
    <row r="242" spans="3:16" ht="13.5" thickBot="1">
      <c r="C242" s="14" t="s">
        <v>83</v>
      </c>
      <c r="D242" s="27">
        <f aca="true" t="shared" si="60" ref="D242:P242">SUM(D239:D241)</f>
        <v>48553.020000000004</v>
      </c>
      <c r="E242" s="27">
        <f t="shared" si="60"/>
        <v>48303.020000000004</v>
      </c>
      <c r="F242" s="27">
        <f t="shared" si="60"/>
        <v>48303.020000000004</v>
      </c>
      <c r="G242" s="27">
        <f t="shared" si="60"/>
        <v>48303.020000000004</v>
      </c>
      <c r="H242" s="27">
        <f t="shared" si="60"/>
        <v>48303.020000000004</v>
      </c>
      <c r="I242" s="27">
        <f t="shared" si="60"/>
        <v>48303.020000000004</v>
      </c>
      <c r="J242" s="27">
        <f t="shared" si="60"/>
        <v>48303.020000000004</v>
      </c>
      <c r="K242" s="27">
        <f t="shared" si="60"/>
        <v>48303.020000000004</v>
      </c>
      <c r="L242" s="27">
        <f t="shared" si="60"/>
        <v>48069.69</v>
      </c>
      <c r="M242" s="27">
        <f t="shared" si="60"/>
        <v>48069.69</v>
      </c>
      <c r="N242" s="27">
        <f t="shared" si="60"/>
        <v>48069.69</v>
      </c>
      <c r="O242" s="33">
        <f t="shared" si="60"/>
        <v>48053.44</v>
      </c>
      <c r="P242" s="37">
        <f t="shared" si="60"/>
        <v>578936.6700000002</v>
      </c>
    </row>
    <row r="243" ht="12.75">
      <c r="C243" s="12"/>
    </row>
    <row r="244" spans="1:3" ht="15.75">
      <c r="A244" s="1" t="s">
        <v>110</v>
      </c>
      <c r="C244" s="13" t="s">
        <v>84</v>
      </c>
    </row>
    <row r="245" spans="3:16" ht="12.75">
      <c r="C245" s="4" t="str">
        <f>C239</f>
        <v>Debt Reserve</v>
      </c>
      <c r="D245" s="26">
        <v>488.75</v>
      </c>
      <c r="E245" s="26">
        <v>488.75</v>
      </c>
      <c r="F245" s="26">
        <v>488.75</v>
      </c>
      <c r="G245" s="26">
        <v>488.75</v>
      </c>
      <c r="H245" s="26">
        <v>488.75</v>
      </c>
      <c r="I245" s="26">
        <v>488.75</v>
      </c>
      <c r="J245" s="26">
        <v>488.75</v>
      </c>
      <c r="K245" s="26">
        <v>488.75</v>
      </c>
      <c r="L245" s="26">
        <v>488.75</v>
      </c>
      <c r="M245" s="26">
        <v>488.75</v>
      </c>
      <c r="N245" s="26">
        <v>488.75</v>
      </c>
      <c r="O245" s="32">
        <v>488.75</v>
      </c>
      <c r="P245" s="26">
        <f>SUM(D245:O245)</f>
        <v>5865</v>
      </c>
    </row>
    <row r="246" spans="3:16" ht="12.75">
      <c r="C246" s="4" t="str">
        <f>C240</f>
        <v>Treasury Fee</v>
      </c>
      <c r="D246" s="38">
        <v>83.33</v>
      </c>
      <c r="P246" s="26">
        <f>SUM(D246:O246)</f>
        <v>83.33</v>
      </c>
    </row>
    <row r="247" spans="3:16" ht="13.5" thickBot="1">
      <c r="C247" s="4" t="str">
        <f>C241</f>
        <v>Intercept</v>
      </c>
      <c r="D247" s="26">
        <f>10208.33+23644.27</f>
        <v>33852.6</v>
      </c>
      <c r="E247" s="26">
        <f aca="true" t="shared" si="61" ref="E247:O247">10208.33+23644.27</f>
        <v>33852.6</v>
      </c>
      <c r="F247" s="26">
        <f t="shared" si="61"/>
        <v>33852.6</v>
      </c>
      <c r="G247" s="26">
        <f t="shared" si="61"/>
        <v>33852.6</v>
      </c>
      <c r="H247" s="26">
        <f t="shared" si="61"/>
        <v>33852.6</v>
      </c>
      <c r="I247" s="26">
        <f t="shared" si="61"/>
        <v>33852.6</v>
      </c>
      <c r="J247" s="26">
        <f t="shared" si="61"/>
        <v>33852.6</v>
      </c>
      <c r="K247" s="26">
        <f t="shared" si="61"/>
        <v>33852.6</v>
      </c>
      <c r="L247" s="26">
        <f t="shared" si="61"/>
        <v>33852.6</v>
      </c>
      <c r="M247" s="26">
        <f t="shared" si="61"/>
        <v>33852.6</v>
      </c>
      <c r="N247" s="26">
        <f t="shared" si="61"/>
        <v>33852.6</v>
      </c>
      <c r="O247" s="32">
        <f t="shared" si="61"/>
        <v>33852.6</v>
      </c>
      <c r="P247" s="26">
        <f>SUM(D247:O247)</f>
        <v>406231.1999999999</v>
      </c>
    </row>
    <row r="248" spans="3:16" ht="13.5" thickBot="1">
      <c r="C248" s="6" t="s">
        <v>30</v>
      </c>
      <c r="D248" s="27">
        <f aca="true" t="shared" si="62" ref="D248:P248">SUM(D245:D247)</f>
        <v>34424.68</v>
      </c>
      <c r="E248" s="27">
        <f t="shared" si="62"/>
        <v>34341.35</v>
      </c>
      <c r="F248" s="27">
        <f t="shared" si="62"/>
        <v>34341.35</v>
      </c>
      <c r="G248" s="27">
        <f t="shared" si="62"/>
        <v>34341.35</v>
      </c>
      <c r="H248" s="27">
        <f t="shared" si="62"/>
        <v>34341.35</v>
      </c>
      <c r="I248" s="27">
        <f t="shared" si="62"/>
        <v>34341.35</v>
      </c>
      <c r="J248" s="27">
        <f t="shared" si="62"/>
        <v>34341.35</v>
      </c>
      <c r="K248" s="27">
        <f t="shared" si="62"/>
        <v>34341.35</v>
      </c>
      <c r="L248" s="27">
        <f t="shared" si="62"/>
        <v>34341.35</v>
      </c>
      <c r="M248" s="27">
        <f t="shared" si="62"/>
        <v>34341.35</v>
      </c>
      <c r="N248" s="27">
        <f t="shared" si="62"/>
        <v>34341.35</v>
      </c>
      <c r="O248" s="33">
        <f t="shared" si="62"/>
        <v>34341.35</v>
      </c>
      <c r="P248" s="37">
        <f t="shared" si="62"/>
        <v>412179.5299999999</v>
      </c>
    </row>
    <row r="249" ht="12.75">
      <c r="C249" s="12"/>
    </row>
    <row r="250" spans="1:3" ht="15.75">
      <c r="A250" s="1" t="s">
        <v>111</v>
      </c>
      <c r="C250" s="13" t="s">
        <v>85</v>
      </c>
    </row>
    <row r="251" spans="3:16" ht="12.75">
      <c r="C251" s="4" t="str">
        <f>C245</f>
        <v>Debt Reserve</v>
      </c>
      <c r="D251" s="26">
        <v>488.75</v>
      </c>
      <c r="E251" s="26">
        <v>488.75</v>
      </c>
      <c r="F251" s="26">
        <v>488.75</v>
      </c>
      <c r="G251" s="26">
        <v>488.75</v>
      </c>
      <c r="H251" s="26">
        <v>488.75</v>
      </c>
      <c r="I251" s="26">
        <v>488.75</v>
      </c>
      <c r="J251" s="26">
        <v>488.75</v>
      </c>
      <c r="K251" s="26">
        <v>488.75</v>
      </c>
      <c r="L251" s="26">
        <v>488.75</v>
      </c>
      <c r="M251" s="26">
        <v>488.75</v>
      </c>
      <c r="N251" s="26">
        <v>488.75</v>
      </c>
      <c r="O251" s="32">
        <v>488.75</v>
      </c>
      <c r="P251" s="26">
        <f>SUM(D251:O251)</f>
        <v>5865</v>
      </c>
    </row>
    <row r="252" spans="3:16" ht="12.75">
      <c r="C252" s="4" t="str">
        <f>C246</f>
        <v>Treasury Fee</v>
      </c>
      <c r="D252" s="38">
        <v>83.33</v>
      </c>
      <c r="P252" s="26">
        <f>SUM(D252:O252)</f>
        <v>83.33</v>
      </c>
    </row>
    <row r="253" spans="3:16" ht="13.5" thickBot="1">
      <c r="C253" s="4" t="str">
        <f>C247</f>
        <v>Intercept</v>
      </c>
      <c r="D253" s="26">
        <f>10208.33+23644.27</f>
        <v>33852.6</v>
      </c>
      <c r="E253" s="26">
        <f aca="true" t="shared" si="63" ref="E253:O253">10208.33+23644.27</f>
        <v>33852.6</v>
      </c>
      <c r="F253" s="26">
        <f t="shared" si="63"/>
        <v>33852.6</v>
      </c>
      <c r="G253" s="26">
        <f t="shared" si="63"/>
        <v>33852.6</v>
      </c>
      <c r="H253" s="26">
        <f t="shared" si="63"/>
        <v>33852.6</v>
      </c>
      <c r="I253" s="26">
        <f t="shared" si="63"/>
        <v>33852.6</v>
      </c>
      <c r="J253" s="26">
        <f t="shared" si="63"/>
        <v>33852.6</v>
      </c>
      <c r="K253" s="26">
        <f t="shared" si="63"/>
        <v>33852.6</v>
      </c>
      <c r="L253" s="26">
        <f t="shared" si="63"/>
        <v>33852.6</v>
      </c>
      <c r="M253" s="26">
        <f t="shared" si="63"/>
        <v>33852.6</v>
      </c>
      <c r="N253" s="26">
        <f t="shared" si="63"/>
        <v>33852.6</v>
      </c>
      <c r="O253" s="32">
        <f t="shared" si="63"/>
        <v>33852.6</v>
      </c>
      <c r="P253" s="26">
        <f>SUM(D253:O253)</f>
        <v>406231.1999999999</v>
      </c>
    </row>
    <row r="254" spans="3:16" ht="13.5" thickBot="1">
      <c r="C254" s="6" t="s">
        <v>32</v>
      </c>
      <c r="D254" s="27">
        <f aca="true" t="shared" si="64" ref="D254:P254">SUM(D251:D253)</f>
        <v>34424.68</v>
      </c>
      <c r="E254" s="27">
        <f t="shared" si="64"/>
        <v>34341.35</v>
      </c>
      <c r="F254" s="27">
        <f t="shared" si="64"/>
        <v>34341.35</v>
      </c>
      <c r="G254" s="27">
        <f t="shared" si="64"/>
        <v>34341.35</v>
      </c>
      <c r="H254" s="27">
        <f t="shared" si="64"/>
        <v>34341.35</v>
      </c>
      <c r="I254" s="27">
        <f t="shared" si="64"/>
        <v>34341.35</v>
      </c>
      <c r="J254" s="27">
        <f t="shared" si="64"/>
        <v>34341.35</v>
      </c>
      <c r="K254" s="27">
        <f t="shared" si="64"/>
        <v>34341.35</v>
      </c>
      <c r="L254" s="27">
        <f t="shared" si="64"/>
        <v>34341.35</v>
      </c>
      <c r="M254" s="27">
        <f t="shared" si="64"/>
        <v>34341.35</v>
      </c>
      <c r="N254" s="27">
        <f t="shared" si="64"/>
        <v>34341.35</v>
      </c>
      <c r="O254" s="33">
        <f t="shared" si="64"/>
        <v>34341.35</v>
      </c>
      <c r="P254" s="37">
        <f t="shared" si="64"/>
        <v>412179.5299999999</v>
      </c>
    </row>
    <row r="255" ht="12.75">
      <c r="C255" s="12"/>
    </row>
    <row r="256" spans="1:3" ht="15.75">
      <c r="A256" s="1" t="s">
        <v>112</v>
      </c>
      <c r="C256" s="13" t="s">
        <v>86</v>
      </c>
    </row>
    <row r="257" spans="3:16" ht="12.75">
      <c r="C257" s="4" t="str">
        <f>C251</f>
        <v>Debt Reserve</v>
      </c>
      <c r="D257" s="26">
        <v>648.75</v>
      </c>
      <c r="E257" s="26">
        <v>648.75</v>
      </c>
      <c r="F257" s="26">
        <v>648.75</v>
      </c>
      <c r="G257" s="26">
        <v>648.75</v>
      </c>
      <c r="H257" s="26">
        <v>648.75</v>
      </c>
      <c r="I257" s="26">
        <v>648.75</v>
      </c>
      <c r="J257" s="26">
        <v>648.75</v>
      </c>
      <c r="K257" s="26">
        <v>648.75</v>
      </c>
      <c r="L257" s="26">
        <v>648.75</v>
      </c>
      <c r="M257" s="26">
        <v>648.75</v>
      </c>
      <c r="N257" s="26">
        <v>648.75</v>
      </c>
      <c r="O257" s="32">
        <v>648.75</v>
      </c>
      <c r="P257" s="26">
        <f>SUM(D257:O257)</f>
        <v>7785</v>
      </c>
    </row>
    <row r="258" spans="3:16" ht="12.75">
      <c r="C258" s="4" t="str">
        <f>C252</f>
        <v>Treasury Fee</v>
      </c>
      <c r="D258" s="38">
        <v>83.33</v>
      </c>
      <c r="P258" s="26">
        <f>SUM(D258:O258)</f>
        <v>83.33</v>
      </c>
    </row>
    <row r="259" spans="3:16" ht="13.5" thickBot="1">
      <c r="C259" s="4" t="str">
        <f>C253</f>
        <v>Intercept</v>
      </c>
      <c r="D259" s="26">
        <f>13750+31385.94</f>
        <v>45135.94</v>
      </c>
      <c r="E259" s="26">
        <f aca="true" t="shared" si="65" ref="E259:O259">13750+31385.94</f>
        <v>45135.94</v>
      </c>
      <c r="F259" s="26">
        <f t="shared" si="65"/>
        <v>45135.94</v>
      </c>
      <c r="G259" s="26">
        <f t="shared" si="65"/>
        <v>45135.94</v>
      </c>
      <c r="H259" s="26">
        <f t="shared" si="65"/>
        <v>45135.94</v>
      </c>
      <c r="I259" s="26">
        <f t="shared" si="65"/>
        <v>45135.94</v>
      </c>
      <c r="J259" s="26">
        <f t="shared" si="65"/>
        <v>45135.94</v>
      </c>
      <c r="K259" s="26">
        <f t="shared" si="65"/>
        <v>45135.94</v>
      </c>
      <c r="L259" s="26">
        <f t="shared" si="65"/>
        <v>45135.94</v>
      </c>
      <c r="M259" s="26">
        <f t="shared" si="65"/>
        <v>45135.94</v>
      </c>
      <c r="N259" s="26">
        <f t="shared" si="65"/>
        <v>45135.94</v>
      </c>
      <c r="O259" s="32">
        <f t="shared" si="65"/>
        <v>45135.94</v>
      </c>
      <c r="P259" s="26">
        <f>SUM(D259:O259)</f>
        <v>541631.28</v>
      </c>
    </row>
    <row r="260" spans="3:16" ht="13.5" thickBot="1">
      <c r="C260" s="14" t="s">
        <v>87</v>
      </c>
      <c r="D260" s="27">
        <f aca="true" t="shared" si="66" ref="D260:P260">SUM(D257:D259)</f>
        <v>45868.020000000004</v>
      </c>
      <c r="E260" s="27">
        <f t="shared" si="66"/>
        <v>45784.69</v>
      </c>
      <c r="F260" s="27">
        <f t="shared" si="66"/>
        <v>45784.69</v>
      </c>
      <c r="G260" s="27">
        <f t="shared" si="66"/>
        <v>45784.69</v>
      </c>
      <c r="H260" s="27">
        <f t="shared" si="66"/>
        <v>45784.69</v>
      </c>
      <c r="I260" s="27">
        <f t="shared" si="66"/>
        <v>45784.69</v>
      </c>
      <c r="J260" s="27">
        <f t="shared" si="66"/>
        <v>45784.69</v>
      </c>
      <c r="K260" s="27">
        <f t="shared" si="66"/>
        <v>45784.69</v>
      </c>
      <c r="L260" s="27">
        <f t="shared" si="66"/>
        <v>45784.69</v>
      </c>
      <c r="M260" s="27">
        <f t="shared" si="66"/>
        <v>45784.69</v>
      </c>
      <c r="N260" s="27">
        <f t="shared" si="66"/>
        <v>45784.69</v>
      </c>
      <c r="O260" s="33">
        <f t="shared" si="66"/>
        <v>45784.69</v>
      </c>
      <c r="P260" s="37">
        <f t="shared" si="66"/>
        <v>549499.61</v>
      </c>
    </row>
    <row r="261" ht="12.75">
      <c r="C261" s="15"/>
    </row>
    <row r="262" spans="1:3" ht="15.75">
      <c r="A262" s="16">
        <v>33</v>
      </c>
      <c r="C262" s="13" t="s">
        <v>89</v>
      </c>
    </row>
    <row r="263" spans="3:16" ht="12.75">
      <c r="C263" s="4" t="str">
        <f>C257</f>
        <v>Debt Reserve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32">
        <v>0</v>
      </c>
      <c r="P263" s="26">
        <f>SUM(D263:O263)</f>
        <v>0</v>
      </c>
    </row>
    <row r="264" spans="3:16" ht="12.75">
      <c r="C264" s="4" t="str">
        <f>C258</f>
        <v>Treasury Fee</v>
      </c>
      <c r="D264" s="38">
        <v>250</v>
      </c>
      <c r="P264" s="26">
        <f>SUM(D264:O264)</f>
        <v>250</v>
      </c>
    </row>
    <row r="265" spans="3:16" ht="13.5" thickBot="1">
      <c r="C265" s="4" t="str">
        <f>C259</f>
        <v>Intercept</v>
      </c>
      <c r="D265" s="26">
        <f aca="true" t="shared" si="67" ref="D265:M265">7500+23191.67</f>
        <v>30691.67</v>
      </c>
      <c r="E265" s="26">
        <f t="shared" si="67"/>
        <v>30691.67</v>
      </c>
      <c r="F265" s="26">
        <f t="shared" si="67"/>
        <v>30691.67</v>
      </c>
      <c r="G265" s="26">
        <f t="shared" si="67"/>
        <v>30691.67</v>
      </c>
      <c r="H265" s="26">
        <f t="shared" si="67"/>
        <v>30691.67</v>
      </c>
      <c r="I265" s="26">
        <f t="shared" si="67"/>
        <v>30691.67</v>
      </c>
      <c r="J265" s="26">
        <f t="shared" si="67"/>
        <v>30691.67</v>
      </c>
      <c r="K265" s="26">
        <f t="shared" si="67"/>
        <v>30691.67</v>
      </c>
      <c r="L265" s="26">
        <f t="shared" si="67"/>
        <v>30691.67</v>
      </c>
      <c r="M265" s="26">
        <f t="shared" si="67"/>
        <v>30691.67</v>
      </c>
      <c r="N265" s="26">
        <f>7916.67+22760.42</f>
        <v>30677.089999999997</v>
      </c>
      <c r="O265" s="32">
        <f>7916.67+22760.42</f>
        <v>30677.089999999997</v>
      </c>
      <c r="P265" s="26">
        <f>SUM(D265:O265)</f>
        <v>368270.8799999999</v>
      </c>
    </row>
    <row r="266" spans="3:16" ht="13.5" thickBot="1">
      <c r="C266" s="14" t="s">
        <v>90</v>
      </c>
      <c r="D266" s="27">
        <f aca="true" t="shared" si="68" ref="D266:P266">SUM(D263:D265)</f>
        <v>30941.67</v>
      </c>
      <c r="E266" s="27">
        <f t="shared" si="68"/>
        <v>30691.67</v>
      </c>
      <c r="F266" s="27">
        <f t="shared" si="68"/>
        <v>30691.67</v>
      </c>
      <c r="G266" s="27">
        <f t="shared" si="68"/>
        <v>30691.67</v>
      </c>
      <c r="H266" s="27">
        <f t="shared" si="68"/>
        <v>30691.67</v>
      </c>
      <c r="I266" s="27">
        <f t="shared" si="68"/>
        <v>30691.67</v>
      </c>
      <c r="J266" s="27">
        <f t="shared" si="68"/>
        <v>30691.67</v>
      </c>
      <c r="K266" s="27">
        <f t="shared" si="68"/>
        <v>30691.67</v>
      </c>
      <c r="L266" s="27">
        <f t="shared" si="68"/>
        <v>30691.67</v>
      </c>
      <c r="M266" s="27">
        <f t="shared" si="68"/>
        <v>30691.67</v>
      </c>
      <c r="N266" s="27">
        <f t="shared" si="68"/>
        <v>30677.089999999997</v>
      </c>
      <c r="O266" s="33">
        <f t="shared" si="68"/>
        <v>30677.089999999997</v>
      </c>
      <c r="P266" s="37">
        <f t="shared" si="68"/>
        <v>368520.8799999999</v>
      </c>
    </row>
    <row r="267" ht="12.75">
      <c r="C267" s="15"/>
    </row>
    <row r="268" spans="1:3" ht="15.75">
      <c r="A268" s="16">
        <f>+A262+1</f>
        <v>34</v>
      </c>
      <c r="C268" s="13" t="s">
        <v>92</v>
      </c>
    </row>
    <row r="269" spans="3:16" ht="12.75">
      <c r="C269" s="4" t="str">
        <f>C263</f>
        <v>Debt Reserve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32">
        <v>0</v>
      </c>
      <c r="P269" s="26">
        <f>SUM(D269:O269)</f>
        <v>0</v>
      </c>
    </row>
    <row r="270" spans="3:16" ht="12.75">
      <c r="C270" s="4" t="str">
        <f>C264</f>
        <v>Treasury Fee</v>
      </c>
      <c r="D270" s="38">
        <v>250</v>
      </c>
      <c r="P270" s="26">
        <f>SUM(D270:O270)</f>
        <v>250</v>
      </c>
    </row>
    <row r="271" spans="3:16" ht="13.5" thickBot="1">
      <c r="C271" s="4" t="str">
        <f>C265</f>
        <v>Intercept</v>
      </c>
      <c r="D271" s="26">
        <f aca="true" t="shared" si="69" ref="D271:M271">10000+30780</f>
        <v>40780</v>
      </c>
      <c r="E271" s="26">
        <f t="shared" si="69"/>
        <v>40780</v>
      </c>
      <c r="F271" s="26">
        <f t="shared" si="69"/>
        <v>40780</v>
      </c>
      <c r="G271" s="26">
        <f t="shared" si="69"/>
        <v>40780</v>
      </c>
      <c r="H271" s="26">
        <f t="shared" si="69"/>
        <v>40780</v>
      </c>
      <c r="I271" s="26">
        <f t="shared" si="69"/>
        <v>40780</v>
      </c>
      <c r="J271" s="26">
        <f t="shared" si="69"/>
        <v>40780</v>
      </c>
      <c r="K271" s="26">
        <f t="shared" si="69"/>
        <v>40780</v>
      </c>
      <c r="L271" s="26">
        <f t="shared" si="69"/>
        <v>40780</v>
      </c>
      <c r="M271" s="26">
        <f t="shared" si="69"/>
        <v>40780</v>
      </c>
      <c r="N271" s="26">
        <f>10833.33+30210</f>
        <v>41043.33</v>
      </c>
      <c r="O271" s="32">
        <f>10833.33+30210</f>
        <v>41043.33</v>
      </c>
      <c r="P271" s="26">
        <f>SUM(D271:O271)</f>
        <v>489886.66000000003</v>
      </c>
    </row>
    <row r="272" spans="3:16" ht="13.5" thickBot="1">
      <c r="C272" s="14" t="s">
        <v>93</v>
      </c>
      <c r="D272" s="27">
        <f aca="true" t="shared" si="70" ref="D272:P272">SUM(D269:D271)</f>
        <v>41030</v>
      </c>
      <c r="E272" s="27">
        <f t="shared" si="70"/>
        <v>40780</v>
      </c>
      <c r="F272" s="27">
        <f t="shared" si="70"/>
        <v>40780</v>
      </c>
      <c r="G272" s="27">
        <f t="shared" si="70"/>
        <v>40780</v>
      </c>
      <c r="H272" s="27">
        <f t="shared" si="70"/>
        <v>40780</v>
      </c>
      <c r="I272" s="27">
        <f t="shared" si="70"/>
        <v>40780</v>
      </c>
      <c r="J272" s="27">
        <f t="shared" si="70"/>
        <v>40780</v>
      </c>
      <c r="K272" s="27">
        <f t="shared" si="70"/>
        <v>40780</v>
      </c>
      <c r="L272" s="27">
        <f t="shared" si="70"/>
        <v>40780</v>
      </c>
      <c r="M272" s="27">
        <f t="shared" si="70"/>
        <v>40780</v>
      </c>
      <c r="N272" s="27">
        <f t="shared" si="70"/>
        <v>41043.33</v>
      </c>
      <c r="O272" s="33">
        <f t="shared" si="70"/>
        <v>41043.33</v>
      </c>
      <c r="P272" s="37">
        <f t="shared" si="70"/>
        <v>490136.66000000003</v>
      </c>
    </row>
    <row r="273" ht="12.75">
      <c r="C273" s="15"/>
    </row>
    <row r="274" spans="1:3" ht="15.75">
      <c r="A274" s="16">
        <f>+A268+1</f>
        <v>35</v>
      </c>
      <c r="C274" s="13" t="s">
        <v>94</v>
      </c>
    </row>
    <row r="275" spans="3:16" ht="12.75">
      <c r="C275" s="4" t="str">
        <f>C269</f>
        <v>Debt Reserve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32">
        <v>0</v>
      </c>
      <c r="P275" s="26">
        <f>SUM(D275:O275)</f>
        <v>0</v>
      </c>
    </row>
    <row r="276" spans="3:16" ht="12.75">
      <c r="C276" s="4" t="str">
        <f>C270</f>
        <v>Treasury Fee</v>
      </c>
      <c r="D276" s="38">
        <v>250</v>
      </c>
      <c r="P276" s="26">
        <f>SUM(D276:O276)</f>
        <v>250</v>
      </c>
    </row>
    <row r="277" spans="3:16" ht="13.5" thickBot="1">
      <c r="C277" s="4" t="str">
        <f>C271</f>
        <v>Intercept</v>
      </c>
      <c r="D277" s="26">
        <f aca="true" t="shared" si="71" ref="D277:M277">2083.33+11906.25</f>
        <v>13989.58</v>
      </c>
      <c r="E277" s="26">
        <f t="shared" si="71"/>
        <v>13989.58</v>
      </c>
      <c r="F277" s="26">
        <f t="shared" si="71"/>
        <v>13989.58</v>
      </c>
      <c r="G277" s="26">
        <f t="shared" si="71"/>
        <v>13989.58</v>
      </c>
      <c r="H277" s="26">
        <f t="shared" si="71"/>
        <v>13989.58</v>
      </c>
      <c r="I277" s="26">
        <f t="shared" si="71"/>
        <v>13989.58</v>
      </c>
      <c r="J277" s="26">
        <f t="shared" si="71"/>
        <v>13989.58</v>
      </c>
      <c r="K277" s="26">
        <f t="shared" si="71"/>
        <v>13989.58</v>
      </c>
      <c r="L277" s="26">
        <f t="shared" si="71"/>
        <v>13989.58</v>
      </c>
      <c r="M277" s="26">
        <f t="shared" si="71"/>
        <v>13989.58</v>
      </c>
      <c r="N277" s="26">
        <f>2500+11750</f>
        <v>14250</v>
      </c>
      <c r="O277" s="32">
        <f>2500+11750</f>
        <v>14250</v>
      </c>
      <c r="P277" s="26">
        <f>SUM(D277:O277)</f>
        <v>168395.8</v>
      </c>
    </row>
    <row r="278" spans="3:16" ht="13.5" thickBot="1">
      <c r="C278" s="14" t="s">
        <v>95</v>
      </c>
      <c r="D278" s="27">
        <f aca="true" t="shared" si="72" ref="D278:P278">SUM(D275:D277)</f>
        <v>14239.58</v>
      </c>
      <c r="E278" s="27">
        <f t="shared" si="72"/>
        <v>13989.58</v>
      </c>
      <c r="F278" s="27">
        <f t="shared" si="72"/>
        <v>13989.58</v>
      </c>
      <c r="G278" s="27">
        <f t="shared" si="72"/>
        <v>13989.58</v>
      </c>
      <c r="H278" s="27">
        <f t="shared" si="72"/>
        <v>13989.58</v>
      </c>
      <c r="I278" s="27">
        <f t="shared" si="72"/>
        <v>13989.58</v>
      </c>
      <c r="J278" s="27">
        <f t="shared" si="72"/>
        <v>13989.58</v>
      </c>
      <c r="K278" s="27">
        <f t="shared" si="72"/>
        <v>13989.58</v>
      </c>
      <c r="L278" s="27">
        <f t="shared" si="72"/>
        <v>13989.58</v>
      </c>
      <c r="M278" s="27">
        <f t="shared" si="72"/>
        <v>13989.58</v>
      </c>
      <c r="N278" s="27">
        <f t="shared" si="72"/>
        <v>14250</v>
      </c>
      <c r="O278" s="33">
        <f t="shared" si="72"/>
        <v>14250</v>
      </c>
      <c r="P278" s="37">
        <f t="shared" si="72"/>
        <v>168645.8</v>
      </c>
    </row>
    <row r="279" ht="12.75">
      <c r="C279" s="15"/>
    </row>
    <row r="280" spans="1:3" ht="15.75">
      <c r="A280" s="16">
        <f>+A274+1</f>
        <v>36</v>
      </c>
      <c r="C280" s="13" t="s">
        <v>96</v>
      </c>
    </row>
    <row r="281" spans="3:16" ht="12.75">
      <c r="C281" s="4" t="str">
        <f>C275</f>
        <v>Debt Reserve</v>
      </c>
      <c r="D281" s="26">
        <v>574.58</v>
      </c>
      <c r="E281" s="26">
        <v>574.58</v>
      </c>
      <c r="F281" s="26">
        <v>574.58</v>
      </c>
      <c r="G281" s="26">
        <v>574.58</v>
      </c>
      <c r="H281" s="26">
        <v>574.58</v>
      </c>
      <c r="I281" s="26">
        <v>574.58</v>
      </c>
      <c r="J281" s="26">
        <v>574.58</v>
      </c>
      <c r="K281" s="26">
        <v>574.58</v>
      </c>
      <c r="L281" s="26">
        <v>574.58</v>
      </c>
      <c r="M281" s="26">
        <v>574.58</v>
      </c>
      <c r="N281" s="26">
        <v>574.58</v>
      </c>
      <c r="O281" s="32">
        <v>564.58</v>
      </c>
      <c r="P281" s="26">
        <f>SUM(D281:O281)</f>
        <v>6884.96</v>
      </c>
    </row>
    <row r="282" spans="3:16" ht="12.75">
      <c r="C282" s="4" t="str">
        <f>C276</f>
        <v>Treasury Fee</v>
      </c>
      <c r="D282" s="38">
        <v>250</v>
      </c>
      <c r="P282" s="26">
        <f>SUM(D282:O282)</f>
        <v>250</v>
      </c>
    </row>
    <row r="283" spans="3:16" ht="13.5" thickBot="1">
      <c r="C283" s="4" t="str">
        <f>C277</f>
        <v>Intercept</v>
      </c>
      <c r="D283" s="26">
        <f aca="true" t="shared" si="73" ref="D283:N283">12500+27737.71</f>
        <v>40237.71</v>
      </c>
      <c r="E283" s="26">
        <f t="shared" si="73"/>
        <v>40237.71</v>
      </c>
      <c r="F283" s="26">
        <f t="shared" si="73"/>
        <v>40237.71</v>
      </c>
      <c r="G283" s="26">
        <f t="shared" si="73"/>
        <v>40237.71</v>
      </c>
      <c r="H283" s="26">
        <f t="shared" si="73"/>
        <v>40237.71</v>
      </c>
      <c r="I283" s="26">
        <f t="shared" si="73"/>
        <v>40237.71</v>
      </c>
      <c r="J283" s="26">
        <f t="shared" si="73"/>
        <v>40237.71</v>
      </c>
      <c r="K283" s="26">
        <f t="shared" si="73"/>
        <v>40237.71</v>
      </c>
      <c r="L283" s="26">
        <f t="shared" si="73"/>
        <v>40237.71</v>
      </c>
      <c r="M283" s="26">
        <f t="shared" si="73"/>
        <v>40237.71</v>
      </c>
      <c r="N283" s="26">
        <f t="shared" si="73"/>
        <v>40237.71</v>
      </c>
      <c r="O283" s="32">
        <f>12916.67+27237.71</f>
        <v>40154.38</v>
      </c>
      <c r="P283" s="26">
        <f>SUM(D283:O283)</f>
        <v>482769.19000000006</v>
      </c>
    </row>
    <row r="284" spans="3:16" ht="13.5" thickBot="1">
      <c r="C284" s="14" t="s">
        <v>97</v>
      </c>
      <c r="D284" s="27">
        <f aca="true" t="shared" si="74" ref="D284:P284">SUM(D281:D283)</f>
        <v>41062.29</v>
      </c>
      <c r="E284" s="27">
        <f t="shared" si="74"/>
        <v>40812.29</v>
      </c>
      <c r="F284" s="27">
        <f t="shared" si="74"/>
        <v>40812.29</v>
      </c>
      <c r="G284" s="27">
        <f t="shared" si="74"/>
        <v>40812.29</v>
      </c>
      <c r="H284" s="27">
        <f t="shared" si="74"/>
        <v>40812.29</v>
      </c>
      <c r="I284" s="27">
        <f t="shared" si="74"/>
        <v>40812.29</v>
      </c>
      <c r="J284" s="27">
        <f t="shared" si="74"/>
        <v>40812.29</v>
      </c>
      <c r="K284" s="27">
        <f t="shared" si="74"/>
        <v>40812.29</v>
      </c>
      <c r="L284" s="27">
        <f t="shared" si="74"/>
        <v>40812.29</v>
      </c>
      <c r="M284" s="27">
        <f t="shared" si="74"/>
        <v>40812.29</v>
      </c>
      <c r="N284" s="27">
        <f t="shared" si="74"/>
        <v>40812.29</v>
      </c>
      <c r="O284" s="33">
        <f t="shared" si="74"/>
        <v>40718.96</v>
      </c>
      <c r="P284" s="37">
        <f t="shared" si="74"/>
        <v>489904.1500000001</v>
      </c>
    </row>
    <row r="285" ht="12.75">
      <c r="C285" s="15"/>
    </row>
    <row r="286" spans="1:3" ht="21">
      <c r="A286" s="16">
        <f>+A280+1</f>
        <v>37</v>
      </c>
      <c r="B286" s="44" t="s">
        <v>107</v>
      </c>
      <c r="C286" s="45" t="s">
        <v>165</v>
      </c>
    </row>
    <row r="287" spans="3:16" ht="12.75">
      <c r="C287" s="4" t="str">
        <f>C281</f>
        <v>Debt Reserve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32">
        <v>0</v>
      </c>
      <c r="P287" s="26">
        <f>SUM(D287:O287)</f>
        <v>0</v>
      </c>
    </row>
    <row r="288" spans="3:16" ht="12.75">
      <c r="C288" s="4" t="str">
        <f>C282</f>
        <v>Treasury Fee</v>
      </c>
      <c r="D288" s="38">
        <v>250</v>
      </c>
      <c r="P288" s="26">
        <f>SUM(D288:O288)</f>
        <v>250</v>
      </c>
    </row>
    <row r="289" spans="3:16" ht="13.5" thickBot="1">
      <c r="C289" s="4" t="str">
        <f>C283</f>
        <v>Intercept</v>
      </c>
      <c r="D289" s="26">
        <v>17750</v>
      </c>
      <c r="E289" s="26">
        <v>17750</v>
      </c>
      <c r="F289" s="26">
        <v>17750</v>
      </c>
      <c r="G289" s="26">
        <v>17750</v>
      </c>
      <c r="H289" s="26">
        <v>17750</v>
      </c>
      <c r="I289" s="26">
        <v>17750</v>
      </c>
      <c r="J289" s="26">
        <v>17750</v>
      </c>
      <c r="K289" s="26">
        <v>17750</v>
      </c>
      <c r="L289" s="26">
        <v>17750</v>
      </c>
      <c r="M289" s="26">
        <v>17750</v>
      </c>
      <c r="N289" s="26">
        <v>17750</v>
      </c>
      <c r="O289" s="32">
        <v>17750</v>
      </c>
      <c r="P289" s="26">
        <f>SUM(D289:O289)</f>
        <v>213000</v>
      </c>
    </row>
    <row r="290" spans="3:16" ht="13.5" thickBot="1">
      <c r="C290" s="14" t="s">
        <v>98</v>
      </c>
      <c r="D290" s="27">
        <f aca="true" t="shared" si="75" ref="D290:P290">SUM(D287:D289)</f>
        <v>18000</v>
      </c>
      <c r="E290" s="27">
        <f t="shared" si="75"/>
        <v>17750</v>
      </c>
      <c r="F290" s="27">
        <f t="shared" si="75"/>
        <v>17750</v>
      </c>
      <c r="G290" s="27">
        <f t="shared" si="75"/>
        <v>17750</v>
      </c>
      <c r="H290" s="27">
        <f t="shared" si="75"/>
        <v>17750</v>
      </c>
      <c r="I290" s="27">
        <f t="shared" si="75"/>
        <v>17750</v>
      </c>
      <c r="J290" s="27">
        <f t="shared" si="75"/>
        <v>17750</v>
      </c>
      <c r="K290" s="27">
        <f t="shared" si="75"/>
        <v>17750</v>
      </c>
      <c r="L290" s="27">
        <f t="shared" si="75"/>
        <v>17750</v>
      </c>
      <c r="M290" s="27">
        <f t="shared" si="75"/>
        <v>17750</v>
      </c>
      <c r="N290" s="27">
        <f t="shared" si="75"/>
        <v>17750</v>
      </c>
      <c r="O290" s="33">
        <f t="shared" si="75"/>
        <v>17750</v>
      </c>
      <c r="P290" s="37">
        <f t="shared" si="75"/>
        <v>213250</v>
      </c>
    </row>
    <row r="291" ht="12.75">
      <c r="C291" s="15"/>
    </row>
    <row r="292" spans="1:3" ht="21">
      <c r="A292" s="16">
        <f>+A286+1</f>
        <v>38</v>
      </c>
      <c r="B292" s="17"/>
      <c r="C292" s="13" t="s">
        <v>99</v>
      </c>
    </row>
    <row r="293" spans="3:16" ht="12.75">
      <c r="C293" s="4" t="str">
        <f>C287</f>
        <v>Debt Reserve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32">
        <v>0</v>
      </c>
      <c r="P293" s="26">
        <f>SUM(D293:O293)</f>
        <v>0</v>
      </c>
    </row>
    <row r="294" spans="3:16" ht="12.75">
      <c r="C294" s="4" t="str">
        <f>C288</f>
        <v>Treasury Fee</v>
      </c>
      <c r="D294" s="38">
        <v>250</v>
      </c>
      <c r="P294" s="26">
        <f>SUM(D294:O294)</f>
        <v>250</v>
      </c>
    </row>
    <row r="295" spans="3:16" ht="13.5" thickBot="1">
      <c r="C295" s="4" t="str">
        <f>C289</f>
        <v>Intercept</v>
      </c>
      <c r="D295" s="26">
        <f>17083.33+57632.81</f>
        <v>74716.14</v>
      </c>
      <c r="E295" s="26">
        <f>17083.33+57632.81</f>
        <v>74716.14</v>
      </c>
      <c r="F295" s="26">
        <f>17083.33+57632.81</f>
        <v>74716.14</v>
      </c>
      <c r="G295" s="26">
        <f>17916.67+56693.23</f>
        <v>74609.9</v>
      </c>
      <c r="H295" s="26">
        <f aca="true" t="shared" si="76" ref="H295:O295">17916.67+56693.23</f>
        <v>74609.9</v>
      </c>
      <c r="I295" s="26">
        <f t="shared" si="76"/>
        <v>74609.9</v>
      </c>
      <c r="J295" s="26">
        <f t="shared" si="76"/>
        <v>74609.9</v>
      </c>
      <c r="K295" s="26">
        <f t="shared" si="76"/>
        <v>74609.9</v>
      </c>
      <c r="L295" s="26">
        <f t="shared" si="76"/>
        <v>74609.9</v>
      </c>
      <c r="M295" s="26">
        <f t="shared" si="76"/>
        <v>74609.9</v>
      </c>
      <c r="N295" s="26">
        <f t="shared" si="76"/>
        <v>74609.9</v>
      </c>
      <c r="O295" s="32">
        <f t="shared" si="76"/>
        <v>74609.9</v>
      </c>
      <c r="P295" s="26">
        <f>SUM(D295:O295)</f>
        <v>895637.5200000001</v>
      </c>
    </row>
    <row r="296" spans="3:16" ht="13.5" thickBot="1">
      <c r="C296" s="14" t="s">
        <v>100</v>
      </c>
      <c r="D296" s="27">
        <f aca="true" t="shared" si="77" ref="D296:P296">SUM(D293:D295)</f>
        <v>74966.14</v>
      </c>
      <c r="E296" s="27">
        <f t="shared" si="77"/>
        <v>74716.14</v>
      </c>
      <c r="F296" s="27">
        <f t="shared" si="77"/>
        <v>74716.14</v>
      </c>
      <c r="G296" s="27">
        <f t="shared" si="77"/>
        <v>74609.9</v>
      </c>
      <c r="H296" s="27">
        <f t="shared" si="77"/>
        <v>74609.9</v>
      </c>
      <c r="I296" s="27">
        <f t="shared" si="77"/>
        <v>74609.9</v>
      </c>
      <c r="J296" s="27">
        <f t="shared" si="77"/>
        <v>74609.9</v>
      </c>
      <c r="K296" s="27">
        <f t="shared" si="77"/>
        <v>74609.9</v>
      </c>
      <c r="L296" s="27">
        <f t="shared" si="77"/>
        <v>74609.9</v>
      </c>
      <c r="M296" s="27">
        <f t="shared" si="77"/>
        <v>74609.9</v>
      </c>
      <c r="N296" s="27">
        <f t="shared" si="77"/>
        <v>74609.9</v>
      </c>
      <c r="O296" s="33">
        <f t="shared" si="77"/>
        <v>74609.9</v>
      </c>
      <c r="P296" s="37">
        <f t="shared" si="77"/>
        <v>895887.5200000001</v>
      </c>
    </row>
    <row r="297" ht="12.75">
      <c r="C297" s="15"/>
    </row>
    <row r="298" spans="1:3" ht="21">
      <c r="A298" s="16"/>
      <c r="B298" s="18" t="s">
        <v>108</v>
      </c>
      <c r="C298" s="19" t="s">
        <v>101</v>
      </c>
    </row>
    <row r="299" ht="12.75">
      <c r="C299" s="4" t="str">
        <f>C293</f>
        <v>Debt Reserve</v>
      </c>
    </row>
    <row r="300" ht="12.75">
      <c r="C300" s="4" t="str">
        <f>C294</f>
        <v>Treasury Fee</v>
      </c>
    </row>
    <row r="301" ht="13.5" thickBot="1">
      <c r="C301" s="4" t="str">
        <f>C295</f>
        <v>Intercept</v>
      </c>
    </row>
    <row r="302" ht="13.5" thickBot="1">
      <c r="C302" s="14" t="s">
        <v>102</v>
      </c>
    </row>
    <row r="303" ht="12.75">
      <c r="C303" s="15"/>
    </row>
    <row r="304" spans="1:3" ht="21">
      <c r="A304" s="16">
        <f>+A292+1</f>
        <v>39</v>
      </c>
      <c r="B304" s="17"/>
      <c r="C304" s="5" t="s">
        <v>103</v>
      </c>
    </row>
    <row r="305" spans="3:16" ht="12.75">
      <c r="C305" s="4" t="str">
        <f>C299</f>
        <v>Debt Reserve</v>
      </c>
      <c r="D305" s="26">
        <v>841.67</v>
      </c>
      <c r="E305" s="26">
        <v>841.67</v>
      </c>
      <c r="F305" s="26">
        <v>841.67</v>
      </c>
      <c r="G305" s="26">
        <v>841.67</v>
      </c>
      <c r="H305" s="26">
        <v>841.67</v>
      </c>
      <c r="I305" s="26">
        <v>841.67</v>
      </c>
      <c r="J305" s="26">
        <v>826.25</v>
      </c>
      <c r="K305" s="26">
        <v>826.25</v>
      </c>
      <c r="L305" s="26">
        <v>826.25</v>
      </c>
      <c r="M305" s="26">
        <v>826.25</v>
      </c>
      <c r="N305" s="26">
        <v>826.25</v>
      </c>
      <c r="O305" s="32">
        <v>826.25</v>
      </c>
      <c r="P305" s="26">
        <f>SUM(D305:O305)</f>
        <v>10007.52</v>
      </c>
    </row>
    <row r="306" spans="3:16" ht="12.75">
      <c r="C306" s="4" t="str">
        <f>C300</f>
        <v>Treasury Fee</v>
      </c>
      <c r="D306" s="38">
        <v>250</v>
      </c>
      <c r="P306" s="26">
        <f>SUM(D306:O306)</f>
        <v>250</v>
      </c>
    </row>
    <row r="307" spans="3:16" ht="13.5" thickBot="1">
      <c r="C307" s="4" t="str">
        <f>C301</f>
        <v>Intercept</v>
      </c>
      <c r="D307" s="26">
        <f aca="true" t="shared" si="78" ref="D307:N307">15833.33+42664.06</f>
        <v>58497.39</v>
      </c>
      <c r="E307" s="26">
        <f t="shared" si="78"/>
        <v>58497.39</v>
      </c>
      <c r="F307" s="26">
        <f t="shared" si="78"/>
        <v>58497.39</v>
      </c>
      <c r="G307" s="26">
        <f t="shared" si="78"/>
        <v>58497.39</v>
      </c>
      <c r="H307" s="26">
        <f t="shared" si="78"/>
        <v>58497.39</v>
      </c>
      <c r="I307" s="26">
        <f t="shared" si="78"/>
        <v>58497.39</v>
      </c>
      <c r="J307" s="26">
        <f t="shared" si="78"/>
        <v>58497.39</v>
      </c>
      <c r="K307" s="26">
        <f t="shared" si="78"/>
        <v>58497.39</v>
      </c>
      <c r="L307" s="26">
        <f t="shared" si="78"/>
        <v>58497.39</v>
      </c>
      <c r="M307" s="26">
        <f t="shared" si="78"/>
        <v>58497.39</v>
      </c>
      <c r="N307" s="26">
        <f t="shared" si="78"/>
        <v>58497.39</v>
      </c>
      <c r="O307" s="32">
        <f>16666.67+42030.73</f>
        <v>58697.4</v>
      </c>
      <c r="P307" s="26">
        <f>SUM(D307:O307)</f>
        <v>702168.6900000001</v>
      </c>
    </row>
    <row r="308" spans="3:16" ht="13.5" thickBot="1">
      <c r="C308" s="6" t="s">
        <v>104</v>
      </c>
      <c r="D308" s="27">
        <f aca="true" t="shared" si="79" ref="D308:P308">SUM(D305:D307)</f>
        <v>59589.06</v>
      </c>
      <c r="E308" s="27">
        <f t="shared" si="79"/>
        <v>59339.06</v>
      </c>
      <c r="F308" s="27">
        <f t="shared" si="79"/>
        <v>59339.06</v>
      </c>
      <c r="G308" s="27">
        <f t="shared" si="79"/>
        <v>59339.06</v>
      </c>
      <c r="H308" s="27">
        <f t="shared" si="79"/>
        <v>59339.06</v>
      </c>
      <c r="I308" s="27">
        <f t="shared" si="79"/>
        <v>59339.06</v>
      </c>
      <c r="J308" s="27">
        <f t="shared" si="79"/>
        <v>59323.64</v>
      </c>
      <c r="K308" s="27">
        <f t="shared" si="79"/>
        <v>59323.64</v>
      </c>
      <c r="L308" s="27">
        <f t="shared" si="79"/>
        <v>59323.64</v>
      </c>
      <c r="M308" s="27">
        <f t="shared" si="79"/>
        <v>59323.64</v>
      </c>
      <c r="N308" s="27">
        <f t="shared" si="79"/>
        <v>59323.64</v>
      </c>
      <c r="O308" s="33">
        <f t="shared" si="79"/>
        <v>59523.65</v>
      </c>
      <c r="P308" s="37">
        <f t="shared" si="79"/>
        <v>712426.2100000001</v>
      </c>
    </row>
    <row r="309" ht="12.75">
      <c r="C309" s="15"/>
    </row>
    <row r="310" spans="1:3" ht="21">
      <c r="A310" s="16">
        <f>+A304+1</f>
        <v>40</v>
      </c>
      <c r="B310" s="44" t="s">
        <v>107</v>
      </c>
      <c r="C310" s="43" t="s">
        <v>105</v>
      </c>
    </row>
    <row r="311" spans="3:16" ht="12.75">
      <c r="C311" s="4" t="str">
        <f>C305</f>
        <v>Debt Reserve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32">
        <v>0</v>
      </c>
      <c r="P311" s="26">
        <f>SUM(D311:O311)</f>
        <v>0</v>
      </c>
    </row>
    <row r="312" spans="3:16" ht="12.75">
      <c r="C312" s="4" t="str">
        <f>C306</f>
        <v>Treasury Fee</v>
      </c>
      <c r="D312" s="38">
        <v>250</v>
      </c>
      <c r="P312" s="26">
        <f>SUM(D312:O312)</f>
        <v>250</v>
      </c>
    </row>
    <row r="313" spans="3:16" ht="13.5" thickBot="1">
      <c r="C313" s="4" t="str">
        <f>C307</f>
        <v>Intercept</v>
      </c>
      <c r="D313" s="26">
        <f>11666.67+44163.54</f>
        <v>55830.21</v>
      </c>
      <c r="E313" s="26">
        <f aca="true" t="shared" si="80" ref="E313:O313">11666.67+44163.54</f>
        <v>55830.21</v>
      </c>
      <c r="F313" s="26">
        <f t="shared" si="80"/>
        <v>55830.21</v>
      </c>
      <c r="G313" s="26">
        <f t="shared" si="80"/>
        <v>55830.21</v>
      </c>
      <c r="H313" s="26">
        <f t="shared" si="80"/>
        <v>55830.21</v>
      </c>
      <c r="I313" s="26">
        <f t="shared" si="80"/>
        <v>55830.21</v>
      </c>
      <c r="J313" s="26">
        <f t="shared" si="80"/>
        <v>55830.21</v>
      </c>
      <c r="K313" s="26">
        <f t="shared" si="80"/>
        <v>55830.21</v>
      </c>
      <c r="L313" s="26">
        <f t="shared" si="80"/>
        <v>55830.21</v>
      </c>
      <c r="M313" s="26">
        <f t="shared" si="80"/>
        <v>55830.21</v>
      </c>
      <c r="N313" s="26">
        <f t="shared" si="80"/>
        <v>55830.21</v>
      </c>
      <c r="O313" s="32">
        <f t="shared" si="80"/>
        <v>55830.21</v>
      </c>
      <c r="P313" s="26">
        <f>SUM(D313:O313)</f>
        <v>669962.52</v>
      </c>
    </row>
    <row r="314" spans="3:16" ht="13.5" thickBot="1">
      <c r="C314" s="6" t="s">
        <v>106</v>
      </c>
      <c r="D314" s="27">
        <f aca="true" t="shared" si="81" ref="D314:P314">SUM(D311:D313)</f>
        <v>56080.21</v>
      </c>
      <c r="E314" s="27">
        <f t="shared" si="81"/>
        <v>55830.21</v>
      </c>
      <c r="F314" s="27">
        <f t="shared" si="81"/>
        <v>55830.21</v>
      </c>
      <c r="G314" s="27">
        <f t="shared" si="81"/>
        <v>55830.21</v>
      </c>
      <c r="H314" s="27">
        <f t="shared" si="81"/>
        <v>55830.21</v>
      </c>
      <c r="I314" s="27">
        <f t="shared" si="81"/>
        <v>55830.21</v>
      </c>
      <c r="J314" s="27">
        <f t="shared" si="81"/>
        <v>55830.21</v>
      </c>
      <c r="K314" s="27">
        <f t="shared" si="81"/>
        <v>55830.21</v>
      </c>
      <c r="L314" s="27">
        <f t="shared" si="81"/>
        <v>55830.21</v>
      </c>
      <c r="M314" s="27">
        <f t="shared" si="81"/>
        <v>55830.21</v>
      </c>
      <c r="N314" s="27">
        <f t="shared" si="81"/>
        <v>55830.21</v>
      </c>
      <c r="O314" s="33">
        <f t="shared" si="81"/>
        <v>55830.21</v>
      </c>
      <c r="P314" s="37">
        <f t="shared" si="81"/>
        <v>670212.52</v>
      </c>
    </row>
    <row r="315" ht="12.75">
      <c r="C315" s="15"/>
    </row>
    <row r="316" spans="1:3" ht="21">
      <c r="A316" s="16">
        <f>+A310+1</f>
        <v>41</v>
      </c>
      <c r="B316" s="17"/>
      <c r="C316" s="5" t="s">
        <v>113</v>
      </c>
    </row>
    <row r="317" spans="3:16" ht="12.75">
      <c r="C317" s="4" t="str">
        <f>C311</f>
        <v>Debt Reserve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32">
        <v>0</v>
      </c>
      <c r="P317" s="26">
        <f>SUM(D317:O317)</f>
        <v>0</v>
      </c>
    </row>
    <row r="318" spans="3:16" ht="12.75">
      <c r="C318" s="4" t="str">
        <f>C312</f>
        <v>Treasury Fee</v>
      </c>
      <c r="D318" s="38">
        <v>250</v>
      </c>
      <c r="P318" s="26">
        <f>SUM(D318:O318)</f>
        <v>250</v>
      </c>
    </row>
    <row r="319" spans="3:16" ht="13.5" thickBot="1">
      <c r="C319" s="4" t="str">
        <f>C313</f>
        <v>Intercept</v>
      </c>
      <c r="D319" s="26">
        <f aca="true" t="shared" si="82" ref="D319:L319">5000+26655.21</f>
        <v>31655.21</v>
      </c>
      <c r="E319" s="26">
        <f t="shared" si="82"/>
        <v>31655.21</v>
      </c>
      <c r="F319" s="26">
        <f t="shared" si="82"/>
        <v>31655.21</v>
      </c>
      <c r="G319" s="26">
        <f t="shared" si="82"/>
        <v>31655.21</v>
      </c>
      <c r="H319" s="26">
        <f t="shared" si="82"/>
        <v>31655.21</v>
      </c>
      <c r="I319" s="26">
        <f t="shared" si="82"/>
        <v>31655.21</v>
      </c>
      <c r="J319" s="26">
        <f t="shared" si="82"/>
        <v>31655.21</v>
      </c>
      <c r="K319" s="26">
        <f t="shared" si="82"/>
        <v>31655.21</v>
      </c>
      <c r="L319" s="26">
        <f t="shared" si="82"/>
        <v>31655.21</v>
      </c>
      <c r="M319" s="26">
        <f>5416.67+26296.88</f>
        <v>31713.550000000003</v>
      </c>
      <c r="N319" s="26">
        <f>5416.67+26296.88</f>
        <v>31713.550000000003</v>
      </c>
      <c r="O319" s="32">
        <f>5416.67+26296.88</f>
        <v>31713.550000000003</v>
      </c>
      <c r="P319" s="26">
        <f>SUM(D319:O319)</f>
        <v>380037.5399999999</v>
      </c>
    </row>
    <row r="320" spans="3:16" ht="13.5" thickBot="1">
      <c r="C320" s="6" t="s">
        <v>114</v>
      </c>
      <c r="D320" s="27">
        <f aca="true" t="shared" si="83" ref="D320:P320">SUM(D317:D319)</f>
        <v>31905.21</v>
      </c>
      <c r="E320" s="27">
        <f t="shared" si="83"/>
        <v>31655.21</v>
      </c>
      <c r="F320" s="27">
        <f t="shared" si="83"/>
        <v>31655.21</v>
      </c>
      <c r="G320" s="27">
        <f t="shared" si="83"/>
        <v>31655.21</v>
      </c>
      <c r="H320" s="27">
        <f t="shared" si="83"/>
        <v>31655.21</v>
      </c>
      <c r="I320" s="27">
        <f t="shared" si="83"/>
        <v>31655.21</v>
      </c>
      <c r="J320" s="27">
        <f t="shared" si="83"/>
        <v>31655.21</v>
      </c>
      <c r="K320" s="27">
        <f t="shared" si="83"/>
        <v>31655.21</v>
      </c>
      <c r="L320" s="27">
        <f t="shared" si="83"/>
        <v>31655.21</v>
      </c>
      <c r="M320" s="27">
        <f t="shared" si="83"/>
        <v>31713.550000000003</v>
      </c>
      <c r="N320" s="27">
        <f t="shared" si="83"/>
        <v>31713.550000000003</v>
      </c>
      <c r="O320" s="33">
        <f t="shared" si="83"/>
        <v>31713.550000000003</v>
      </c>
      <c r="P320" s="37">
        <f t="shared" si="83"/>
        <v>380287.5399999999</v>
      </c>
    </row>
    <row r="321" ht="12.75">
      <c r="C321" s="12"/>
    </row>
    <row r="322" spans="1:3" ht="21">
      <c r="A322" s="16"/>
      <c r="B322" s="9" t="s">
        <v>109</v>
      </c>
      <c r="C322" s="10" t="s">
        <v>115</v>
      </c>
    </row>
    <row r="323" ht="12.75">
      <c r="C323" s="4" t="str">
        <f>C317</f>
        <v>Debt Reserve</v>
      </c>
    </row>
    <row r="324" ht="12.75">
      <c r="C324" s="4" t="str">
        <f>C318</f>
        <v>Treasury Fee</v>
      </c>
    </row>
    <row r="325" ht="13.5" thickBot="1">
      <c r="C325" s="4" t="str">
        <f>C319</f>
        <v>Intercept</v>
      </c>
    </row>
    <row r="326" ht="13.5" thickBot="1">
      <c r="C326" s="6" t="s">
        <v>116</v>
      </c>
    </row>
    <row r="327" ht="12.75">
      <c r="C327" s="12"/>
    </row>
    <row r="328" spans="1:3" ht="21">
      <c r="A328" s="16">
        <f>+A316+1</f>
        <v>42</v>
      </c>
      <c r="B328" s="17"/>
      <c r="C328" s="5" t="s">
        <v>117</v>
      </c>
    </row>
    <row r="329" spans="3:16" ht="12.75">
      <c r="C329" s="4" t="str">
        <f>C323</f>
        <v>Debt Reserve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32">
        <v>0</v>
      </c>
      <c r="P329" s="26">
        <f>SUM(D329:O329)</f>
        <v>0</v>
      </c>
    </row>
    <row r="330" spans="3:16" ht="12.75">
      <c r="C330" s="4" t="str">
        <f>C324</f>
        <v>Treasury Fee</v>
      </c>
      <c r="D330" s="38">
        <v>250</v>
      </c>
      <c r="P330" s="26">
        <f>SUM(D330:O330)</f>
        <v>250</v>
      </c>
    </row>
    <row r="331" spans="3:16" ht="13.5" thickBot="1">
      <c r="C331" s="4" t="str">
        <f>C325</f>
        <v>Intercept</v>
      </c>
      <c r="D331" s="26">
        <f aca="true" t="shared" si="84" ref="D331:M331">7500+34560.42</f>
        <v>42060.42</v>
      </c>
      <c r="E331" s="26">
        <f t="shared" si="84"/>
        <v>42060.42</v>
      </c>
      <c r="F331" s="26">
        <f t="shared" si="84"/>
        <v>42060.42</v>
      </c>
      <c r="G331" s="26">
        <f t="shared" si="84"/>
        <v>42060.42</v>
      </c>
      <c r="H331" s="26">
        <f t="shared" si="84"/>
        <v>42060.42</v>
      </c>
      <c r="I331" s="26">
        <f t="shared" si="84"/>
        <v>42060.42</v>
      </c>
      <c r="J331" s="26">
        <f t="shared" si="84"/>
        <v>42060.42</v>
      </c>
      <c r="K331" s="26">
        <f t="shared" si="84"/>
        <v>42060.42</v>
      </c>
      <c r="L331" s="26">
        <f t="shared" si="84"/>
        <v>42060.42</v>
      </c>
      <c r="M331" s="26">
        <f t="shared" si="84"/>
        <v>42060.42</v>
      </c>
      <c r="N331" s="26">
        <f>7916.68+34063.54</f>
        <v>41980.22</v>
      </c>
      <c r="O331" s="32">
        <f>7916.68+34063.54</f>
        <v>41980.22</v>
      </c>
      <c r="P331" s="26">
        <f>SUM(D331:O331)</f>
        <v>504564.6399999999</v>
      </c>
    </row>
    <row r="332" spans="3:16" ht="13.5" thickBot="1">
      <c r="C332" s="6" t="s">
        <v>118</v>
      </c>
      <c r="D332" s="27">
        <f aca="true" t="shared" si="85" ref="D332:P332">SUM(D329:D331)</f>
        <v>42310.42</v>
      </c>
      <c r="E332" s="27">
        <f t="shared" si="85"/>
        <v>42060.42</v>
      </c>
      <c r="F332" s="27">
        <f t="shared" si="85"/>
        <v>42060.42</v>
      </c>
      <c r="G332" s="27">
        <f t="shared" si="85"/>
        <v>42060.42</v>
      </c>
      <c r="H332" s="27">
        <f t="shared" si="85"/>
        <v>42060.42</v>
      </c>
      <c r="I332" s="27">
        <f t="shared" si="85"/>
        <v>42060.42</v>
      </c>
      <c r="J332" s="27">
        <f t="shared" si="85"/>
        <v>42060.42</v>
      </c>
      <c r="K332" s="27">
        <f t="shared" si="85"/>
        <v>42060.42</v>
      </c>
      <c r="L332" s="27">
        <f t="shared" si="85"/>
        <v>42060.42</v>
      </c>
      <c r="M332" s="27">
        <f t="shared" si="85"/>
        <v>42060.42</v>
      </c>
      <c r="N332" s="27">
        <f t="shared" si="85"/>
        <v>41980.22</v>
      </c>
      <c r="O332" s="33">
        <f t="shared" si="85"/>
        <v>41980.22</v>
      </c>
      <c r="P332" s="37">
        <f t="shared" si="85"/>
        <v>504814.6399999999</v>
      </c>
    </row>
    <row r="333" ht="12.75">
      <c r="C333" s="12"/>
    </row>
    <row r="334" spans="1:3" ht="21">
      <c r="A334" s="16">
        <f>+A328+1</f>
        <v>43</v>
      </c>
      <c r="B334" s="17"/>
      <c r="C334" s="5" t="s">
        <v>119</v>
      </c>
    </row>
    <row r="335" spans="3:16" ht="12.75">
      <c r="C335" s="4" t="str">
        <f>C329</f>
        <v>Debt Reserve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32">
        <v>0</v>
      </c>
      <c r="P335" s="26">
        <f>SUM(D335:O335)</f>
        <v>0</v>
      </c>
    </row>
    <row r="336" spans="3:16" ht="12.75">
      <c r="C336" s="4" t="str">
        <f>C330</f>
        <v>Treasury Fee</v>
      </c>
      <c r="D336" s="38">
        <v>250</v>
      </c>
      <c r="P336" s="26">
        <f>SUM(D336:O336)</f>
        <v>250</v>
      </c>
    </row>
    <row r="337" spans="3:16" ht="13.5" thickBot="1">
      <c r="C337" s="4" t="str">
        <f>C331</f>
        <v>Intercept</v>
      </c>
      <c r="D337" s="38">
        <f>15416.67+77603.13</f>
        <v>93019.8</v>
      </c>
      <c r="E337" s="38">
        <f>16666.67+76562.5</f>
        <v>93229.17</v>
      </c>
      <c r="F337" s="38">
        <f aca="true" t="shared" si="86" ref="F337:O337">16666.67+76562.5</f>
        <v>93229.17</v>
      </c>
      <c r="G337" s="38">
        <f t="shared" si="86"/>
        <v>93229.17</v>
      </c>
      <c r="H337" s="38">
        <f t="shared" si="86"/>
        <v>93229.17</v>
      </c>
      <c r="I337" s="38">
        <f t="shared" si="86"/>
        <v>93229.17</v>
      </c>
      <c r="J337" s="38">
        <f t="shared" si="86"/>
        <v>93229.17</v>
      </c>
      <c r="K337" s="38">
        <f t="shared" si="86"/>
        <v>93229.17</v>
      </c>
      <c r="L337" s="38">
        <f t="shared" si="86"/>
        <v>93229.17</v>
      </c>
      <c r="M337" s="38">
        <f t="shared" si="86"/>
        <v>93229.17</v>
      </c>
      <c r="N337" s="38">
        <f t="shared" si="86"/>
        <v>93229.17</v>
      </c>
      <c r="O337" s="50">
        <f t="shared" si="86"/>
        <v>93229.17</v>
      </c>
      <c r="P337" s="26">
        <f>SUM(D337:O337)</f>
        <v>1118540.6700000002</v>
      </c>
    </row>
    <row r="338" spans="3:16" ht="13.5" thickBot="1">
      <c r="C338" s="6" t="s">
        <v>120</v>
      </c>
      <c r="D338" s="27">
        <f aca="true" t="shared" si="87" ref="D338:P338">SUM(D335:D337)</f>
        <v>93269.8</v>
      </c>
      <c r="E338" s="27">
        <f t="shared" si="87"/>
        <v>93229.17</v>
      </c>
      <c r="F338" s="27">
        <f t="shared" si="87"/>
        <v>93229.17</v>
      </c>
      <c r="G338" s="27">
        <f t="shared" si="87"/>
        <v>93229.17</v>
      </c>
      <c r="H338" s="27">
        <f t="shared" si="87"/>
        <v>93229.17</v>
      </c>
      <c r="I338" s="27">
        <f t="shared" si="87"/>
        <v>93229.17</v>
      </c>
      <c r="J338" s="27">
        <f t="shared" si="87"/>
        <v>93229.17</v>
      </c>
      <c r="K338" s="27">
        <f t="shared" si="87"/>
        <v>93229.17</v>
      </c>
      <c r="L338" s="27">
        <f t="shared" si="87"/>
        <v>93229.17</v>
      </c>
      <c r="M338" s="27">
        <f t="shared" si="87"/>
        <v>93229.17</v>
      </c>
      <c r="N338" s="27">
        <f t="shared" si="87"/>
        <v>93229.17</v>
      </c>
      <c r="O338" s="33">
        <f t="shared" si="87"/>
        <v>93229.17</v>
      </c>
      <c r="P338" s="37">
        <f t="shared" si="87"/>
        <v>1118790.6700000002</v>
      </c>
    </row>
    <row r="339" ht="12.75">
      <c r="C339" s="12"/>
    </row>
    <row r="340" spans="1:3" ht="21">
      <c r="A340" s="16">
        <f>+A334+1</f>
        <v>44</v>
      </c>
      <c r="B340" s="17"/>
      <c r="C340" s="5" t="s">
        <v>121</v>
      </c>
    </row>
    <row r="341" spans="3:16" ht="12.75">
      <c r="C341" s="4" t="str">
        <f>C335</f>
        <v>Debt Reserve</v>
      </c>
      <c r="D341" s="26">
        <v>512.08</v>
      </c>
      <c r="E341" s="26">
        <v>512.08</v>
      </c>
      <c r="F341" s="26">
        <v>512.08</v>
      </c>
      <c r="G341" s="26">
        <v>512.08</v>
      </c>
      <c r="H341" s="26">
        <v>512.08</v>
      </c>
      <c r="I341" s="26">
        <v>512.08</v>
      </c>
      <c r="J341" s="26">
        <v>512.08</v>
      </c>
      <c r="K341" s="26">
        <v>512.08</v>
      </c>
      <c r="L341" s="26">
        <v>512.08</v>
      </c>
      <c r="M341" s="26">
        <v>512.08</v>
      </c>
      <c r="N341" s="26">
        <v>512.08</v>
      </c>
      <c r="O341" s="32">
        <v>512.08</v>
      </c>
      <c r="P341" s="26">
        <f>SUM(D341:O341)</f>
        <v>6144.96</v>
      </c>
    </row>
    <row r="342" spans="3:16" ht="12.75">
      <c r="C342" s="4" t="str">
        <f>C336</f>
        <v>Treasury Fee</v>
      </c>
      <c r="D342" s="38">
        <v>250</v>
      </c>
      <c r="P342" s="26">
        <f>SUM(D342:O342)</f>
        <v>250</v>
      </c>
    </row>
    <row r="343" spans="3:16" ht="13.5" thickBot="1">
      <c r="C343" s="4" t="str">
        <f>C337</f>
        <v>Intercept</v>
      </c>
      <c r="D343" s="26">
        <v>28804.69</v>
      </c>
      <c r="E343" s="26">
        <v>28804.69</v>
      </c>
      <c r="F343" s="26">
        <v>28804.69</v>
      </c>
      <c r="G343" s="26">
        <v>28804.69</v>
      </c>
      <c r="H343" s="26">
        <v>28804.69</v>
      </c>
      <c r="I343" s="26">
        <v>28804.69</v>
      </c>
      <c r="J343" s="26">
        <v>28804.69</v>
      </c>
      <c r="K343" s="26">
        <v>28804.69</v>
      </c>
      <c r="L343" s="26">
        <v>28804.69</v>
      </c>
      <c r="M343" s="26">
        <v>28804.69</v>
      </c>
      <c r="N343" s="26">
        <v>28804.69</v>
      </c>
      <c r="O343" s="32">
        <v>28804.69</v>
      </c>
      <c r="P343" s="26">
        <f>SUM(D343:O343)</f>
        <v>345656.27999999997</v>
      </c>
    </row>
    <row r="344" spans="3:16" ht="13.5" thickBot="1">
      <c r="C344" s="6" t="s">
        <v>26</v>
      </c>
      <c r="D344" s="27">
        <f aca="true" t="shared" si="88" ref="D344:P344">SUM(D341:D343)</f>
        <v>29566.77</v>
      </c>
      <c r="E344" s="27">
        <f t="shared" si="88"/>
        <v>29316.77</v>
      </c>
      <c r="F344" s="27">
        <f t="shared" si="88"/>
        <v>29316.77</v>
      </c>
      <c r="G344" s="27">
        <f t="shared" si="88"/>
        <v>29316.77</v>
      </c>
      <c r="H344" s="27">
        <f t="shared" si="88"/>
        <v>29316.77</v>
      </c>
      <c r="I344" s="27">
        <f t="shared" si="88"/>
        <v>29316.77</v>
      </c>
      <c r="J344" s="27">
        <f t="shared" si="88"/>
        <v>29316.77</v>
      </c>
      <c r="K344" s="27">
        <f t="shared" si="88"/>
        <v>29316.77</v>
      </c>
      <c r="L344" s="27">
        <f t="shared" si="88"/>
        <v>29316.77</v>
      </c>
      <c r="M344" s="27">
        <f t="shared" si="88"/>
        <v>29316.77</v>
      </c>
      <c r="N344" s="27">
        <f t="shared" si="88"/>
        <v>29316.77</v>
      </c>
      <c r="O344" s="33">
        <f t="shared" si="88"/>
        <v>29316.77</v>
      </c>
      <c r="P344" s="37">
        <f t="shared" si="88"/>
        <v>352051.24</v>
      </c>
    </row>
    <row r="345" ht="12.75">
      <c r="C345" s="12"/>
    </row>
    <row r="346" spans="1:3" ht="21">
      <c r="A346" s="16">
        <f>+A340+1</f>
        <v>45</v>
      </c>
      <c r="B346" s="17"/>
      <c r="C346" s="5" t="s">
        <v>122</v>
      </c>
    </row>
    <row r="347" spans="3:16" ht="12.75">
      <c r="C347" s="4" t="str">
        <f>C341</f>
        <v>Debt Reserve</v>
      </c>
      <c r="D347" s="26">
        <v>1392.5</v>
      </c>
      <c r="E347" s="26">
        <v>1392.5</v>
      </c>
      <c r="F347" s="26">
        <v>1392.5</v>
      </c>
      <c r="G347" s="26">
        <v>1392.5</v>
      </c>
      <c r="H347" s="26">
        <v>1392.5</v>
      </c>
      <c r="I347" s="26">
        <v>1377.92</v>
      </c>
      <c r="J347" s="26">
        <v>1377.92</v>
      </c>
      <c r="K347" s="26">
        <v>1377.92</v>
      </c>
      <c r="L347" s="26">
        <v>1377.92</v>
      </c>
      <c r="M347" s="26">
        <v>1377.92</v>
      </c>
      <c r="N347" s="26">
        <v>1377.92</v>
      </c>
      <c r="O347" s="32">
        <v>1377.92</v>
      </c>
      <c r="P347" s="26">
        <f>SUM(D347:O347)</f>
        <v>16607.940000000002</v>
      </c>
    </row>
    <row r="348" spans="3:16" ht="12.75">
      <c r="C348" s="4" t="str">
        <f>C342</f>
        <v>Treasury Fee</v>
      </c>
      <c r="D348" s="38">
        <v>250</v>
      </c>
      <c r="P348" s="26">
        <f>SUM(D348:O348)</f>
        <v>250</v>
      </c>
    </row>
    <row r="349" spans="3:16" ht="13.5" thickBot="1">
      <c r="C349" s="4" t="str">
        <f>C343</f>
        <v>Intercept</v>
      </c>
      <c r="D349" s="26">
        <f>14583.33+104089.58</f>
        <v>118672.91</v>
      </c>
      <c r="E349" s="26">
        <f>14583.33+104089.58</f>
        <v>118672.91</v>
      </c>
      <c r="F349" s="26">
        <f>14583.33+104089.58</f>
        <v>118672.91</v>
      </c>
      <c r="G349" s="26">
        <f>14583.33+104089.58</f>
        <v>118672.91</v>
      </c>
      <c r="H349" s="26">
        <f>14583.33+104089.58</f>
        <v>118672.91</v>
      </c>
      <c r="I349" s="26">
        <f>15416.67+103178.13</f>
        <v>118594.8</v>
      </c>
      <c r="J349" s="26">
        <f aca="true" t="shared" si="89" ref="J349:O349">15416.67+103178.13</f>
        <v>118594.8</v>
      </c>
      <c r="K349" s="26">
        <f t="shared" si="89"/>
        <v>118594.8</v>
      </c>
      <c r="L349" s="26">
        <f t="shared" si="89"/>
        <v>118594.8</v>
      </c>
      <c r="M349" s="26">
        <f t="shared" si="89"/>
        <v>118594.8</v>
      </c>
      <c r="N349" s="26">
        <f t="shared" si="89"/>
        <v>118594.8</v>
      </c>
      <c r="O349" s="32">
        <f t="shared" si="89"/>
        <v>118594.8</v>
      </c>
      <c r="P349" s="26">
        <f>SUM(D349:O349)</f>
        <v>1423528.1500000004</v>
      </c>
    </row>
    <row r="350" spans="3:16" ht="13.5" thickBot="1">
      <c r="C350" s="6" t="s">
        <v>123</v>
      </c>
      <c r="D350" s="27">
        <f aca="true" t="shared" si="90" ref="D350:P350">SUM(D347:D349)</f>
        <v>120315.41</v>
      </c>
      <c r="E350" s="27">
        <f t="shared" si="90"/>
        <v>120065.41</v>
      </c>
      <c r="F350" s="27">
        <f t="shared" si="90"/>
        <v>120065.41</v>
      </c>
      <c r="G350" s="27">
        <f t="shared" si="90"/>
        <v>120065.41</v>
      </c>
      <c r="H350" s="27">
        <f t="shared" si="90"/>
        <v>120065.41</v>
      </c>
      <c r="I350" s="27">
        <f t="shared" si="90"/>
        <v>119972.72</v>
      </c>
      <c r="J350" s="27">
        <f t="shared" si="90"/>
        <v>119972.72</v>
      </c>
      <c r="K350" s="27">
        <f t="shared" si="90"/>
        <v>119972.72</v>
      </c>
      <c r="L350" s="27">
        <f t="shared" si="90"/>
        <v>119972.72</v>
      </c>
      <c r="M350" s="27">
        <f t="shared" si="90"/>
        <v>119972.72</v>
      </c>
      <c r="N350" s="27">
        <f t="shared" si="90"/>
        <v>119972.72</v>
      </c>
      <c r="O350" s="33">
        <f t="shared" si="90"/>
        <v>119972.72</v>
      </c>
      <c r="P350" s="37">
        <f t="shared" si="90"/>
        <v>1440386.0900000003</v>
      </c>
    </row>
    <row r="351" ht="12.75">
      <c r="C351" s="12"/>
    </row>
    <row r="352" spans="1:3" ht="21">
      <c r="A352" s="16">
        <f>+A346+1</f>
        <v>46</v>
      </c>
      <c r="B352" s="17"/>
      <c r="C352" s="5" t="s">
        <v>124</v>
      </c>
    </row>
    <row r="353" spans="3:16" ht="12.75">
      <c r="C353" s="4" t="str">
        <f>C347</f>
        <v>Debt Reserve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32">
        <v>0</v>
      </c>
      <c r="P353" s="26">
        <f>SUM(D353:O353)</f>
        <v>0</v>
      </c>
    </row>
    <row r="354" spans="3:16" ht="12.75">
      <c r="C354" s="4" t="str">
        <f>C348</f>
        <v>Treasury Fee</v>
      </c>
      <c r="D354" s="38">
        <v>250</v>
      </c>
      <c r="P354" s="26">
        <f>SUM(D354:O354)</f>
        <v>250</v>
      </c>
    </row>
    <row r="355" spans="3:16" ht="13.5" thickBot="1">
      <c r="C355" s="4" t="str">
        <f>C349</f>
        <v>Intercept</v>
      </c>
      <c r="D355" s="26">
        <f>8750+74250</f>
        <v>83000</v>
      </c>
      <c r="E355" s="26">
        <f>8750+74250</f>
        <v>83000</v>
      </c>
      <c r="F355" s="26">
        <f>8750+74250</f>
        <v>83000</v>
      </c>
      <c r="G355" s="26">
        <f>8750+74250</f>
        <v>83000</v>
      </c>
      <c r="H355" s="26">
        <f>9583.33+73528.13</f>
        <v>83111.46</v>
      </c>
      <c r="I355" s="26">
        <f aca="true" t="shared" si="91" ref="I355:O355">9583.33+73528.13</f>
        <v>83111.46</v>
      </c>
      <c r="J355" s="26">
        <f t="shared" si="91"/>
        <v>83111.46</v>
      </c>
      <c r="K355" s="26">
        <f t="shared" si="91"/>
        <v>83111.46</v>
      </c>
      <c r="L355" s="26">
        <f t="shared" si="91"/>
        <v>83111.46</v>
      </c>
      <c r="M355" s="26">
        <f t="shared" si="91"/>
        <v>83111.46</v>
      </c>
      <c r="N355" s="26">
        <f t="shared" si="91"/>
        <v>83111.46</v>
      </c>
      <c r="O355" s="32">
        <f t="shared" si="91"/>
        <v>83111.46</v>
      </c>
      <c r="P355" s="26">
        <f>SUM(D355:O355)</f>
        <v>996891.6799999998</v>
      </c>
    </row>
    <row r="356" spans="3:16" ht="13.5" thickBot="1">
      <c r="C356" s="6" t="s">
        <v>125</v>
      </c>
      <c r="D356" s="27">
        <f aca="true" t="shared" si="92" ref="D356:P356">SUM(D353:D355)</f>
        <v>83250</v>
      </c>
      <c r="E356" s="27">
        <f t="shared" si="92"/>
        <v>83000</v>
      </c>
      <c r="F356" s="27">
        <f t="shared" si="92"/>
        <v>83000</v>
      </c>
      <c r="G356" s="27">
        <f t="shared" si="92"/>
        <v>83000</v>
      </c>
      <c r="H356" s="27">
        <f t="shared" si="92"/>
        <v>83111.46</v>
      </c>
      <c r="I356" s="27">
        <f t="shared" si="92"/>
        <v>83111.46</v>
      </c>
      <c r="J356" s="27">
        <f t="shared" si="92"/>
        <v>83111.46</v>
      </c>
      <c r="K356" s="27">
        <f t="shared" si="92"/>
        <v>83111.46</v>
      </c>
      <c r="L356" s="27">
        <f t="shared" si="92"/>
        <v>83111.46</v>
      </c>
      <c r="M356" s="27">
        <f t="shared" si="92"/>
        <v>83111.46</v>
      </c>
      <c r="N356" s="27">
        <f t="shared" si="92"/>
        <v>83111.46</v>
      </c>
      <c r="O356" s="33">
        <f t="shared" si="92"/>
        <v>83111.46</v>
      </c>
      <c r="P356" s="37">
        <f t="shared" si="92"/>
        <v>997141.6799999998</v>
      </c>
    </row>
    <row r="357" ht="12.75">
      <c r="C357" s="12"/>
    </row>
    <row r="358" spans="1:3" ht="21">
      <c r="A358" s="16">
        <f>+A352+1</f>
        <v>47</v>
      </c>
      <c r="B358" s="17"/>
      <c r="C358" s="5" t="s">
        <v>126</v>
      </c>
    </row>
    <row r="359" spans="3:16" ht="12.75">
      <c r="C359" s="4" t="str">
        <f>C353</f>
        <v>Debt Reserve</v>
      </c>
      <c r="D359" s="26">
        <v>1171.67</v>
      </c>
      <c r="E359" s="26">
        <v>1171.67</v>
      </c>
      <c r="F359" s="26">
        <v>1171.67</v>
      </c>
      <c r="G359" s="26">
        <v>1171.67</v>
      </c>
      <c r="H359" s="26">
        <v>1156.25</v>
      </c>
      <c r="I359" s="26">
        <v>1156.25</v>
      </c>
      <c r="J359" s="26">
        <v>1156.25</v>
      </c>
      <c r="K359" s="26">
        <v>1156.25</v>
      </c>
      <c r="L359" s="26">
        <v>1156.25</v>
      </c>
      <c r="M359" s="26">
        <v>1156.25</v>
      </c>
      <c r="N359" s="26">
        <v>1156.25</v>
      </c>
      <c r="O359" s="32">
        <v>1156.25</v>
      </c>
      <c r="P359" s="26">
        <f>SUM(D359:O359)</f>
        <v>13936.68</v>
      </c>
    </row>
    <row r="360" spans="3:16" ht="12.75">
      <c r="C360" s="4" t="str">
        <f>C354</f>
        <v>Treasury Fee</v>
      </c>
      <c r="D360" s="38">
        <v>250</v>
      </c>
      <c r="P360" s="26">
        <f>SUM(D360:O360)</f>
        <v>250</v>
      </c>
    </row>
    <row r="361" spans="3:16" ht="13.5" thickBot="1">
      <c r="C361" s="4" t="str">
        <f>C355</f>
        <v>Intercept</v>
      </c>
      <c r="D361" s="26">
        <f>15416.67+79587.5</f>
        <v>95004.17</v>
      </c>
      <c r="E361" s="26">
        <f>15416.67+79587.5</f>
        <v>95004.17</v>
      </c>
      <c r="F361" s="26">
        <f>15416.67+79587.5</f>
        <v>95004.17</v>
      </c>
      <c r="G361" s="26">
        <f>15416.67+79587.5</f>
        <v>95004.17</v>
      </c>
      <c r="H361" s="26">
        <f>16666.67+78701.04</f>
        <v>95367.70999999999</v>
      </c>
      <c r="I361" s="26">
        <f aca="true" t="shared" si="93" ref="I361:O361">16666.67+78701.04</f>
        <v>95367.70999999999</v>
      </c>
      <c r="J361" s="26">
        <f t="shared" si="93"/>
        <v>95367.70999999999</v>
      </c>
      <c r="K361" s="26">
        <f t="shared" si="93"/>
        <v>95367.70999999999</v>
      </c>
      <c r="L361" s="26">
        <f t="shared" si="93"/>
        <v>95367.70999999999</v>
      </c>
      <c r="M361" s="26">
        <f t="shared" si="93"/>
        <v>95367.70999999999</v>
      </c>
      <c r="N361" s="26">
        <f t="shared" si="93"/>
        <v>95367.70999999999</v>
      </c>
      <c r="O361" s="32">
        <f t="shared" si="93"/>
        <v>95367.70999999999</v>
      </c>
      <c r="P361" s="26">
        <f>SUM(D361:O361)</f>
        <v>1142958.3599999999</v>
      </c>
    </row>
    <row r="362" spans="3:16" ht="13.5" thickBot="1">
      <c r="C362" s="6" t="s">
        <v>127</v>
      </c>
      <c r="D362" s="27">
        <f aca="true" t="shared" si="94" ref="D362:P362">SUM(D359:D361)</f>
        <v>96425.84</v>
      </c>
      <c r="E362" s="27">
        <f t="shared" si="94"/>
        <v>96175.84</v>
      </c>
      <c r="F362" s="27">
        <f t="shared" si="94"/>
        <v>96175.84</v>
      </c>
      <c r="G362" s="27">
        <f t="shared" si="94"/>
        <v>96175.84</v>
      </c>
      <c r="H362" s="27">
        <f t="shared" si="94"/>
        <v>96523.95999999999</v>
      </c>
      <c r="I362" s="27">
        <f t="shared" si="94"/>
        <v>96523.95999999999</v>
      </c>
      <c r="J362" s="27">
        <f t="shared" si="94"/>
        <v>96523.95999999999</v>
      </c>
      <c r="K362" s="27">
        <f t="shared" si="94"/>
        <v>96523.95999999999</v>
      </c>
      <c r="L362" s="27">
        <f t="shared" si="94"/>
        <v>96523.95999999999</v>
      </c>
      <c r="M362" s="27">
        <f t="shared" si="94"/>
        <v>96523.95999999999</v>
      </c>
      <c r="N362" s="27">
        <f t="shared" si="94"/>
        <v>96523.95999999999</v>
      </c>
      <c r="O362" s="33">
        <f t="shared" si="94"/>
        <v>96523.95999999999</v>
      </c>
      <c r="P362" s="37">
        <f t="shared" si="94"/>
        <v>1157145.0399999998</v>
      </c>
    </row>
    <row r="363" ht="12.75">
      <c r="C363" s="12"/>
    </row>
    <row r="364" spans="1:3" ht="21">
      <c r="A364" s="16">
        <f>+A358+1</f>
        <v>48</v>
      </c>
      <c r="B364" s="17"/>
      <c r="C364" s="5" t="s">
        <v>128</v>
      </c>
    </row>
    <row r="365" spans="1:16" ht="12.75">
      <c r="A365" s="20"/>
      <c r="B365" s="20"/>
      <c r="C365" s="4" t="str">
        <f>C359</f>
        <v>Debt Reserve</v>
      </c>
      <c r="D365" s="26">
        <v>1039.17</v>
      </c>
      <c r="E365" s="26">
        <v>1039.17</v>
      </c>
      <c r="F365" s="26">
        <v>1039.17</v>
      </c>
      <c r="G365" s="26">
        <v>1039.17</v>
      </c>
      <c r="H365" s="26">
        <v>1039.17</v>
      </c>
      <c r="I365" s="26">
        <v>1026.67</v>
      </c>
      <c r="J365" s="26">
        <v>1026.67</v>
      </c>
      <c r="K365" s="26">
        <v>1026.67</v>
      </c>
      <c r="L365" s="26">
        <v>1026.67</v>
      </c>
      <c r="M365" s="26">
        <v>1026.67</v>
      </c>
      <c r="N365" s="26">
        <v>1026.67</v>
      </c>
      <c r="O365" s="32">
        <v>1026.67</v>
      </c>
      <c r="P365" s="26">
        <f>SUM(D365:O365)</f>
        <v>12382.54</v>
      </c>
    </row>
    <row r="366" spans="3:16" ht="12.75">
      <c r="C366" s="4" t="str">
        <f>C360</f>
        <v>Treasury Fee</v>
      </c>
      <c r="D366" s="38">
        <v>250</v>
      </c>
      <c r="P366" s="26">
        <f>SUM(D366:O366)</f>
        <v>250</v>
      </c>
    </row>
    <row r="367" spans="3:16" ht="13.5" thickBot="1">
      <c r="C367" s="4" t="str">
        <f>C361</f>
        <v>Intercept</v>
      </c>
      <c r="D367" s="26">
        <f>13333.33+83310.63</f>
        <v>96643.96</v>
      </c>
      <c r="E367" s="26">
        <f>13333.33+83310.63</f>
        <v>96643.96</v>
      </c>
      <c r="F367" s="26">
        <f>13333.33+83310.63</f>
        <v>96643.96</v>
      </c>
      <c r="G367" s="26">
        <f>13333.33+83310.63</f>
        <v>96643.96</v>
      </c>
      <c r="H367" s="26">
        <f>13333.33+83310.63</f>
        <v>96643.96</v>
      </c>
      <c r="I367" s="26">
        <f>14583.33+82400.21</f>
        <v>96983.54000000001</v>
      </c>
      <c r="J367" s="26">
        <f aca="true" t="shared" si="95" ref="J367:O367">14583.33+82400.21</f>
        <v>96983.54000000001</v>
      </c>
      <c r="K367" s="26">
        <f t="shared" si="95"/>
        <v>96983.54000000001</v>
      </c>
      <c r="L367" s="26">
        <f t="shared" si="95"/>
        <v>96983.54000000001</v>
      </c>
      <c r="M367" s="26">
        <f t="shared" si="95"/>
        <v>96983.54000000001</v>
      </c>
      <c r="N367" s="26">
        <f t="shared" si="95"/>
        <v>96983.54000000001</v>
      </c>
      <c r="O367" s="32">
        <f t="shared" si="95"/>
        <v>96983.54000000001</v>
      </c>
      <c r="P367" s="26">
        <f>SUM(D367:O367)</f>
        <v>1162104.5800000003</v>
      </c>
    </row>
    <row r="368" spans="3:16" ht="13.5" thickBot="1">
      <c r="C368" s="6" t="s">
        <v>129</v>
      </c>
      <c r="D368" s="27">
        <f aca="true" t="shared" si="96" ref="D368:P368">SUM(D365:D367)</f>
        <v>97933.13</v>
      </c>
      <c r="E368" s="27">
        <f t="shared" si="96"/>
        <v>97683.13</v>
      </c>
      <c r="F368" s="27">
        <f t="shared" si="96"/>
        <v>97683.13</v>
      </c>
      <c r="G368" s="27">
        <f t="shared" si="96"/>
        <v>97683.13</v>
      </c>
      <c r="H368" s="27">
        <f t="shared" si="96"/>
        <v>97683.13</v>
      </c>
      <c r="I368" s="27">
        <f t="shared" si="96"/>
        <v>98010.21</v>
      </c>
      <c r="J368" s="27">
        <f t="shared" si="96"/>
        <v>98010.21</v>
      </c>
      <c r="K368" s="27">
        <f t="shared" si="96"/>
        <v>98010.21</v>
      </c>
      <c r="L368" s="27">
        <f t="shared" si="96"/>
        <v>98010.21</v>
      </c>
      <c r="M368" s="27">
        <f t="shared" si="96"/>
        <v>98010.21</v>
      </c>
      <c r="N368" s="27">
        <f t="shared" si="96"/>
        <v>98010.21</v>
      </c>
      <c r="O368" s="33">
        <f t="shared" si="96"/>
        <v>98010.21</v>
      </c>
      <c r="P368" s="37">
        <f t="shared" si="96"/>
        <v>1174737.1200000003</v>
      </c>
    </row>
    <row r="369" ht="12.75">
      <c r="C369" s="12"/>
    </row>
    <row r="370" spans="1:3" ht="21">
      <c r="A370" s="16">
        <f>+A364+1</f>
        <v>49</v>
      </c>
      <c r="B370" s="17"/>
      <c r="C370" s="5" t="s">
        <v>130</v>
      </c>
    </row>
    <row r="371" spans="1:16" ht="12.75">
      <c r="A371" s="20"/>
      <c r="B371" s="20"/>
      <c r="C371" s="4" t="str">
        <f>C365</f>
        <v>Debt Reserve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32">
        <v>0</v>
      </c>
      <c r="P371" s="26">
        <f>SUM(D371:O371)</f>
        <v>0</v>
      </c>
    </row>
    <row r="372" spans="3:16" ht="12.75">
      <c r="C372" s="4" t="str">
        <f>C366</f>
        <v>Treasury Fee</v>
      </c>
      <c r="D372" s="38">
        <v>250</v>
      </c>
      <c r="P372" s="26">
        <f>SUM(D372:O372)</f>
        <v>250</v>
      </c>
    </row>
    <row r="373" spans="3:16" ht="13.5" thickBot="1">
      <c r="C373" s="4" t="str">
        <f>C367</f>
        <v>Intercept</v>
      </c>
      <c r="D373" s="26">
        <f>833.33+9662.5</f>
        <v>10495.83</v>
      </c>
      <c r="E373" s="26">
        <f>833.33+9662.5</f>
        <v>10495.83</v>
      </c>
      <c r="F373" s="26">
        <f>833.33+9662.5</f>
        <v>10495.83</v>
      </c>
      <c r="G373" s="26">
        <f>1250+9589.58</f>
        <v>10839.58</v>
      </c>
      <c r="H373" s="26">
        <f aca="true" t="shared" si="97" ref="H373:O373">1250+9589.58</f>
        <v>10839.58</v>
      </c>
      <c r="I373" s="26">
        <f t="shared" si="97"/>
        <v>10839.58</v>
      </c>
      <c r="J373" s="26">
        <f t="shared" si="97"/>
        <v>10839.58</v>
      </c>
      <c r="K373" s="26">
        <f t="shared" si="97"/>
        <v>10839.58</v>
      </c>
      <c r="L373" s="26">
        <f t="shared" si="97"/>
        <v>10839.58</v>
      </c>
      <c r="M373" s="26">
        <f t="shared" si="97"/>
        <v>10839.58</v>
      </c>
      <c r="N373" s="26">
        <f t="shared" si="97"/>
        <v>10839.58</v>
      </c>
      <c r="O373" s="32">
        <f t="shared" si="97"/>
        <v>10839.58</v>
      </c>
      <c r="P373" s="26">
        <f>SUM(D373:O373)</f>
        <v>129043.71</v>
      </c>
    </row>
    <row r="374" spans="3:16" ht="13.5" thickBot="1">
      <c r="C374" s="6" t="s">
        <v>100</v>
      </c>
      <c r="D374" s="27">
        <f aca="true" t="shared" si="98" ref="D374:P374">SUM(D371:D373)</f>
        <v>10745.83</v>
      </c>
      <c r="E374" s="27">
        <f t="shared" si="98"/>
        <v>10495.83</v>
      </c>
      <c r="F374" s="27">
        <f t="shared" si="98"/>
        <v>10495.83</v>
      </c>
      <c r="G374" s="27">
        <f t="shared" si="98"/>
        <v>10839.58</v>
      </c>
      <c r="H374" s="27">
        <f t="shared" si="98"/>
        <v>10839.58</v>
      </c>
      <c r="I374" s="27">
        <f t="shared" si="98"/>
        <v>10839.58</v>
      </c>
      <c r="J374" s="27">
        <f t="shared" si="98"/>
        <v>10839.58</v>
      </c>
      <c r="K374" s="27">
        <f t="shared" si="98"/>
        <v>10839.58</v>
      </c>
      <c r="L374" s="27">
        <f t="shared" si="98"/>
        <v>10839.58</v>
      </c>
      <c r="M374" s="27">
        <f t="shared" si="98"/>
        <v>10839.58</v>
      </c>
      <c r="N374" s="27">
        <f t="shared" si="98"/>
        <v>10839.58</v>
      </c>
      <c r="O374" s="33">
        <f t="shared" si="98"/>
        <v>10839.58</v>
      </c>
      <c r="P374" s="37">
        <f t="shared" si="98"/>
        <v>129293.71</v>
      </c>
    </row>
    <row r="375" ht="12.75">
      <c r="C375" s="12"/>
    </row>
    <row r="376" spans="1:3" ht="21">
      <c r="A376" s="16">
        <f>+A370+1</f>
        <v>50</v>
      </c>
      <c r="B376" s="17"/>
      <c r="C376" s="5" t="s">
        <v>133</v>
      </c>
    </row>
    <row r="377" spans="1:16" ht="12.75">
      <c r="A377" s="20"/>
      <c r="B377" s="20"/>
      <c r="C377" s="4" t="str">
        <f>C371</f>
        <v>Debt Reserve</v>
      </c>
      <c r="D377" s="26">
        <v>638.33</v>
      </c>
      <c r="E377" s="26">
        <v>638.33</v>
      </c>
      <c r="F377" s="26">
        <v>638.33</v>
      </c>
      <c r="G377" s="26">
        <v>627.08</v>
      </c>
      <c r="H377" s="26">
        <v>627.08</v>
      </c>
      <c r="I377" s="26">
        <v>627.08</v>
      </c>
      <c r="J377" s="26">
        <v>627.08</v>
      </c>
      <c r="K377" s="26">
        <v>627.08</v>
      </c>
      <c r="L377" s="26">
        <v>627.08</v>
      </c>
      <c r="M377" s="26">
        <v>627.08</v>
      </c>
      <c r="N377" s="26">
        <v>627.08</v>
      </c>
      <c r="O377" s="32">
        <v>627.08</v>
      </c>
      <c r="P377" s="26">
        <f>SUM(D377:O377)</f>
        <v>7558.71</v>
      </c>
    </row>
    <row r="378" spans="3:16" ht="12.75">
      <c r="C378" s="4" t="str">
        <f>C372</f>
        <v>Treasury Fee</v>
      </c>
      <c r="D378" s="38">
        <v>250</v>
      </c>
      <c r="P378" s="26">
        <f>SUM(D378:O378)</f>
        <v>250</v>
      </c>
    </row>
    <row r="379" spans="3:16" ht="13.5" thickBot="1">
      <c r="C379" s="4" t="str">
        <f>C373</f>
        <v>Intercept</v>
      </c>
      <c r="D379" s="26">
        <f>11666.67+29779.17</f>
        <v>41445.84</v>
      </c>
      <c r="E379" s="26">
        <f aca="true" t="shared" si="99" ref="E379:O379">11666.67+29779.17</f>
        <v>41445.84</v>
      </c>
      <c r="F379" s="26">
        <f t="shared" si="99"/>
        <v>41445.84</v>
      </c>
      <c r="G379" s="26">
        <f t="shared" si="99"/>
        <v>41445.84</v>
      </c>
      <c r="H379" s="26">
        <f t="shared" si="99"/>
        <v>41445.84</v>
      </c>
      <c r="I379" s="26">
        <f t="shared" si="99"/>
        <v>41445.84</v>
      </c>
      <c r="J379" s="26">
        <f t="shared" si="99"/>
        <v>41445.84</v>
      </c>
      <c r="K379" s="26">
        <f t="shared" si="99"/>
        <v>41445.84</v>
      </c>
      <c r="L379" s="26">
        <f t="shared" si="99"/>
        <v>41445.84</v>
      </c>
      <c r="M379" s="26">
        <f t="shared" si="99"/>
        <v>41445.84</v>
      </c>
      <c r="N379" s="26">
        <f t="shared" si="99"/>
        <v>41445.84</v>
      </c>
      <c r="O379" s="32">
        <f t="shared" si="99"/>
        <v>41445.84</v>
      </c>
      <c r="P379" s="26">
        <f>SUM(D379:O379)</f>
        <v>497350.07999999984</v>
      </c>
    </row>
    <row r="380" spans="3:16" ht="13.5" thickBot="1">
      <c r="C380" s="6" t="s">
        <v>134</v>
      </c>
      <c r="D380" s="27">
        <f aca="true" t="shared" si="100" ref="D380:P380">SUM(D377:D379)</f>
        <v>42334.17</v>
      </c>
      <c r="E380" s="27">
        <f t="shared" si="100"/>
        <v>42084.17</v>
      </c>
      <c r="F380" s="27">
        <f t="shared" si="100"/>
        <v>42084.17</v>
      </c>
      <c r="G380" s="27">
        <f t="shared" si="100"/>
        <v>42072.92</v>
      </c>
      <c r="H380" s="27">
        <f t="shared" si="100"/>
        <v>42072.92</v>
      </c>
      <c r="I380" s="27">
        <f t="shared" si="100"/>
        <v>42072.92</v>
      </c>
      <c r="J380" s="27">
        <f t="shared" si="100"/>
        <v>42072.92</v>
      </c>
      <c r="K380" s="27">
        <f t="shared" si="100"/>
        <v>42072.92</v>
      </c>
      <c r="L380" s="27">
        <f t="shared" si="100"/>
        <v>42072.92</v>
      </c>
      <c r="M380" s="27">
        <f t="shared" si="100"/>
        <v>42072.92</v>
      </c>
      <c r="N380" s="27">
        <f t="shared" si="100"/>
        <v>42072.92</v>
      </c>
      <c r="O380" s="33">
        <f t="shared" si="100"/>
        <v>42072.92</v>
      </c>
      <c r="P380" s="37">
        <f t="shared" si="100"/>
        <v>505158.78999999986</v>
      </c>
    </row>
    <row r="381" ht="12.75">
      <c r="C381" s="12"/>
    </row>
    <row r="382" spans="1:3" ht="21">
      <c r="A382" s="16">
        <f>+A376+1</f>
        <v>51</v>
      </c>
      <c r="B382" s="44" t="s">
        <v>107</v>
      </c>
      <c r="C382" s="43" t="s">
        <v>135</v>
      </c>
    </row>
    <row r="383" spans="1:16" ht="12.75">
      <c r="A383" s="20"/>
      <c r="B383" s="20"/>
      <c r="C383" s="4" t="str">
        <f>C377</f>
        <v>Debt Reserve</v>
      </c>
      <c r="D383" s="26">
        <v>1061.67</v>
      </c>
      <c r="E383" s="26">
        <v>1061.67</v>
      </c>
      <c r="F383" s="26">
        <v>1061.67</v>
      </c>
      <c r="G383" s="26">
        <v>1061.67</v>
      </c>
      <c r="H383" s="26">
        <v>1061.67</v>
      </c>
      <c r="I383" s="26">
        <v>1061.67</v>
      </c>
      <c r="J383" s="26">
        <v>1043.75</v>
      </c>
      <c r="K383" s="26">
        <v>1043.75</v>
      </c>
      <c r="L383" s="26">
        <v>1043.75</v>
      </c>
      <c r="M383" s="26">
        <v>1043.75</v>
      </c>
      <c r="N383" s="26">
        <v>1043.75</v>
      </c>
      <c r="O383" s="32">
        <v>1043.75</v>
      </c>
      <c r="P383" s="26">
        <f>SUM(D383:O383)</f>
        <v>12632.52</v>
      </c>
    </row>
    <row r="384" spans="3:16" ht="12.75">
      <c r="C384" s="4" t="str">
        <f>C378</f>
        <v>Treasury Fee</v>
      </c>
      <c r="D384" s="38">
        <v>250</v>
      </c>
      <c r="P384" s="26">
        <f>SUM(D384:O384)</f>
        <v>250</v>
      </c>
    </row>
    <row r="385" spans="3:16" ht="13.5" thickBot="1">
      <c r="C385" s="4" t="str">
        <f>C379</f>
        <v>Intercept</v>
      </c>
      <c r="D385" s="26">
        <f>17916.67+51930</f>
        <v>69846.67</v>
      </c>
      <c r="E385" s="26">
        <f>17916.67+51930</f>
        <v>69846.67</v>
      </c>
      <c r="F385" s="26">
        <f>17916.67+51930</f>
        <v>69846.67</v>
      </c>
      <c r="G385" s="26">
        <f>17916.67+51930</f>
        <v>69846.67</v>
      </c>
      <c r="H385" s="26">
        <f>17916.67+51930</f>
        <v>69846.67</v>
      </c>
      <c r="I385" s="26">
        <f>18333.33+51500</f>
        <v>69833.33</v>
      </c>
      <c r="J385" s="26">
        <f aca="true" t="shared" si="101" ref="J385:O385">18333.33+51500</f>
        <v>69833.33</v>
      </c>
      <c r="K385" s="26">
        <f t="shared" si="101"/>
        <v>69833.33</v>
      </c>
      <c r="L385" s="26">
        <f t="shared" si="101"/>
        <v>69833.33</v>
      </c>
      <c r="M385" s="26">
        <f t="shared" si="101"/>
        <v>69833.33</v>
      </c>
      <c r="N385" s="26">
        <f t="shared" si="101"/>
        <v>69833.33</v>
      </c>
      <c r="O385" s="32">
        <f t="shared" si="101"/>
        <v>69833.33</v>
      </c>
      <c r="P385" s="26">
        <f>SUM(D385:O385)</f>
        <v>838066.6599999998</v>
      </c>
    </row>
    <row r="386" spans="3:16" ht="13.5" thickBot="1">
      <c r="C386" s="6" t="s">
        <v>136</v>
      </c>
      <c r="D386" s="27">
        <f aca="true" t="shared" si="102" ref="D386:P386">SUM(D383:D385)</f>
        <v>71158.34</v>
      </c>
      <c r="E386" s="27">
        <f t="shared" si="102"/>
        <v>70908.34</v>
      </c>
      <c r="F386" s="27">
        <f t="shared" si="102"/>
        <v>70908.34</v>
      </c>
      <c r="G386" s="27">
        <f t="shared" si="102"/>
        <v>70908.34</v>
      </c>
      <c r="H386" s="27">
        <f t="shared" si="102"/>
        <v>70908.34</v>
      </c>
      <c r="I386" s="27">
        <f t="shared" si="102"/>
        <v>70895</v>
      </c>
      <c r="J386" s="27">
        <f t="shared" si="102"/>
        <v>70877.08</v>
      </c>
      <c r="K386" s="27">
        <f t="shared" si="102"/>
        <v>70877.08</v>
      </c>
      <c r="L386" s="27">
        <f t="shared" si="102"/>
        <v>70877.08</v>
      </c>
      <c r="M386" s="27">
        <f t="shared" si="102"/>
        <v>70877.08</v>
      </c>
      <c r="N386" s="27">
        <f t="shared" si="102"/>
        <v>70877.08</v>
      </c>
      <c r="O386" s="33">
        <f t="shared" si="102"/>
        <v>70877.08</v>
      </c>
      <c r="P386" s="37">
        <f t="shared" si="102"/>
        <v>850949.1799999998</v>
      </c>
    </row>
    <row r="387" ht="12.75">
      <c r="C387" s="12"/>
    </row>
    <row r="388" spans="1:3" ht="21">
      <c r="A388" s="16">
        <f>+A382+1</f>
        <v>52</v>
      </c>
      <c r="B388" s="44" t="s">
        <v>107</v>
      </c>
      <c r="C388" s="43" t="s">
        <v>137</v>
      </c>
    </row>
    <row r="389" spans="1:16" ht="12.75">
      <c r="A389" s="20"/>
      <c r="B389" s="20"/>
      <c r="C389" s="4" t="str">
        <f>C383</f>
        <v>Debt Reserve</v>
      </c>
      <c r="D389" s="26">
        <v>990</v>
      </c>
      <c r="E389" s="26">
        <v>990</v>
      </c>
      <c r="F389" s="26">
        <v>990</v>
      </c>
      <c r="G389" s="26">
        <v>990</v>
      </c>
      <c r="H389" s="26">
        <v>990</v>
      </c>
      <c r="I389" s="26">
        <v>990</v>
      </c>
      <c r="J389" s="26">
        <v>990</v>
      </c>
      <c r="K389" s="26">
        <v>990</v>
      </c>
      <c r="L389" s="26">
        <v>973.33</v>
      </c>
      <c r="M389" s="26">
        <v>973.33</v>
      </c>
      <c r="N389" s="26">
        <v>973.33</v>
      </c>
      <c r="O389" s="32">
        <v>973.33</v>
      </c>
      <c r="P389" s="26">
        <f>SUM(D389:O389)</f>
        <v>11813.32</v>
      </c>
    </row>
    <row r="390" spans="3:16" ht="12.75">
      <c r="C390" s="4" t="str">
        <f>C384</f>
        <v>Treasury Fee</v>
      </c>
      <c r="D390" s="38">
        <v>250</v>
      </c>
      <c r="P390" s="26">
        <f>SUM(D390:O390)</f>
        <v>250</v>
      </c>
    </row>
    <row r="391" spans="3:16" ht="13.5" thickBot="1">
      <c r="C391" s="4" t="str">
        <f>C385</f>
        <v>Intercept</v>
      </c>
      <c r="D391" s="38">
        <f aca="true" t="shared" si="103" ref="D391:K391">16666.67+50880.21</f>
        <v>67546.88</v>
      </c>
      <c r="E391" s="38">
        <f t="shared" si="103"/>
        <v>67546.88</v>
      </c>
      <c r="F391" s="38">
        <f t="shared" si="103"/>
        <v>67546.88</v>
      </c>
      <c r="G391" s="38">
        <f t="shared" si="103"/>
        <v>67546.88</v>
      </c>
      <c r="H391" s="38">
        <f t="shared" si="103"/>
        <v>67546.88</v>
      </c>
      <c r="I391" s="38">
        <f t="shared" si="103"/>
        <v>67546.88</v>
      </c>
      <c r="J391" s="38">
        <f t="shared" si="103"/>
        <v>67546.88</v>
      </c>
      <c r="K391" s="38">
        <f t="shared" si="103"/>
        <v>67546.88</v>
      </c>
      <c r="L391" s="38">
        <f>17083.33+50484.38</f>
        <v>67567.70999999999</v>
      </c>
      <c r="M391" s="38">
        <f>17083.33+50484.38</f>
        <v>67567.70999999999</v>
      </c>
      <c r="N391" s="38">
        <f>17083.33+50484.38</f>
        <v>67567.70999999999</v>
      </c>
      <c r="O391" s="50">
        <f>17083.33+50484.38</f>
        <v>67567.70999999999</v>
      </c>
      <c r="P391" s="26">
        <f>SUM(D391:O391)</f>
        <v>810645.8799999999</v>
      </c>
    </row>
    <row r="392" spans="3:16" ht="13.5" thickBot="1">
      <c r="C392" s="6" t="s">
        <v>138</v>
      </c>
      <c r="D392" s="27">
        <f aca="true" t="shared" si="104" ref="D392:P392">SUM(D389:D391)</f>
        <v>68786.88</v>
      </c>
      <c r="E392" s="27">
        <f t="shared" si="104"/>
        <v>68536.88</v>
      </c>
      <c r="F392" s="27">
        <f t="shared" si="104"/>
        <v>68536.88</v>
      </c>
      <c r="G392" s="27">
        <f t="shared" si="104"/>
        <v>68536.88</v>
      </c>
      <c r="H392" s="27">
        <f t="shared" si="104"/>
        <v>68536.88</v>
      </c>
      <c r="I392" s="27">
        <f t="shared" si="104"/>
        <v>68536.88</v>
      </c>
      <c r="J392" s="27">
        <f t="shared" si="104"/>
        <v>68536.88</v>
      </c>
      <c r="K392" s="27">
        <f t="shared" si="104"/>
        <v>68536.88</v>
      </c>
      <c r="L392" s="27">
        <f t="shared" si="104"/>
        <v>68541.04</v>
      </c>
      <c r="M392" s="27">
        <f t="shared" si="104"/>
        <v>68541.04</v>
      </c>
      <c r="N392" s="27">
        <f t="shared" si="104"/>
        <v>68541.04</v>
      </c>
      <c r="O392" s="33">
        <f t="shared" si="104"/>
        <v>68541.04</v>
      </c>
      <c r="P392" s="37">
        <f t="shared" si="104"/>
        <v>822709.1999999998</v>
      </c>
    </row>
    <row r="393" ht="12.75">
      <c r="C393" s="12"/>
    </row>
    <row r="394" spans="1:3" ht="21">
      <c r="A394" s="16">
        <f>+A388+1</f>
        <v>53</v>
      </c>
      <c r="B394" s="44" t="s">
        <v>107</v>
      </c>
      <c r="C394" s="43" t="s">
        <v>139</v>
      </c>
    </row>
    <row r="395" spans="1:16" ht="12.75">
      <c r="A395" s="20"/>
      <c r="B395" s="20"/>
      <c r="C395" s="4" t="str">
        <f>C389</f>
        <v>Debt Reserve</v>
      </c>
      <c r="D395" s="26">
        <v>595</v>
      </c>
      <c r="E395" s="26">
        <v>595</v>
      </c>
      <c r="F395" s="26">
        <v>595</v>
      </c>
      <c r="G395" s="26">
        <v>595</v>
      </c>
      <c r="H395" s="26">
        <v>595</v>
      </c>
      <c r="I395" s="26">
        <v>595</v>
      </c>
      <c r="J395" s="26">
        <v>595</v>
      </c>
      <c r="K395" s="26">
        <v>595</v>
      </c>
      <c r="L395" s="26">
        <v>595</v>
      </c>
      <c r="M395" s="26">
        <v>595</v>
      </c>
      <c r="N395" s="26">
        <v>595</v>
      </c>
      <c r="O395" s="32">
        <v>585.42</v>
      </c>
      <c r="P395" s="26">
        <f>SUM(D395:O395)</f>
        <v>7130.42</v>
      </c>
    </row>
    <row r="396" spans="3:16" ht="12.75">
      <c r="C396" s="4" t="str">
        <f>C390</f>
        <v>Treasury Fee</v>
      </c>
      <c r="D396" s="38">
        <v>250</v>
      </c>
      <c r="P396" s="26">
        <f>SUM(D396:O396)</f>
        <v>250</v>
      </c>
    </row>
    <row r="397" spans="3:16" ht="13.5" thickBot="1">
      <c r="C397" s="4" t="str">
        <f>C391</f>
        <v>Intercept</v>
      </c>
      <c r="D397" s="26">
        <f>9583.33+32292.71</f>
        <v>41876.04</v>
      </c>
      <c r="E397" s="26">
        <f aca="true" t="shared" si="105" ref="E397:K397">9583.33+32292.71</f>
        <v>41876.04</v>
      </c>
      <c r="F397" s="26">
        <f t="shared" si="105"/>
        <v>41876.04</v>
      </c>
      <c r="G397" s="26">
        <f t="shared" si="105"/>
        <v>41876.04</v>
      </c>
      <c r="H397" s="26">
        <f t="shared" si="105"/>
        <v>41876.04</v>
      </c>
      <c r="I397" s="26">
        <f t="shared" si="105"/>
        <v>41876.04</v>
      </c>
      <c r="J397" s="26">
        <f t="shared" si="105"/>
        <v>41876.04</v>
      </c>
      <c r="K397" s="26">
        <f t="shared" si="105"/>
        <v>41876.04</v>
      </c>
      <c r="L397" s="26">
        <f>9583.33+32292.71+1562.5</f>
        <v>43438.54</v>
      </c>
      <c r="M397" s="26">
        <f>9583.33+32292.71+1562.5</f>
        <v>43438.54</v>
      </c>
      <c r="N397" s="26">
        <f>9583.33+32292.71+1562.5</f>
        <v>43438.54</v>
      </c>
      <c r="O397" s="32">
        <f>9583.33+32292.71+1562.5</f>
        <v>43438.54</v>
      </c>
      <c r="P397" s="26">
        <f>SUM(D397:O397)</f>
        <v>508762.4799999999</v>
      </c>
    </row>
    <row r="398" spans="3:16" ht="13.5" thickBot="1">
      <c r="C398" s="6" t="s">
        <v>140</v>
      </c>
      <c r="D398" s="27">
        <f aca="true" t="shared" si="106" ref="D398:P398">SUM(D395:D397)</f>
        <v>42721.04</v>
      </c>
      <c r="E398" s="27">
        <f t="shared" si="106"/>
        <v>42471.04</v>
      </c>
      <c r="F398" s="27">
        <f t="shared" si="106"/>
        <v>42471.04</v>
      </c>
      <c r="G398" s="27">
        <f t="shared" si="106"/>
        <v>42471.04</v>
      </c>
      <c r="H398" s="27">
        <f t="shared" si="106"/>
        <v>42471.04</v>
      </c>
      <c r="I398" s="27">
        <f t="shared" si="106"/>
        <v>42471.04</v>
      </c>
      <c r="J398" s="27">
        <f t="shared" si="106"/>
        <v>42471.04</v>
      </c>
      <c r="K398" s="27">
        <f t="shared" si="106"/>
        <v>42471.04</v>
      </c>
      <c r="L398" s="27">
        <f t="shared" si="106"/>
        <v>44033.54</v>
      </c>
      <c r="M398" s="27">
        <f t="shared" si="106"/>
        <v>44033.54</v>
      </c>
      <c r="N398" s="27">
        <f t="shared" si="106"/>
        <v>44033.54</v>
      </c>
      <c r="O398" s="33">
        <f t="shared" si="106"/>
        <v>44023.96</v>
      </c>
      <c r="P398" s="37">
        <f t="shared" si="106"/>
        <v>516142.8999999999</v>
      </c>
    </row>
    <row r="399" ht="12.75">
      <c r="C399" s="12"/>
    </row>
    <row r="400" spans="1:3" ht="21">
      <c r="A400" s="16">
        <f>+A394+1</f>
        <v>54</v>
      </c>
      <c r="B400" s="21"/>
      <c r="C400" s="5" t="s">
        <v>142</v>
      </c>
    </row>
    <row r="401" spans="1:16" ht="12.75">
      <c r="A401" s="20"/>
      <c r="B401" s="20"/>
      <c r="C401" s="4" t="str">
        <f>C395</f>
        <v>Debt Reserve</v>
      </c>
      <c r="D401" s="26">
        <v>534.17</v>
      </c>
      <c r="E401" s="26">
        <v>534.17</v>
      </c>
      <c r="F401" s="26">
        <v>534.17</v>
      </c>
      <c r="G401" s="26">
        <v>534.17</v>
      </c>
      <c r="H401" s="26">
        <v>534.17</v>
      </c>
      <c r="I401" s="26">
        <v>534.17</v>
      </c>
      <c r="J401" s="26">
        <v>534.17</v>
      </c>
      <c r="K401" s="26">
        <v>534.17</v>
      </c>
      <c r="L401" s="26">
        <v>534.17</v>
      </c>
      <c r="M401" s="26">
        <v>534.17</v>
      </c>
      <c r="N401" s="26">
        <v>534.17</v>
      </c>
      <c r="O401" s="32">
        <v>534.17</v>
      </c>
      <c r="P401" s="26">
        <f>SUM(D401:O401)</f>
        <v>6410.04</v>
      </c>
    </row>
    <row r="402" spans="3:16" ht="12.75">
      <c r="C402" s="4" t="str">
        <f>C396</f>
        <v>Treasury Fee</v>
      </c>
      <c r="D402" s="38">
        <v>250</v>
      </c>
      <c r="P402" s="26">
        <f>SUM(D402:O402)</f>
        <v>250</v>
      </c>
    </row>
    <row r="403" spans="3:16" ht="13.5" thickBot="1">
      <c r="C403" s="4" t="str">
        <f>C397</f>
        <v>Intercept</v>
      </c>
      <c r="D403" s="26">
        <f aca="true" t="shared" si="107" ref="D403:N403">8750+29558.86</f>
        <v>38308.86</v>
      </c>
      <c r="E403" s="26">
        <f t="shared" si="107"/>
        <v>38308.86</v>
      </c>
      <c r="F403" s="26">
        <f t="shared" si="107"/>
        <v>38308.86</v>
      </c>
      <c r="G403" s="26">
        <f t="shared" si="107"/>
        <v>38308.86</v>
      </c>
      <c r="H403" s="26">
        <f t="shared" si="107"/>
        <v>38308.86</v>
      </c>
      <c r="I403" s="26">
        <f t="shared" si="107"/>
        <v>38308.86</v>
      </c>
      <c r="J403" s="26">
        <f t="shared" si="107"/>
        <v>38308.86</v>
      </c>
      <c r="K403" s="26">
        <f t="shared" si="107"/>
        <v>38308.86</v>
      </c>
      <c r="L403" s="26">
        <f t="shared" si="107"/>
        <v>38308.86</v>
      </c>
      <c r="M403" s="26">
        <f t="shared" si="107"/>
        <v>38308.86</v>
      </c>
      <c r="N403" s="26">
        <f t="shared" si="107"/>
        <v>38308.86</v>
      </c>
      <c r="O403" s="32">
        <f>9166.67+29208.86</f>
        <v>38375.53</v>
      </c>
      <c r="P403" s="26">
        <f>SUM(D403:O403)</f>
        <v>459772.9899999999</v>
      </c>
    </row>
    <row r="404" spans="3:16" ht="13.5" thickBot="1">
      <c r="C404" s="6" t="s">
        <v>143</v>
      </c>
      <c r="D404" s="27">
        <f aca="true" t="shared" si="108" ref="D404:P404">SUM(D401:D403)</f>
        <v>39093.03</v>
      </c>
      <c r="E404" s="27">
        <f t="shared" si="108"/>
        <v>38843.03</v>
      </c>
      <c r="F404" s="27">
        <f t="shared" si="108"/>
        <v>38843.03</v>
      </c>
      <c r="G404" s="27">
        <f t="shared" si="108"/>
        <v>38843.03</v>
      </c>
      <c r="H404" s="27">
        <f t="shared" si="108"/>
        <v>38843.03</v>
      </c>
      <c r="I404" s="27">
        <f t="shared" si="108"/>
        <v>38843.03</v>
      </c>
      <c r="J404" s="27">
        <f t="shared" si="108"/>
        <v>38843.03</v>
      </c>
      <c r="K404" s="27">
        <f t="shared" si="108"/>
        <v>38843.03</v>
      </c>
      <c r="L404" s="27">
        <f t="shared" si="108"/>
        <v>38843.03</v>
      </c>
      <c r="M404" s="27">
        <f t="shared" si="108"/>
        <v>38843.03</v>
      </c>
      <c r="N404" s="27">
        <f t="shared" si="108"/>
        <v>38843.03</v>
      </c>
      <c r="O404" s="33">
        <f t="shared" si="108"/>
        <v>38909.7</v>
      </c>
      <c r="P404" s="37">
        <f t="shared" si="108"/>
        <v>466433.02999999985</v>
      </c>
    </row>
    <row r="405" ht="12.75">
      <c r="C405" s="12"/>
    </row>
    <row r="406" spans="1:3" ht="21">
      <c r="A406" s="16">
        <f>+A400+1</f>
        <v>55</v>
      </c>
      <c r="B406" s="21"/>
      <c r="C406" s="5" t="s">
        <v>146</v>
      </c>
    </row>
    <row r="407" spans="1:16" ht="12.75">
      <c r="A407" s="20"/>
      <c r="B407" s="20"/>
      <c r="C407" s="4" t="str">
        <f>C401</f>
        <v>Debt Reserve</v>
      </c>
      <c r="D407" s="26">
        <v>202.92</v>
      </c>
      <c r="E407" s="26">
        <v>202.92</v>
      </c>
      <c r="F407" s="26">
        <v>202.92</v>
      </c>
      <c r="G407" s="26">
        <v>202.92</v>
      </c>
      <c r="H407" s="26">
        <v>202.92</v>
      </c>
      <c r="I407" s="26">
        <v>202.92</v>
      </c>
      <c r="J407" s="26">
        <v>202.92</v>
      </c>
      <c r="K407" s="26">
        <v>202.92</v>
      </c>
      <c r="L407" s="26">
        <v>202.92</v>
      </c>
      <c r="M407" s="26">
        <v>202.92</v>
      </c>
      <c r="N407" s="26">
        <v>202.92</v>
      </c>
      <c r="O407" s="32">
        <v>202.92</v>
      </c>
      <c r="P407" s="26">
        <f>SUM(D407:O407)</f>
        <v>2435.0400000000004</v>
      </c>
    </row>
    <row r="408" spans="3:16" ht="12.75">
      <c r="C408" s="4" t="str">
        <f>C402</f>
        <v>Treasury Fee</v>
      </c>
      <c r="D408" s="38">
        <v>250</v>
      </c>
      <c r="P408" s="26">
        <f>SUM(D408:O408)</f>
        <v>250</v>
      </c>
    </row>
    <row r="409" spans="3:16" ht="13.5" thickBot="1">
      <c r="C409" s="4" t="str">
        <f>C403</f>
        <v>Intercept</v>
      </c>
      <c r="D409" s="26">
        <v>11304.17</v>
      </c>
      <c r="E409" s="26">
        <v>11304.17</v>
      </c>
      <c r="F409" s="26">
        <v>11304.17</v>
      </c>
      <c r="G409" s="26">
        <v>11304.17</v>
      </c>
      <c r="H409" s="26">
        <v>11304.17</v>
      </c>
      <c r="I409" s="26">
        <v>11304.17</v>
      </c>
      <c r="J409" s="26">
        <v>11304.17</v>
      </c>
      <c r="K409" s="26">
        <v>11304.17</v>
      </c>
      <c r="L409" s="26">
        <v>11304.17</v>
      </c>
      <c r="M409" s="26">
        <v>11304.17</v>
      </c>
      <c r="N409" s="26">
        <v>11304.17</v>
      </c>
      <c r="O409" s="32">
        <v>11304.17</v>
      </c>
      <c r="P409" s="26">
        <f>SUM(D409:O409)</f>
        <v>135650.04</v>
      </c>
    </row>
    <row r="410" spans="3:16" ht="13.5" thickBot="1">
      <c r="C410" s="6" t="s">
        <v>145</v>
      </c>
      <c r="D410" s="27">
        <f aca="true" t="shared" si="109" ref="D410:P410">SUM(D407:D409)</f>
        <v>11757.09</v>
      </c>
      <c r="E410" s="27">
        <f t="shared" si="109"/>
        <v>11507.09</v>
      </c>
      <c r="F410" s="27">
        <f t="shared" si="109"/>
        <v>11507.09</v>
      </c>
      <c r="G410" s="27">
        <f t="shared" si="109"/>
        <v>11507.09</v>
      </c>
      <c r="H410" s="27">
        <f t="shared" si="109"/>
        <v>11507.09</v>
      </c>
      <c r="I410" s="27">
        <f t="shared" si="109"/>
        <v>11507.09</v>
      </c>
      <c r="J410" s="27">
        <f t="shared" si="109"/>
        <v>11507.09</v>
      </c>
      <c r="K410" s="27">
        <f t="shared" si="109"/>
        <v>11507.09</v>
      </c>
      <c r="L410" s="27">
        <f t="shared" si="109"/>
        <v>11507.09</v>
      </c>
      <c r="M410" s="27">
        <f t="shared" si="109"/>
        <v>11507.09</v>
      </c>
      <c r="N410" s="27">
        <f t="shared" si="109"/>
        <v>11507.09</v>
      </c>
      <c r="O410" s="33">
        <f t="shared" si="109"/>
        <v>11507.09</v>
      </c>
      <c r="P410" s="37">
        <f t="shared" si="109"/>
        <v>138335.08000000002</v>
      </c>
    </row>
    <row r="411" ht="12.75">
      <c r="C411" s="12"/>
    </row>
    <row r="412" spans="1:3" ht="21">
      <c r="A412" s="16">
        <f>+A406+1</f>
        <v>56</v>
      </c>
      <c r="B412" s="21"/>
      <c r="C412" s="5" t="s">
        <v>147</v>
      </c>
    </row>
    <row r="413" spans="1:16" ht="12.75">
      <c r="A413" s="20"/>
      <c r="B413" s="20"/>
      <c r="C413" s="4" t="str">
        <f>C407</f>
        <v>Debt Reserve</v>
      </c>
      <c r="D413" s="26">
        <v>369.58</v>
      </c>
      <c r="E413" s="26">
        <v>369.58</v>
      </c>
      <c r="F413" s="26">
        <v>369.58</v>
      </c>
      <c r="G413" s="26">
        <v>369.58</v>
      </c>
      <c r="H413" s="26">
        <v>369.58</v>
      </c>
      <c r="I413" s="26">
        <v>369.58</v>
      </c>
      <c r="J413" s="26">
        <v>369.58</v>
      </c>
      <c r="K413" s="26">
        <v>369.58</v>
      </c>
      <c r="L413" s="26">
        <v>369.58</v>
      </c>
      <c r="M413" s="26">
        <v>369.58</v>
      </c>
      <c r="N413" s="26">
        <v>369.58</v>
      </c>
      <c r="O413" s="32">
        <v>369.58</v>
      </c>
      <c r="P413" s="26">
        <f>SUM(D413:O413)</f>
        <v>4434.96</v>
      </c>
    </row>
    <row r="414" spans="3:16" ht="12.75">
      <c r="C414" s="4" t="str">
        <f>C408</f>
        <v>Treasury Fee</v>
      </c>
      <c r="D414" s="38">
        <v>250</v>
      </c>
      <c r="P414" s="26">
        <f>SUM(D414:O414)</f>
        <v>250</v>
      </c>
    </row>
    <row r="415" spans="3:16" ht="13.5" thickBot="1">
      <c r="C415" s="4" t="str">
        <f>C409</f>
        <v>Intercept</v>
      </c>
      <c r="D415" s="38">
        <f>8750+55930.21</f>
        <v>64680.21</v>
      </c>
      <c r="E415" s="38">
        <f>8750+55930.21</f>
        <v>64680.21</v>
      </c>
      <c r="F415" s="38">
        <f>8750+55930.21</f>
        <v>64680.21</v>
      </c>
      <c r="G415" s="38">
        <f>9583.33+55394.27</f>
        <v>64977.6</v>
      </c>
      <c r="H415" s="38">
        <f aca="true" t="shared" si="110" ref="H415:O415">9583.33+55394.27</f>
        <v>64977.6</v>
      </c>
      <c r="I415" s="38">
        <f t="shared" si="110"/>
        <v>64977.6</v>
      </c>
      <c r="J415" s="38">
        <f t="shared" si="110"/>
        <v>64977.6</v>
      </c>
      <c r="K415" s="38">
        <f t="shared" si="110"/>
        <v>64977.6</v>
      </c>
      <c r="L415" s="38">
        <f t="shared" si="110"/>
        <v>64977.6</v>
      </c>
      <c r="M415" s="38">
        <f t="shared" si="110"/>
        <v>64977.6</v>
      </c>
      <c r="N415" s="38">
        <f t="shared" si="110"/>
        <v>64977.6</v>
      </c>
      <c r="O415" s="50">
        <f t="shared" si="110"/>
        <v>64977.6</v>
      </c>
      <c r="P415" s="26">
        <f>SUM(D415:O415)</f>
        <v>778839.0299999999</v>
      </c>
    </row>
    <row r="416" spans="3:16" ht="13.5" thickBot="1">
      <c r="C416" s="6" t="s">
        <v>148</v>
      </c>
      <c r="D416" s="27">
        <f aca="true" t="shared" si="111" ref="D416:P416">SUM(D413:D415)</f>
        <v>65299.79</v>
      </c>
      <c r="E416" s="27">
        <f t="shared" si="111"/>
        <v>65049.79</v>
      </c>
      <c r="F416" s="27">
        <f t="shared" si="111"/>
        <v>65049.79</v>
      </c>
      <c r="G416" s="27">
        <f t="shared" si="111"/>
        <v>65347.18</v>
      </c>
      <c r="H416" s="27">
        <f t="shared" si="111"/>
        <v>65347.18</v>
      </c>
      <c r="I416" s="27">
        <f t="shared" si="111"/>
        <v>65347.18</v>
      </c>
      <c r="J416" s="27">
        <f t="shared" si="111"/>
        <v>65347.18</v>
      </c>
      <c r="K416" s="27">
        <f t="shared" si="111"/>
        <v>65347.18</v>
      </c>
      <c r="L416" s="27">
        <f t="shared" si="111"/>
        <v>65347.18</v>
      </c>
      <c r="M416" s="27">
        <f t="shared" si="111"/>
        <v>65347.18</v>
      </c>
      <c r="N416" s="27">
        <f t="shared" si="111"/>
        <v>65347.18</v>
      </c>
      <c r="O416" s="33">
        <f t="shared" si="111"/>
        <v>65347.18</v>
      </c>
      <c r="P416" s="37">
        <f t="shared" si="111"/>
        <v>783523.9899999999</v>
      </c>
    </row>
    <row r="417" ht="12.75">
      <c r="C417" s="12"/>
    </row>
    <row r="418" spans="1:3" ht="21">
      <c r="A418" s="16">
        <f>+A412+1</f>
        <v>57</v>
      </c>
      <c r="B418" s="44" t="s">
        <v>107</v>
      </c>
      <c r="C418" s="43" t="s">
        <v>149</v>
      </c>
    </row>
    <row r="419" spans="1:16" ht="12.75">
      <c r="A419" s="20"/>
      <c r="B419" s="20"/>
      <c r="C419" s="4" t="str">
        <f>C413</f>
        <v>Debt Reserve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32">
        <v>0</v>
      </c>
      <c r="P419" s="26">
        <f>SUM(D419:O419)</f>
        <v>0</v>
      </c>
    </row>
    <row r="420" spans="3:16" ht="12.75">
      <c r="C420" s="4" t="str">
        <f>C414</f>
        <v>Treasury Fee</v>
      </c>
      <c r="D420" s="38">
        <v>250</v>
      </c>
      <c r="P420" s="26">
        <f>SUM(D420:O420)</f>
        <v>250</v>
      </c>
    </row>
    <row r="421" spans="3:16" ht="13.5" thickBot="1">
      <c r="C421" s="4" t="str">
        <f>C415</f>
        <v>Intercept</v>
      </c>
      <c r="D421" s="26">
        <v>38840.63</v>
      </c>
      <c r="E421" s="26">
        <v>38840.63</v>
      </c>
      <c r="F421" s="26">
        <v>38840.63</v>
      </c>
      <c r="G421" s="26">
        <v>38840.63</v>
      </c>
      <c r="H421" s="26">
        <v>38840.63</v>
      </c>
      <c r="I421" s="26">
        <v>38840.63</v>
      </c>
      <c r="J421" s="26">
        <v>38840.63</v>
      </c>
      <c r="K421" s="26">
        <v>38840.63</v>
      </c>
      <c r="L421" s="26">
        <v>38840.63</v>
      </c>
      <c r="M421" s="26">
        <v>38840.63</v>
      </c>
      <c r="N421" s="26">
        <v>38840.63</v>
      </c>
      <c r="O421" s="50">
        <f>2916.67+57590.63</f>
        <v>60507.299999999996</v>
      </c>
      <c r="P421" s="26">
        <f>SUM(D421:O421)</f>
        <v>487754.23</v>
      </c>
    </row>
    <row r="422" spans="3:16" ht="13.5" thickBot="1">
      <c r="C422" s="6" t="s">
        <v>150</v>
      </c>
      <c r="D422" s="27">
        <f aca="true" t="shared" si="112" ref="D422:P422">SUM(D419:D421)</f>
        <v>39090.63</v>
      </c>
      <c r="E422" s="27">
        <f t="shared" si="112"/>
        <v>38840.63</v>
      </c>
      <c r="F422" s="27">
        <f t="shared" si="112"/>
        <v>38840.63</v>
      </c>
      <c r="G422" s="27">
        <f t="shared" si="112"/>
        <v>38840.63</v>
      </c>
      <c r="H422" s="27">
        <f t="shared" si="112"/>
        <v>38840.63</v>
      </c>
      <c r="I422" s="27">
        <f t="shared" si="112"/>
        <v>38840.63</v>
      </c>
      <c r="J422" s="27">
        <f t="shared" si="112"/>
        <v>38840.63</v>
      </c>
      <c r="K422" s="27">
        <f t="shared" si="112"/>
        <v>38840.63</v>
      </c>
      <c r="L422" s="27">
        <f t="shared" si="112"/>
        <v>38840.63</v>
      </c>
      <c r="M422" s="27">
        <f t="shared" si="112"/>
        <v>38840.63</v>
      </c>
      <c r="N422" s="27">
        <f t="shared" si="112"/>
        <v>38840.63</v>
      </c>
      <c r="O422" s="33">
        <f t="shared" si="112"/>
        <v>60507.299999999996</v>
      </c>
      <c r="P422" s="37">
        <f t="shared" si="112"/>
        <v>488004.23</v>
      </c>
    </row>
    <row r="423" ht="12.75">
      <c r="C423" s="12"/>
    </row>
    <row r="424" spans="1:3" ht="21">
      <c r="A424" s="16">
        <f>+A418+1</f>
        <v>58</v>
      </c>
      <c r="B424" s="21"/>
      <c r="C424" s="5" t="s">
        <v>151</v>
      </c>
    </row>
    <row r="425" spans="1:16" ht="12.75">
      <c r="A425" s="20"/>
      <c r="B425" s="20"/>
      <c r="C425" s="4" t="str">
        <f>C419</f>
        <v>Debt Reserve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32">
        <v>0</v>
      </c>
      <c r="P425" s="26">
        <f>SUM(D425:O425)</f>
        <v>0</v>
      </c>
    </row>
    <row r="426" spans="3:16" ht="12.75">
      <c r="C426" s="4" t="str">
        <f>C420</f>
        <v>Treasury Fee</v>
      </c>
      <c r="D426" s="38">
        <v>250</v>
      </c>
      <c r="P426" s="26">
        <f>SUM(D426:O426)</f>
        <v>250</v>
      </c>
    </row>
    <row r="427" spans="3:16" ht="13.5" thickBot="1">
      <c r="C427" s="4" t="str">
        <f>C421</f>
        <v>Intercept</v>
      </c>
      <c r="D427" s="26">
        <f>7500+50075.52</f>
        <v>57575.52</v>
      </c>
      <c r="E427" s="26">
        <f>7500+50075.52</f>
        <v>57575.52</v>
      </c>
      <c r="F427" s="26">
        <f>7500+50075.52</f>
        <v>57575.52</v>
      </c>
      <c r="G427" s="26">
        <f>7500+50075.52</f>
        <v>57575.52</v>
      </c>
      <c r="H427" s="26">
        <f>7500+50075.52</f>
        <v>57575.52</v>
      </c>
      <c r="I427" s="26">
        <f>7916.67+49550.52</f>
        <v>57467.189999999995</v>
      </c>
      <c r="J427" s="26">
        <f aca="true" t="shared" si="113" ref="J427:O427">7916.67+49550.52</f>
        <v>57467.189999999995</v>
      </c>
      <c r="K427" s="26">
        <f t="shared" si="113"/>
        <v>57467.189999999995</v>
      </c>
      <c r="L427" s="26">
        <f t="shared" si="113"/>
        <v>57467.189999999995</v>
      </c>
      <c r="M427" s="26">
        <f t="shared" si="113"/>
        <v>57467.189999999995</v>
      </c>
      <c r="N427" s="26">
        <f t="shared" si="113"/>
        <v>57467.189999999995</v>
      </c>
      <c r="O427" s="32">
        <f t="shared" si="113"/>
        <v>57467.189999999995</v>
      </c>
      <c r="P427" s="26">
        <f>SUM(D427:O427)</f>
        <v>690147.9299999998</v>
      </c>
    </row>
    <row r="428" spans="3:16" ht="13.5" thickBot="1">
      <c r="C428" s="6" t="s">
        <v>152</v>
      </c>
      <c r="D428" s="27">
        <f aca="true" t="shared" si="114" ref="D428:P428">SUM(D425:D427)</f>
        <v>57825.52</v>
      </c>
      <c r="E428" s="27">
        <f t="shared" si="114"/>
        <v>57575.52</v>
      </c>
      <c r="F428" s="27">
        <f t="shared" si="114"/>
        <v>57575.52</v>
      </c>
      <c r="G428" s="27">
        <f t="shared" si="114"/>
        <v>57575.52</v>
      </c>
      <c r="H428" s="27">
        <f t="shared" si="114"/>
        <v>57575.52</v>
      </c>
      <c r="I428" s="27">
        <f t="shared" si="114"/>
        <v>57467.189999999995</v>
      </c>
      <c r="J428" s="27">
        <f t="shared" si="114"/>
        <v>57467.189999999995</v>
      </c>
      <c r="K428" s="27">
        <f t="shared" si="114"/>
        <v>57467.189999999995</v>
      </c>
      <c r="L428" s="27">
        <f t="shared" si="114"/>
        <v>57467.189999999995</v>
      </c>
      <c r="M428" s="27">
        <f t="shared" si="114"/>
        <v>57467.189999999995</v>
      </c>
      <c r="N428" s="27">
        <f t="shared" si="114"/>
        <v>57467.189999999995</v>
      </c>
      <c r="O428" s="33">
        <f t="shared" si="114"/>
        <v>57467.189999999995</v>
      </c>
      <c r="P428" s="37">
        <f t="shared" si="114"/>
        <v>690397.9299999998</v>
      </c>
    </row>
    <row r="429" ht="12.75">
      <c r="C429" s="12"/>
    </row>
    <row r="430" spans="1:3" ht="21">
      <c r="A430" s="16">
        <f>+A424+1</f>
        <v>59</v>
      </c>
      <c r="B430" s="21"/>
      <c r="C430" s="5" t="s">
        <v>153</v>
      </c>
    </row>
    <row r="431" spans="1:16" ht="12.75">
      <c r="A431" s="20"/>
      <c r="B431" s="20"/>
      <c r="C431" s="4" t="str">
        <f>C425</f>
        <v>Debt Reserve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32">
        <v>0</v>
      </c>
      <c r="P431" s="26">
        <f>SUM(D431:O431)</f>
        <v>0</v>
      </c>
    </row>
    <row r="432" spans="3:16" ht="12.75">
      <c r="C432" s="4" t="str">
        <f>C426</f>
        <v>Treasury Fee</v>
      </c>
      <c r="D432" s="38">
        <v>250</v>
      </c>
      <c r="P432" s="26">
        <f>SUM(D432:O432)</f>
        <v>250</v>
      </c>
    </row>
    <row r="433" spans="3:16" ht="13.5" thickBot="1">
      <c r="C433" s="4" t="str">
        <f>C427</f>
        <v>Intercept</v>
      </c>
      <c r="D433" s="26">
        <f>6363.64+52439.58</f>
        <v>58803.22</v>
      </c>
      <c r="E433" s="26">
        <f>6363.64+52439.58</f>
        <v>58803.22</v>
      </c>
      <c r="F433" s="26">
        <f>6363.64+52439.58</f>
        <v>58803.22</v>
      </c>
      <c r="G433" s="26">
        <f>6363.64+52439.58</f>
        <v>58803.22</v>
      </c>
      <c r="H433" s="26">
        <f>6363.64+52439.58</f>
        <v>58803.22</v>
      </c>
      <c r="I433" s="26">
        <f>7083.33+51943.75</f>
        <v>59027.08</v>
      </c>
      <c r="J433" s="26">
        <f aca="true" t="shared" si="115" ref="J433:O433">7083.33+51943.75</f>
        <v>59027.08</v>
      </c>
      <c r="K433" s="26">
        <f t="shared" si="115"/>
        <v>59027.08</v>
      </c>
      <c r="L433" s="26">
        <f t="shared" si="115"/>
        <v>59027.08</v>
      </c>
      <c r="M433" s="26">
        <f t="shared" si="115"/>
        <v>59027.08</v>
      </c>
      <c r="N433" s="26">
        <f t="shared" si="115"/>
        <v>59027.08</v>
      </c>
      <c r="O433" s="32">
        <f t="shared" si="115"/>
        <v>59027.08</v>
      </c>
      <c r="P433" s="26">
        <f>SUM(D433:O433)</f>
        <v>707205.6599999999</v>
      </c>
    </row>
    <row r="434" spans="3:16" ht="13.5" thickBot="1">
      <c r="C434" s="6" t="s">
        <v>154</v>
      </c>
      <c r="D434" s="27">
        <f aca="true" t="shared" si="116" ref="D434:P434">SUM(D431:D433)</f>
        <v>59053.22</v>
      </c>
      <c r="E434" s="27">
        <f t="shared" si="116"/>
        <v>58803.22</v>
      </c>
      <c r="F434" s="27">
        <f t="shared" si="116"/>
        <v>58803.22</v>
      </c>
      <c r="G434" s="27">
        <f t="shared" si="116"/>
        <v>58803.22</v>
      </c>
      <c r="H434" s="27">
        <f t="shared" si="116"/>
        <v>58803.22</v>
      </c>
      <c r="I434" s="27">
        <f t="shared" si="116"/>
        <v>59027.08</v>
      </c>
      <c r="J434" s="27">
        <f t="shared" si="116"/>
        <v>59027.08</v>
      </c>
      <c r="K434" s="27">
        <f t="shared" si="116"/>
        <v>59027.08</v>
      </c>
      <c r="L434" s="27">
        <f t="shared" si="116"/>
        <v>59027.08</v>
      </c>
      <c r="M434" s="27">
        <f t="shared" si="116"/>
        <v>59027.08</v>
      </c>
      <c r="N434" s="27">
        <f t="shared" si="116"/>
        <v>59027.08</v>
      </c>
      <c r="O434" s="33">
        <f t="shared" si="116"/>
        <v>59027.08</v>
      </c>
      <c r="P434" s="37">
        <f t="shared" si="116"/>
        <v>707455.6599999999</v>
      </c>
    </row>
    <row r="435" ht="12.75">
      <c r="C435" s="12"/>
    </row>
    <row r="436" spans="1:3" ht="21">
      <c r="A436" s="16">
        <f>+A430+1</f>
        <v>60</v>
      </c>
      <c r="B436" s="21"/>
      <c r="C436" s="5" t="s">
        <v>155</v>
      </c>
    </row>
    <row r="437" spans="1:16" ht="12.75">
      <c r="A437" s="20"/>
      <c r="B437" s="20"/>
      <c r="C437" s="4" t="str">
        <f>C431</f>
        <v>Debt Reserve</v>
      </c>
      <c r="D437" s="26">
        <v>423.75</v>
      </c>
      <c r="E437" s="26">
        <v>423.75</v>
      </c>
      <c r="F437" s="26">
        <v>423.75</v>
      </c>
      <c r="G437" s="26">
        <v>423.75</v>
      </c>
      <c r="H437" s="26">
        <v>418.75</v>
      </c>
      <c r="I437" s="26">
        <v>418.75</v>
      </c>
      <c r="J437" s="26">
        <v>418.75</v>
      </c>
      <c r="K437" s="26">
        <v>418.75</v>
      </c>
      <c r="L437" s="26">
        <v>418.75</v>
      </c>
      <c r="M437" s="26">
        <v>418.75</v>
      </c>
      <c r="N437" s="26">
        <v>418.75</v>
      </c>
      <c r="O437" s="32">
        <v>418.75</v>
      </c>
      <c r="P437" s="26">
        <f>SUM(D437:O437)</f>
        <v>5045</v>
      </c>
    </row>
    <row r="438" spans="3:16" ht="12.75">
      <c r="C438" s="4" t="str">
        <f>C432</f>
        <v>Treasury Fee</v>
      </c>
      <c r="D438" s="38">
        <v>250</v>
      </c>
      <c r="P438" s="26">
        <f>SUM(D438:O438)</f>
        <v>250</v>
      </c>
    </row>
    <row r="439" spans="3:16" ht="13.5" thickBot="1">
      <c r="C439" s="4" t="str">
        <f>C433</f>
        <v>Intercept</v>
      </c>
      <c r="D439" s="38">
        <f>7500+29331.88</f>
        <v>36831.880000000005</v>
      </c>
      <c r="E439" s="38">
        <f>7500+29331.88</f>
        <v>36831.880000000005</v>
      </c>
      <c r="F439" s="38">
        <f>7500+29331.88</f>
        <v>36831.880000000005</v>
      </c>
      <c r="G439" s="38">
        <f>7500+29331.88</f>
        <v>36831.880000000005</v>
      </c>
      <c r="H439" s="38">
        <v>42265.34</v>
      </c>
      <c r="I439" s="38">
        <v>42265.34</v>
      </c>
      <c r="J439" s="38">
        <v>42265.34</v>
      </c>
      <c r="K439" s="38">
        <v>42265.34</v>
      </c>
      <c r="L439" s="38">
        <v>42265.34</v>
      </c>
      <c r="M439" s="38">
        <v>42265.34</v>
      </c>
      <c r="N439" s="38">
        <v>42265.34</v>
      </c>
      <c r="O439" s="50">
        <v>42265.34</v>
      </c>
      <c r="P439" s="26">
        <f>SUM(D439:O439)</f>
        <v>485450.2399999999</v>
      </c>
    </row>
    <row r="440" spans="3:16" ht="13.5" thickBot="1">
      <c r="C440" s="6" t="s">
        <v>116</v>
      </c>
      <c r="D440" s="27">
        <f aca="true" t="shared" si="117" ref="D440:P440">SUM(D437:D439)</f>
        <v>37505.630000000005</v>
      </c>
      <c r="E440" s="27">
        <f t="shared" si="117"/>
        <v>37255.630000000005</v>
      </c>
      <c r="F440" s="27">
        <f t="shared" si="117"/>
        <v>37255.630000000005</v>
      </c>
      <c r="G440" s="27">
        <f t="shared" si="117"/>
        <v>37255.630000000005</v>
      </c>
      <c r="H440" s="27">
        <f t="shared" si="117"/>
        <v>42684.09</v>
      </c>
      <c r="I440" s="27">
        <f t="shared" si="117"/>
        <v>42684.09</v>
      </c>
      <c r="J440" s="27">
        <f t="shared" si="117"/>
        <v>42684.09</v>
      </c>
      <c r="K440" s="27">
        <f t="shared" si="117"/>
        <v>42684.09</v>
      </c>
      <c r="L440" s="27">
        <f t="shared" si="117"/>
        <v>42684.09</v>
      </c>
      <c r="M440" s="27">
        <f t="shared" si="117"/>
        <v>42684.09</v>
      </c>
      <c r="N440" s="27">
        <f t="shared" si="117"/>
        <v>42684.09</v>
      </c>
      <c r="O440" s="33">
        <f t="shared" si="117"/>
        <v>42684.09</v>
      </c>
      <c r="P440" s="37">
        <f t="shared" si="117"/>
        <v>490745.2399999999</v>
      </c>
    </row>
    <row r="441" ht="12.75">
      <c r="C441" s="12"/>
    </row>
    <row r="442" spans="1:3" ht="21">
      <c r="A442" s="16">
        <f>+A436+1</f>
        <v>61</v>
      </c>
      <c r="B442" s="21"/>
      <c r="C442" s="5" t="s">
        <v>156</v>
      </c>
    </row>
    <row r="443" spans="1:16" ht="12.75">
      <c r="A443" s="20"/>
      <c r="B443" s="20"/>
      <c r="C443" s="4" t="str">
        <f>C437</f>
        <v>Debt Reserve</v>
      </c>
      <c r="D443" s="26">
        <v>209.58</v>
      </c>
      <c r="E443" s="26">
        <v>209.58</v>
      </c>
      <c r="F443" s="26">
        <v>209.58</v>
      </c>
      <c r="G443" s="26">
        <v>209.58</v>
      </c>
      <c r="H443" s="26">
        <v>209.58</v>
      </c>
      <c r="I443" s="26">
        <v>209.58</v>
      </c>
      <c r="J443" s="26">
        <v>209.58</v>
      </c>
      <c r="K443" s="26">
        <v>209.58</v>
      </c>
      <c r="L443" s="26">
        <v>209.58</v>
      </c>
      <c r="M443" s="26">
        <v>209.58</v>
      </c>
      <c r="N443" s="26">
        <v>209.58</v>
      </c>
      <c r="O443" s="32">
        <v>209.58</v>
      </c>
      <c r="P443" s="26">
        <f>SUM(D443:O443)</f>
        <v>2514.9599999999996</v>
      </c>
    </row>
    <row r="444" spans="3:16" ht="12.75">
      <c r="C444" s="4" t="str">
        <f>C438</f>
        <v>Treasury Fee</v>
      </c>
      <c r="D444" s="38">
        <v>250</v>
      </c>
      <c r="P444" s="26">
        <f>SUM(D444:O444)</f>
        <v>250</v>
      </c>
    </row>
    <row r="445" spans="3:16" ht="13.5" thickBot="1">
      <c r="C445" s="4" t="str">
        <f>C439</f>
        <v>Intercept</v>
      </c>
      <c r="D445" s="26">
        <f aca="true" t="shared" si="118" ref="D445:K445">3333.33+27401.56</f>
        <v>30734.89</v>
      </c>
      <c r="E445" s="26">
        <f t="shared" si="118"/>
        <v>30734.89</v>
      </c>
      <c r="F445" s="26">
        <f t="shared" si="118"/>
        <v>30734.89</v>
      </c>
      <c r="G445" s="26">
        <f t="shared" si="118"/>
        <v>30734.89</v>
      </c>
      <c r="H445" s="26">
        <f t="shared" si="118"/>
        <v>30734.89</v>
      </c>
      <c r="I445" s="26">
        <f t="shared" si="118"/>
        <v>30734.89</v>
      </c>
      <c r="J445" s="26">
        <f t="shared" si="118"/>
        <v>30734.89</v>
      </c>
      <c r="K445" s="26">
        <f t="shared" si="118"/>
        <v>30734.89</v>
      </c>
      <c r="L445" s="26">
        <f>3750+27151.56</f>
        <v>30901.56</v>
      </c>
      <c r="M445" s="26">
        <f>3750+27151.56</f>
        <v>30901.56</v>
      </c>
      <c r="N445" s="26">
        <f>3750+27151.56</f>
        <v>30901.56</v>
      </c>
      <c r="O445" s="32">
        <f>3750+27151.56</f>
        <v>30901.56</v>
      </c>
      <c r="P445" s="26">
        <f>SUM(D445:O445)</f>
        <v>369485.36000000004</v>
      </c>
    </row>
    <row r="446" spans="3:16" ht="13.5" thickBot="1">
      <c r="C446" s="6" t="s">
        <v>127</v>
      </c>
      <c r="D446" s="27">
        <f aca="true" t="shared" si="119" ref="D446:P446">SUM(D443:D445)</f>
        <v>31194.47</v>
      </c>
      <c r="E446" s="27">
        <f t="shared" si="119"/>
        <v>30944.47</v>
      </c>
      <c r="F446" s="27">
        <f t="shared" si="119"/>
        <v>30944.47</v>
      </c>
      <c r="G446" s="27">
        <f t="shared" si="119"/>
        <v>30944.47</v>
      </c>
      <c r="H446" s="27">
        <f t="shared" si="119"/>
        <v>30944.47</v>
      </c>
      <c r="I446" s="27">
        <f t="shared" si="119"/>
        <v>30944.47</v>
      </c>
      <c r="J446" s="27">
        <f t="shared" si="119"/>
        <v>30944.47</v>
      </c>
      <c r="K446" s="27">
        <f t="shared" si="119"/>
        <v>30944.47</v>
      </c>
      <c r="L446" s="27">
        <f t="shared" si="119"/>
        <v>31111.140000000003</v>
      </c>
      <c r="M446" s="27">
        <f t="shared" si="119"/>
        <v>31111.140000000003</v>
      </c>
      <c r="N446" s="27">
        <f t="shared" si="119"/>
        <v>31111.140000000003</v>
      </c>
      <c r="O446" s="33">
        <f t="shared" si="119"/>
        <v>31111.140000000003</v>
      </c>
      <c r="P446" s="37">
        <f t="shared" si="119"/>
        <v>372250.32000000007</v>
      </c>
    </row>
    <row r="447" ht="12.75">
      <c r="C447" s="12"/>
    </row>
    <row r="448" spans="1:3" ht="21">
      <c r="A448" s="16">
        <f>+A442+1</f>
        <v>62</v>
      </c>
      <c r="B448" s="21"/>
      <c r="C448" s="5" t="s">
        <v>157</v>
      </c>
    </row>
    <row r="449" spans="1:16" ht="12.75">
      <c r="A449" s="20"/>
      <c r="B449" s="20"/>
      <c r="C449" s="4" t="str">
        <f>C443</f>
        <v>Debt Reserve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32">
        <v>0</v>
      </c>
      <c r="P449" s="26">
        <f>SUM(D449:O449)</f>
        <v>0</v>
      </c>
    </row>
    <row r="450" spans="3:16" ht="12.75">
      <c r="C450" s="4" t="str">
        <f>C444</f>
        <v>Treasury Fee</v>
      </c>
      <c r="D450" s="38">
        <v>250</v>
      </c>
      <c r="P450" s="26">
        <f>SUM(D450:O450)</f>
        <v>250</v>
      </c>
    </row>
    <row r="451" spans="3:16" ht="13.5" thickBot="1">
      <c r="C451" s="4" t="str">
        <f>C445</f>
        <v>Intercept</v>
      </c>
      <c r="D451" s="26">
        <f>7000+24147.22</f>
        <v>31147.22</v>
      </c>
      <c r="E451" s="26">
        <f>7000+24147.22</f>
        <v>31147.22</v>
      </c>
      <c r="F451" s="26">
        <f>7000+24147.22</f>
        <v>31147.22</v>
      </c>
      <c r="G451" s="26">
        <f>7000+24147.22</f>
        <v>31147.22</v>
      </c>
      <c r="H451" s="26">
        <f>7000+24147.22</f>
        <v>31147.22</v>
      </c>
      <c r="I451" s="26">
        <f>6666.67+25047.92</f>
        <v>31714.589999999997</v>
      </c>
      <c r="J451" s="26">
        <f aca="true" t="shared" si="120" ref="J451:O451">6666.67+25047.92</f>
        <v>31714.589999999997</v>
      </c>
      <c r="K451" s="26">
        <f t="shared" si="120"/>
        <v>31714.589999999997</v>
      </c>
      <c r="L451" s="26">
        <f t="shared" si="120"/>
        <v>31714.589999999997</v>
      </c>
      <c r="M451" s="26">
        <f t="shared" si="120"/>
        <v>31714.589999999997</v>
      </c>
      <c r="N451" s="26">
        <f t="shared" si="120"/>
        <v>31714.589999999997</v>
      </c>
      <c r="O451" s="32">
        <f t="shared" si="120"/>
        <v>31714.589999999997</v>
      </c>
      <c r="P451" s="26">
        <f>SUM(D451:O451)</f>
        <v>377738.22999999986</v>
      </c>
    </row>
    <row r="452" spans="3:16" ht="13.5" thickBot="1">
      <c r="C452" s="6" t="s">
        <v>158</v>
      </c>
      <c r="D452" s="27">
        <f aca="true" t="shared" si="121" ref="D452:P452">SUM(D449:D451)</f>
        <v>31397.22</v>
      </c>
      <c r="E452" s="27">
        <f t="shared" si="121"/>
        <v>31147.22</v>
      </c>
      <c r="F452" s="27">
        <f t="shared" si="121"/>
        <v>31147.22</v>
      </c>
      <c r="G452" s="27">
        <f t="shared" si="121"/>
        <v>31147.22</v>
      </c>
      <c r="H452" s="27">
        <f t="shared" si="121"/>
        <v>31147.22</v>
      </c>
      <c r="I452" s="27">
        <f t="shared" si="121"/>
        <v>31714.589999999997</v>
      </c>
      <c r="J452" s="27">
        <f t="shared" si="121"/>
        <v>31714.589999999997</v>
      </c>
      <c r="K452" s="27">
        <f t="shared" si="121"/>
        <v>31714.589999999997</v>
      </c>
      <c r="L452" s="27">
        <f t="shared" si="121"/>
        <v>31714.589999999997</v>
      </c>
      <c r="M452" s="27">
        <f t="shared" si="121"/>
        <v>31714.589999999997</v>
      </c>
      <c r="N452" s="27">
        <f t="shared" si="121"/>
        <v>31714.589999999997</v>
      </c>
      <c r="O452" s="33">
        <f t="shared" si="121"/>
        <v>31714.589999999997</v>
      </c>
      <c r="P452" s="37">
        <f t="shared" si="121"/>
        <v>377988.22999999986</v>
      </c>
    </row>
    <row r="453" spans="3:16" ht="12.75">
      <c r="C453" s="12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35"/>
      <c r="P453" s="28"/>
    </row>
    <row r="454" spans="1:3" ht="21">
      <c r="A454" s="16">
        <f>+A448+1</f>
        <v>63</v>
      </c>
      <c r="B454" s="21"/>
      <c r="C454" s="5" t="s">
        <v>159</v>
      </c>
    </row>
    <row r="455" spans="1:16" ht="12.75">
      <c r="A455" s="20"/>
      <c r="B455" s="20"/>
      <c r="C455" s="4" t="str">
        <f>C449</f>
        <v>Debt Reserve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32">
        <v>0</v>
      </c>
      <c r="P455" s="26">
        <f>SUM(D455:O455)</f>
        <v>0</v>
      </c>
    </row>
    <row r="456" spans="3:16" ht="12.75">
      <c r="C456" s="4" t="str">
        <f>C450</f>
        <v>Treasury Fee</v>
      </c>
      <c r="D456" s="38">
        <v>250</v>
      </c>
      <c r="P456" s="26">
        <f>SUM(D456:O456)</f>
        <v>250</v>
      </c>
    </row>
    <row r="457" spans="3:16" ht="13.5" thickBot="1">
      <c r="C457" s="4" t="str">
        <f>C451</f>
        <v>Intercept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f>8333.33+34336.67</f>
        <v>42670</v>
      </c>
      <c r="O457" s="32">
        <f>8333.33+34336.67</f>
        <v>42670</v>
      </c>
      <c r="P457" s="26">
        <f>SUM(D457:O457)</f>
        <v>85340</v>
      </c>
    </row>
    <row r="458" spans="3:16" ht="13.5" thickBot="1">
      <c r="C458" s="6" t="s">
        <v>158</v>
      </c>
      <c r="D458" s="27">
        <f aca="true" t="shared" si="122" ref="D458:P458">SUM(D455:D457)</f>
        <v>250</v>
      </c>
      <c r="E458" s="27">
        <f t="shared" si="122"/>
        <v>0</v>
      </c>
      <c r="F458" s="27">
        <f t="shared" si="122"/>
        <v>0</v>
      </c>
      <c r="G458" s="27">
        <f t="shared" si="122"/>
        <v>0</v>
      </c>
      <c r="H458" s="27">
        <f t="shared" si="122"/>
        <v>0</v>
      </c>
      <c r="I458" s="27">
        <f t="shared" si="122"/>
        <v>0</v>
      </c>
      <c r="J458" s="27">
        <f t="shared" si="122"/>
        <v>0</v>
      </c>
      <c r="K458" s="27">
        <f t="shared" si="122"/>
        <v>0</v>
      </c>
      <c r="L458" s="27">
        <f t="shared" si="122"/>
        <v>0</v>
      </c>
      <c r="M458" s="27">
        <f t="shared" si="122"/>
        <v>0</v>
      </c>
      <c r="N458" s="27">
        <f t="shared" si="122"/>
        <v>42670</v>
      </c>
      <c r="O458" s="33">
        <f t="shared" si="122"/>
        <v>42670</v>
      </c>
      <c r="P458" s="37">
        <f t="shared" si="122"/>
        <v>85590</v>
      </c>
    </row>
    <row r="459" spans="3:16" ht="12.75">
      <c r="C459" s="12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35"/>
      <c r="P459" s="28"/>
    </row>
    <row r="460" spans="1:3" ht="21">
      <c r="A460" s="16">
        <f>+A454+1</f>
        <v>64</v>
      </c>
      <c r="B460" s="21"/>
      <c r="C460" s="5" t="s">
        <v>160</v>
      </c>
    </row>
    <row r="461" spans="1:16" ht="12.75">
      <c r="A461" s="20"/>
      <c r="B461" s="20"/>
      <c r="C461" s="4" t="str">
        <f>C455</f>
        <v>Debt Reserve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32">
        <v>0</v>
      </c>
      <c r="P461" s="26">
        <f>SUM(D461:O461)</f>
        <v>0</v>
      </c>
    </row>
    <row r="462" spans="3:16" ht="12.75">
      <c r="C462" s="4" t="str">
        <f>C456</f>
        <v>Treasury Fee</v>
      </c>
      <c r="D462" s="38">
        <v>250</v>
      </c>
      <c r="P462" s="26">
        <f>SUM(D462:O462)</f>
        <v>250</v>
      </c>
    </row>
    <row r="463" spans="3:16" ht="13.5" thickBot="1">
      <c r="C463" s="4" t="str">
        <f>C457</f>
        <v>Intercept</v>
      </c>
      <c r="D463" s="26">
        <v>26471.64</v>
      </c>
      <c r="E463" s="26">
        <v>26471.64</v>
      </c>
      <c r="F463" s="26">
        <v>23961.93</v>
      </c>
      <c r="G463" s="26">
        <v>23961.93</v>
      </c>
      <c r="H463" s="26">
        <v>23961.93</v>
      </c>
      <c r="I463" s="26">
        <v>23961.93</v>
      </c>
      <c r="J463" s="26">
        <v>23961.93</v>
      </c>
      <c r="K463" s="26">
        <v>23961.93</v>
      </c>
      <c r="L463" s="26">
        <v>22760.42</v>
      </c>
      <c r="M463" s="26">
        <v>22760.42</v>
      </c>
      <c r="N463" s="26">
        <v>22760.42</v>
      </c>
      <c r="O463" s="32">
        <v>22760.42</v>
      </c>
      <c r="P463" s="26">
        <f>SUM(D463:O463)</f>
        <v>287756.5399999999</v>
      </c>
    </row>
    <row r="464" spans="3:16" ht="13.5" thickBot="1">
      <c r="C464" s="6" t="s">
        <v>161</v>
      </c>
      <c r="D464" s="27">
        <f aca="true" t="shared" si="123" ref="D464:P464">SUM(D461:D463)</f>
        <v>26721.64</v>
      </c>
      <c r="E464" s="27">
        <f t="shared" si="123"/>
        <v>26471.64</v>
      </c>
      <c r="F464" s="27">
        <f t="shared" si="123"/>
        <v>23961.93</v>
      </c>
      <c r="G464" s="27">
        <f t="shared" si="123"/>
        <v>23961.93</v>
      </c>
      <c r="H464" s="27">
        <f t="shared" si="123"/>
        <v>23961.93</v>
      </c>
      <c r="I464" s="27">
        <f t="shared" si="123"/>
        <v>23961.93</v>
      </c>
      <c r="J464" s="27">
        <f t="shared" si="123"/>
        <v>23961.93</v>
      </c>
      <c r="K464" s="27">
        <f t="shared" si="123"/>
        <v>23961.93</v>
      </c>
      <c r="L464" s="27">
        <f t="shared" si="123"/>
        <v>22760.42</v>
      </c>
      <c r="M464" s="27">
        <f t="shared" si="123"/>
        <v>22760.42</v>
      </c>
      <c r="N464" s="27">
        <f t="shared" si="123"/>
        <v>22760.42</v>
      </c>
      <c r="O464" s="33">
        <f t="shared" si="123"/>
        <v>22760.42</v>
      </c>
      <c r="P464" s="37">
        <f t="shared" si="123"/>
        <v>288006.5399999999</v>
      </c>
    </row>
    <row r="465" spans="3:16" ht="12.75">
      <c r="C465" s="12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35"/>
      <c r="P465" s="28"/>
    </row>
    <row r="466" spans="1:3" ht="21">
      <c r="A466" s="16">
        <f>+A460+1</f>
        <v>65</v>
      </c>
      <c r="B466" s="21"/>
      <c r="C466" s="5" t="s">
        <v>162</v>
      </c>
    </row>
    <row r="467" spans="1:16" ht="12.75">
      <c r="A467" s="20"/>
      <c r="B467" s="20"/>
      <c r="C467" s="4" t="str">
        <f>C461</f>
        <v>Debt Reserve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32">
        <v>0</v>
      </c>
      <c r="P467" s="26">
        <f>SUM(D467:O467)</f>
        <v>0</v>
      </c>
    </row>
    <row r="468" spans="3:16" ht="12.75">
      <c r="C468" s="4" t="str">
        <f>C462</f>
        <v>Treasury Fee</v>
      </c>
      <c r="D468" s="38">
        <v>250</v>
      </c>
      <c r="P468" s="26">
        <f>SUM(D468:O468)</f>
        <v>250</v>
      </c>
    </row>
    <row r="469" spans="3:16" ht="13.5" thickBot="1">
      <c r="C469" s="4" t="str">
        <f>C463</f>
        <v>Intercept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f aca="true" t="shared" si="124" ref="I469:N469">17500+74862.5</f>
        <v>92362.5</v>
      </c>
      <c r="J469" s="26">
        <f t="shared" si="124"/>
        <v>92362.5</v>
      </c>
      <c r="K469" s="26">
        <f t="shared" si="124"/>
        <v>92362.5</v>
      </c>
      <c r="L469" s="26">
        <f t="shared" si="124"/>
        <v>92362.5</v>
      </c>
      <c r="M469" s="26">
        <f t="shared" si="124"/>
        <v>92362.5</v>
      </c>
      <c r="N469" s="26">
        <f t="shared" si="124"/>
        <v>92362.5</v>
      </c>
      <c r="O469" s="32">
        <f>18750+74368.13</f>
        <v>93118.13</v>
      </c>
      <c r="P469" s="26">
        <f>SUM(D469:O469)</f>
        <v>647293.13</v>
      </c>
    </row>
    <row r="470" spans="3:16" ht="13.5" thickBot="1">
      <c r="C470" s="6" t="s">
        <v>163</v>
      </c>
      <c r="D470" s="27">
        <f aca="true" t="shared" si="125" ref="D470:P470">SUM(D467:D469)</f>
        <v>250</v>
      </c>
      <c r="E470" s="27">
        <f t="shared" si="125"/>
        <v>0</v>
      </c>
      <c r="F470" s="27">
        <f t="shared" si="125"/>
        <v>0</v>
      </c>
      <c r="G470" s="27">
        <f t="shared" si="125"/>
        <v>0</v>
      </c>
      <c r="H470" s="27">
        <f t="shared" si="125"/>
        <v>0</v>
      </c>
      <c r="I470" s="27">
        <f t="shared" si="125"/>
        <v>92362.5</v>
      </c>
      <c r="J470" s="27">
        <f t="shared" si="125"/>
        <v>92362.5</v>
      </c>
      <c r="K470" s="27">
        <f t="shared" si="125"/>
        <v>92362.5</v>
      </c>
      <c r="L470" s="27">
        <f t="shared" si="125"/>
        <v>92362.5</v>
      </c>
      <c r="M470" s="27">
        <f t="shared" si="125"/>
        <v>92362.5</v>
      </c>
      <c r="N470" s="27">
        <f t="shared" si="125"/>
        <v>92362.5</v>
      </c>
      <c r="O470" s="33">
        <f t="shared" si="125"/>
        <v>93118.13</v>
      </c>
      <c r="P470" s="37">
        <f t="shared" si="125"/>
        <v>647543.13</v>
      </c>
    </row>
    <row r="471" spans="3:16" ht="12.75">
      <c r="C471" s="12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35"/>
      <c r="P471" s="28"/>
    </row>
    <row r="472" spans="1:3" ht="21">
      <c r="A472" s="16">
        <f>+A466+1</f>
        <v>66</v>
      </c>
      <c r="B472" s="21"/>
      <c r="C472" s="5" t="s">
        <v>166</v>
      </c>
    </row>
    <row r="473" spans="1:16" ht="12.75">
      <c r="A473" s="20"/>
      <c r="B473" s="20"/>
      <c r="C473" s="4" t="str">
        <f>C467</f>
        <v>Debt Reserve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32">
        <v>0</v>
      </c>
      <c r="P473" s="26">
        <f>SUM(D473:O473)</f>
        <v>0</v>
      </c>
    </row>
    <row r="474" spans="3:16" ht="12.75">
      <c r="C474" s="4" t="str">
        <f>C468</f>
        <v>Treasury Fee</v>
      </c>
      <c r="D474" s="38">
        <v>250</v>
      </c>
      <c r="P474" s="26">
        <f>SUM(D474:O474)</f>
        <v>250</v>
      </c>
    </row>
    <row r="475" spans="3:16" ht="13.5" thickBot="1">
      <c r="C475" s="4" t="str">
        <f>C469</f>
        <v>Intercept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32">
        <v>0</v>
      </c>
      <c r="P475" s="26">
        <f>SUM(D475:O475)</f>
        <v>0</v>
      </c>
    </row>
    <row r="476" spans="3:16" ht="13.5" thickBot="1">
      <c r="C476" s="6" t="s">
        <v>167</v>
      </c>
      <c r="D476" s="27">
        <f aca="true" t="shared" si="126" ref="D476:P476">SUM(D473:D475)</f>
        <v>250</v>
      </c>
      <c r="E476" s="27">
        <f t="shared" si="126"/>
        <v>0</v>
      </c>
      <c r="F476" s="27">
        <f t="shared" si="126"/>
        <v>0</v>
      </c>
      <c r="G476" s="27">
        <f t="shared" si="126"/>
        <v>0</v>
      </c>
      <c r="H476" s="27">
        <f t="shared" si="126"/>
        <v>0</v>
      </c>
      <c r="I476" s="27">
        <f t="shared" si="126"/>
        <v>0</v>
      </c>
      <c r="J476" s="27">
        <f t="shared" si="126"/>
        <v>0</v>
      </c>
      <c r="K476" s="27">
        <f t="shared" si="126"/>
        <v>0</v>
      </c>
      <c r="L476" s="27">
        <f t="shared" si="126"/>
        <v>0</v>
      </c>
      <c r="M476" s="27">
        <f t="shared" si="126"/>
        <v>0</v>
      </c>
      <c r="N476" s="27">
        <f t="shared" si="126"/>
        <v>0</v>
      </c>
      <c r="O476" s="33">
        <f t="shared" si="126"/>
        <v>0</v>
      </c>
      <c r="P476" s="37">
        <f t="shared" si="126"/>
        <v>250</v>
      </c>
    </row>
    <row r="477" spans="3:16" ht="12.75">
      <c r="C477" s="12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35"/>
      <c r="P477" s="28"/>
    </row>
    <row r="478" spans="1:3" ht="21">
      <c r="A478" s="16">
        <f>+A472+1</f>
        <v>67</v>
      </c>
      <c r="B478" s="21"/>
      <c r="C478" s="5" t="s">
        <v>168</v>
      </c>
    </row>
    <row r="479" spans="1:16" ht="12.75">
      <c r="A479" s="20"/>
      <c r="B479" s="20"/>
      <c r="C479" s="4" t="str">
        <f>C473</f>
        <v>Debt Reserve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32">
        <v>0</v>
      </c>
      <c r="P479" s="26">
        <f>SUM(D479:O479)</f>
        <v>0</v>
      </c>
    </row>
    <row r="480" spans="3:16" ht="12.75">
      <c r="C480" s="4" t="str">
        <f>C474</f>
        <v>Treasury Fee</v>
      </c>
      <c r="D480" s="38">
        <v>250</v>
      </c>
      <c r="P480" s="26">
        <f>SUM(D480:O480)</f>
        <v>250</v>
      </c>
    </row>
    <row r="481" spans="3:16" ht="13.5" thickBot="1">
      <c r="C481" s="4" t="str">
        <f>C475</f>
        <v>Intercept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85678.75</v>
      </c>
      <c r="N481" s="26">
        <v>85678.75</v>
      </c>
      <c r="O481" s="32">
        <v>119700</v>
      </c>
      <c r="P481" s="26">
        <f>SUM(D481:O481)</f>
        <v>291057.5</v>
      </c>
    </row>
    <row r="482" spans="3:16" ht="13.5" thickBot="1">
      <c r="C482" s="6" t="s">
        <v>169</v>
      </c>
      <c r="D482" s="27">
        <f aca="true" t="shared" si="127" ref="D482:P482">SUM(D479:D481)</f>
        <v>250</v>
      </c>
      <c r="E482" s="27">
        <f t="shared" si="127"/>
        <v>0</v>
      </c>
      <c r="F482" s="27">
        <f t="shared" si="127"/>
        <v>0</v>
      </c>
      <c r="G482" s="27">
        <f t="shared" si="127"/>
        <v>0</v>
      </c>
      <c r="H482" s="27">
        <f t="shared" si="127"/>
        <v>0</v>
      </c>
      <c r="I482" s="27">
        <f t="shared" si="127"/>
        <v>0</v>
      </c>
      <c r="J482" s="27">
        <f t="shared" si="127"/>
        <v>0</v>
      </c>
      <c r="K482" s="27">
        <f t="shared" si="127"/>
        <v>0</v>
      </c>
      <c r="L482" s="27">
        <f t="shared" si="127"/>
        <v>0</v>
      </c>
      <c r="M482" s="27">
        <f t="shared" si="127"/>
        <v>85678.75</v>
      </c>
      <c r="N482" s="27">
        <f t="shared" si="127"/>
        <v>85678.75</v>
      </c>
      <c r="O482" s="33">
        <f t="shared" si="127"/>
        <v>119700</v>
      </c>
      <c r="P482" s="37">
        <f t="shared" si="127"/>
        <v>291307.5</v>
      </c>
    </row>
    <row r="483" spans="3:16" ht="12.75">
      <c r="C483" s="12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35"/>
      <c r="P483" s="28"/>
    </row>
    <row r="484" spans="1:3" ht="21">
      <c r="A484" s="16">
        <f>+A478+1</f>
        <v>68</v>
      </c>
      <c r="B484" s="21"/>
      <c r="C484" s="5" t="s">
        <v>171</v>
      </c>
    </row>
    <row r="485" spans="1:16" ht="12.75">
      <c r="A485" s="20"/>
      <c r="B485" s="20"/>
      <c r="C485" s="4" t="str">
        <f>C479</f>
        <v>Debt Reserve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32">
        <v>0</v>
      </c>
      <c r="P485" s="26">
        <f>SUM(D485:O485)</f>
        <v>0</v>
      </c>
    </row>
    <row r="486" spans="3:16" ht="12.75">
      <c r="C486" s="4" t="str">
        <f>C480</f>
        <v>Treasury Fee</v>
      </c>
      <c r="D486" s="38"/>
      <c r="E486">
        <v>229.17</v>
      </c>
      <c r="P486" s="26">
        <f>SUM(D486:O486)</f>
        <v>229.17</v>
      </c>
    </row>
    <row r="487" spans="3:16" ht="13.5" thickBot="1">
      <c r="C487" s="4" t="str">
        <f>C481</f>
        <v>Intercept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f>10000+41325</f>
        <v>51325</v>
      </c>
      <c r="O487" s="32">
        <f>10000+41260.42</f>
        <v>51260.42</v>
      </c>
      <c r="P487" s="26">
        <f>SUM(D487:O487)</f>
        <v>102585.42</v>
      </c>
    </row>
    <row r="488" spans="3:16" ht="13.5" thickBot="1">
      <c r="C488" s="6" t="s">
        <v>172</v>
      </c>
      <c r="D488" s="27">
        <f aca="true" t="shared" si="128" ref="D488:P488">SUM(D485:D487)</f>
        <v>0</v>
      </c>
      <c r="E488" s="27">
        <f t="shared" si="128"/>
        <v>229.17</v>
      </c>
      <c r="F488" s="27">
        <f t="shared" si="128"/>
        <v>0</v>
      </c>
      <c r="G488" s="27">
        <f t="shared" si="128"/>
        <v>0</v>
      </c>
      <c r="H488" s="27">
        <f t="shared" si="128"/>
        <v>0</v>
      </c>
      <c r="I488" s="27">
        <f t="shared" si="128"/>
        <v>0</v>
      </c>
      <c r="J488" s="27">
        <f t="shared" si="128"/>
        <v>0</v>
      </c>
      <c r="K488" s="27">
        <f t="shared" si="128"/>
        <v>0</v>
      </c>
      <c r="L488" s="27">
        <f t="shared" si="128"/>
        <v>0</v>
      </c>
      <c r="M488" s="27">
        <f t="shared" si="128"/>
        <v>0</v>
      </c>
      <c r="N488" s="27">
        <f t="shared" si="128"/>
        <v>51325</v>
      </c>
      <c r="O488" s="33">
        <f t="shared" si="128"/>
        <v>51260.42</v>
      </c>
      <c r="P488" s="37">
        <f t="shared" si="128"/>
        <v>102814.59</v>
      </c>
    </row>
    <row r="489" spans="3:16" ht="12.75">
      <c r="C489" s="12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35"/>
      <c r="P489" s="28"/>
    </row>
    <row r="490" spans="1:3" ht="21">
      <c r="A490" s="16">
        <f>+A484+1</f>
        <v>69</v>
      </c>
      <c r="B490" s="21"/>
      <c r="C490" s="5" t="s">
        <v>173</v>
      </c>
    </row>
    <row r="491" spans="1:16" ht="12.75">
      <c r="A491" s="20"/>
      <c r="B491" s="20"/>
      <c r="C491" s="4" t="str">
        <f>C485</f>
        <v>Debt Reserve</v>
      </c>
      <c r="D491" s="26">
        <v>0</v>
      </c>
      <c r="E491" s="26">
        <v>856.36</v>
      </c>
      <c r="F491" s="26">
        <v>856.36</v>
      </c>
      <c r="G491" s="26">
        <v>856.36</v>
      </c>
      <c r="H491" s="26">
        <v>856.36</v>
      </c>
      <c r="I491" s="26">
        <v>856.36</v>
      </c>
      <c r="J491" s="26">
        <v>856.36</v>
      </c>
      <c r="K491" s="26">
        <v>856.36</v>
      </c>
      <c r="L491" s="26">
        <v>856.36</v>
      </c>
      <c r="M491" s="26">
        <v>856.36</v>
      </c>
      <c r="N491" s="26">
        <v>856.36</v>
      </c>
      <c r="O491" s="32">
        <v>856.36</v>
      </c>
      <c r="P491" s="26">
        <f>SUM(D491:O491)</f>
        <v>9419.96</v>
      </c>
    </row>
    <row r="492" spans="3:16" ht="12.75">
      <c r="C492" s="4" t="str">
        <f>C486</f>
        <v>Treasury Fee</v>
      </c>
      <c r="D492" s="38"/>
      <c r="E492" s="38">
        <v>229.17</v>
      </c>
      <c r="P492" s="26">
        <f>SUM(D492:O492)</f>
        <v>229.17</v>
      </c>
    </row>
    <row r="493" spans="3:16" ht="13.5" thickBot="1">
      <c r="C493" s="4" t="str">
        <f>C487</f>
        <v>Intercept</v>
      </c>
      <c r="D493" s="26">
        <v>0</v>
      </c>
      <c r="E493" s="26">
        <f>19090.91+38998.07</f>
        <v>58088.979999999996</v>
      </c>
      <c r="F493" s="26">
        <f>19090.91+38998.07</f>
        <v>58088.979999999996</v>
      </c>
      <c r="G493" s="26">
        <f>19090.91+38998.07</f>
        <v>58088.979999999996</v>
      </c>
      <c r="H493" s="26">
        <f>19090.91+38998.07</f>
        <v>58088.979999999996</v>
      </c>
      <c r="I493" s="26">
        <f>19090.91+38998.07</f>
        <v>58088.979999999996</v>
      </c>
      <c r="J493" s="26">
        <f aca="true" t="shared" si="129" ref="J493:O493">19090.91+32863.54</f>
        <v>51954.45</v>
      </c>
      <c r="K493" s="26">
        <f t="shared" si="129"/>
        <v>51954.45</v>
      </c>
      <c r="L493" s="26">
        <f t="shared" si="129"/>
        <v>51954.45</v>
      </c>
      <c r="M493" s="26">
        <f t="shared" si="129"/>
        <v>51954.45</v>
      </c>
      <c r="N493" s="26">
        <f t="shared" si="129"/>
        <v>51954.45</v>
      </c>
      <c r="O493" s="32">
        <f t="shared" si="129"/>
        <v>51954.45</v>
      </c>
      <c r="P493" s="26">
        <f>SUM(D493:O493)</f>
        <v>602171.6</v>
      </c>
    </row>
    <row r="494" spans="3:16" ht="13.5" thickBot="1">
      <c r="C494" s="6" t="s">
        <v>174</v>
      </c>
      <c r="D494" s="27">
        <f aca="true" t="shared" si="130" ref="D494:P494">SUM(D491:D493)</f>
        <v>0</v>
      </c>
      <c r="E494" s="27">
        <f t="shared" si="130"/>
        <v>59174.509999999995</v>
      </c>
      <c r="F494" s="27">
        <f t="shared" si="130"/>
        <v>58945.34</v>
      </c>
      <c r="G494" s="27">
        <f t="shared" si="130"/>
        <v>58945.34</v>
      </c>
      <c r="H494" s="27">
        <f t="shared" si="130"/>
        <v>58945.34</v>
      </c>
      <c r="I494" s="27">
        <f t="shared" si="130"/>
        <v>58945.34</v>
      </c>
      <c r="J494" s="27">
        <f t="shared" si="130"/>
        <v>52810.81</v>
      </c>
      <c r="K494" s="27">
        <f t="shared" si="130"/>
        <v>52810.81</v>
      </c>
      <c r="L494" s="27">
        <f t="shared" si="130"/>
        <v>52810.81</v>
      </c>
      <c r="M494" s="27">
        <f t="shared" si="130"/>
        <v>52810.81</v>
      </c>
      <c r="N494" s="27">
        <f t="shared" si="130"/>
        <v>52810.81</v>
      </c>
      <c r="O494" s="33">
        <f t="shared" si="130"/>
        <v>52810.81</v>
      </c>
      <c r="P494" s="37">
        <f t="shared" si="130"/>
        <v>611820.73</v>
      </c>
    </row>
    <row r="495" spans="3:16" ht="12.75">
      <c r="C495" s="12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35"/>
      <c r="P495" s="28"/>
    </row>
    <row r="496" spans="1:3" ht="21">
      <c r="A496" s="16">
        <f>+A490+1</f>
        <v>70</v>
      </c>
      <c r="B496" s="21"/>
      <c r="C496" s="5" t="s">
        <v>175</v>
      </c>
    </row>
    <row r="497" spans="1:16" ht="12.75">
      <c r="A497" s="20"/>
      <c r="B497" s="20"/>
      <c r="C497" s="4" t="str">
        <f>C491</f>
        <v>Debt Reserve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32">
        <v>0</v>
      </c>
      <c r="P497" s="26">
        <f>SUM(D497:O497)</f>
        <v>0</v>
      </c>
    </row>
    <row r="498" spans="3:16" ht="12.75">
      <c r="C498" s="4" t="str">
        <f>C492</f>
        <v>Treasury Fee</v>
      </c>
      <c r="D498" s="38"/>
      <c r="E498" s="38"/>
      <c r="H498" s="38">
        <v>166.67</v>
      </c>
      <c r="P498" s="26">
        <f>SUM(D498:O498)</f>
        <v>166.67</v>
      </c>
    </row>
    <row r="499" spans="3:16" ht="13.5" thickBot="1">
      <c r="C499" s="4" t="str">
        <f>C493</f>
        <v>Intercept</v>
      </c>
      <c r="D499" s="26">
        <v>0</v>
      </c>
      <c r="E499" s="26">
        <v>0</v>
      </c>
      <c r="F499" s="26">
        <v>0</v>
      </c>
      <c r="G499" s="26">
        <v>0</v>
      </c>
      <c r="H499" s="26">
        <v>28043.34</v>
      </c>
      <c r="I499" s="26">
        <v>28043.34</v>
      </c>
      <c r="J499" s="26">
        <v>28043.34</v>
      </c>
      <c r="K499" s="26">
        <v>28043.34</v>
      </c>
      <c r="L499" s="26">
        <v>28043.33</v>
      </c>
      <c r="M499" s="26">
        <v>37158.33</v>
      </c>
      <c r="N499" s="26">
        <v>37158.33</v>
      </c>
      <c r="O499" s="32">
        <v>37158.33</v>
      </c>
      <c r="P499" s="26">
        <f>SUM(D499:O499)</f>
        <v>251691.68000000005</v>
      </c>
    </row>
    <row r="500" spans="3:16" ht="13.5" thickBot="1">
      <c r="C500" s="6" t="s">
        <v>176</v>
      </c>
      <c r="D500" s="27">
        <f aca="true" t="shared" si="131" ref="D500:P500">SUM(D497:D499)</f>
        <v>0</v>
      </c>
      <c r="E500" s="27">
        <f t="shared" si="131"/>
        <v>0</v>
      </c>
      <c r="F500" s="27">
        <f t="shared" si="131"/>
        <v>0</v>
      </c>
      <c r="G500" s="27">
        <f t="shared" si="131"/>
        <v>0</v>
      </c>
      <c r="H500" s="27">
        <f t="shared" si="131"/>
        <v>28210.01</v>
      </c>
      <c r="I500" s="27">
        <f t="shared" si="131"/>
        <v>28043.34</v>
      </c>
      <c r="J500" s="27">
        <f t="shared" si="131"/>
        <v>28043.34</v>
      </c>
      <c r="K500" s="27">
        <f t="shared" si="131"/>
        <v>28043.34</v>
      </c>
      <c r="L500" s="27">
        <f t="shared" si="131"/>
        <v>28043.33</v>
      </c>
      <c r="M500" s="27">
        <f t="shared" si="131"/>
        <v>37158.33</v>
      </c>
      <c r="N500" s="27">
        <f t="shared" si="131"/>
        <v>37158.33</v>
      </c>
      <c r="O500" s="33">
        <f t="shared" si="131"/>
        <v>37158.33</v>
      </c>
      <c r="P500" s="37">
        <f t="shared" si="131"/>
        <v>251858.35000000006</v>
      </c>
    </row>
    <row r="501" spans="3:16" ht="12.75">
      <c r="C501" s="12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35"/>
      <c r="P501" s="28"/>
    </row>
    <row r="502" spans="1:3" ht="21">
      <c r="A502" s="16">
        <f>+A496+1</f>
        <v>71</v>
      </c>
      <c r="B502" s="21"/>
      <c r="C502" s="5" t="s">
        <v>177</v>
      </c>
    </row>
    <row r="503" spans="1:16" ht="12.75">
      <c r="A503" s="20"/>
      <c r="B503" s="20"/>
      <c r="C503" s="4" t="str">
        <f>C497</f>
        <v>Debt Reserve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32">
        <v>0</v>
      </c>
      <c r="P503" s="26">
        <f>SUM(D503:O503)</f>
        <v>0</v>
      </c>
    </row>
    <row r="504" spans="3:16" ht="12.75">
      <c r="C504" s="4" t="str">
        <f>C498</f>
        <v>Treasury Fee</v>
      </c>
      <c r="D504" s="38"/>
      <c r="E504" s="38"/>
      <c r="H504" s="38"/>
      <c r="J504" s="38">
        <v>125</v>
      </c>
      <c r="P504" s="26">
        <f>SUM(D504:O504)</f>
        <v>125</v>
      </c>
    </row>
    <row r="505" spans="3:16" ht="13.5" thickBot="1">
      <c r="C505" s="4" t="str">
        <f>C499</f>
        <v>Intercept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32">
        <v>0</v>
      </c>
      <c r="P505" s="26">
        <f>SUM(D505:O505)</f>
        <v>0</v>
      </c>
    </row>
    <row r="506" spans="3:16" ht="13.5" thickBot="1">
      <c r="C506" s="6" t="s">
        <v>178</v>
      </c>
      <c r="D506" s="27">
        <f aca="true" t="shared" si="132" ref="D506:P506">SUM(D503:D505)</f>
        <v>0</v>
      </c>
      <c r="E506" s="27">
        <f t="shared" si="132"/>
        <v>0</v>
      </c>
      <c r="F506" s="27">
        <f t="shared" si="132"/>
        <v>0</v>
      </c>
      <c r="G506" s="27">
        <f t="shared" si="132"/>
        <v>0</v>
      </c>
      <c r="H506" s="27">
        <f t="shared" si="132"/>
        <v>0</v>
      </c>
      <c r="I506" s="27">
        <f t="shared" si="132"/>
        <v>0</v>
      </c>
      <c r="J506" s="27">
        <f t="shared" si="132"/>
        <v>125</v>
      </c>
      <c r="K506" s="27">
        <f t="shared" si="132"/>
        <v>0</v>
      </c>
      <c r="L506" s="27">
        <f t="shared" si="132"/>
        <v>0</v>
      </c>
      <c r="M506" s="27">
        <f t="shared" si="132"/>
        <v>0</v>
      </c>
      <c r="N506" s="27">
        <f t="shared" si="132"/>
        <v>0</v>
      </c>
      <c r="O506" s="33">
        <f t="shared" si="132"/>
        <v>0</v>
      </c>
      <c r="P506" s="37">
        <f t="shared" si="132"/>
        <v>125</v>
      </c>
    </row>
    <row r="507" spans="3:16" ht="12.75">
      <c r="C507" s="12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35"/>
      <c r="P507" s="28"/>
    </row>
    <row r="508" spans="1:3" ht="21">
      <c r="A508" s="16">
        <f>+A502+1</f>
        <v>72</v>
      </c>
      <c r="B508" s="21"/>
      <c r="C508" s="5" t="s">
        <v>179</v>
      </c>
    </row>
    <row r="509" spans="1:16" ht="12.75">
      <c r="A509" s="20"/>
      <c r="B509" s="20"/>
      <c r="C509" s="4" t="str">
        <f>C503</f>
        <v>Debt Reserve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32">
        <v>0</v>
      </c>
      <c r="P509" s="26">
        <f>SUM(D509:O509)</f>
        <v>0</v>
      </c>
    </row>
    <row r="510" spans="3:16" ht="12.75">
      <c r="C510" s="4" t="str">
        <f>C504</f>
        <v>Treasury Fee</v>
      </c>
      <c r="D510" s="38"/>
      <c r="E510" s="38"/>
      <c r="H510" s="38"/>
      <c r="J510" s="38">
        <v>125</v>
      </c>
      <c r="P510" s="26">
        <f>SUM(D510:O510)</f>
        <v>125</v>
      </c>
    </row>
    <row r="511" spans="3:16" ht="13.5" thickBot="1">
      <c r="C511" s="4" t="str">
        <f>C505</f>
        <v>Intercept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32">
        <v>0</v>
      </c>
      <c r="P511" s="26">
        <f>SUM(D511:O511)</f>
        <v>0</v>
      </c>
    </row>
    <row r="512" spans="3:16" ht="13.5" thickBot="1">
      <c r="C512" s="6" t="s">
        <v>123</v>
      </c>
      <c r="D512" s="27">
        <f aca="true" t="shared" si="133" ref="D512:P512">SUM(D509:D511)</f>
        <v>0</v>
      </c>
      <c r="E512" s="27">
        <f t="shared" si="133"/>
        <v>0</v>
      </c>
      <c r="F512" s="27">
        <f t="shared" si="133"/>
        <v>0</v>
      </c>
      <c r="G512" s="27">
        <f t="shared" si="133"/>
        <v>0</v>
      </c>
      <c r="H512" s="27">
        <f t="shared" si="133"/>
        <v>0</v>
      </c>
      <c r="I512" s="27">
        <f t="shared" si="133"/>
        <v>0</v>
      </c>
      <c r="J512" s="27">
        <f t="shared" si="133"/>
        <v>125</v>
      </c>
      <c r="K512" s="27">
        <f t="shared" si="133"/>
        <v>0</v>
      </c>
      <c r="L512" s="27">
        <f t="shared" si="133"/>
        <v>0</v>
      </c>
      <c r="M512" s="27">
        <f t="shared" si="133"/>
        <v>0</v>
      </c>
      <c r="N512" s="27">
        <f t="shared" si="133"/>
        <v>0</v>
      </c>
      <c r="O512" s="33">
        <f t="shared" si="133"/>
        <v>0</v>
      </c>
      <c r="P512" s="37">
        <f t="shared" si="133"/>
        <v>125</v>
      </c>
    </row>
    <row r="513" spans="3:16" ht="12.75">
      <c r="C513" s="12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35"/>
      <c r="P513" s="28"/>
    </row>
    <row r="514" spans="1:3" ht="21">
      <c r="A514" s="16">
        <f>+A508+1</f>
        <v>73</v>
      </c>
      <c r="B514" s="21"/>
      <c r="C514" s="5" t="s">
        <v>180</v>
      </c>
    </row>
    <row r="515" spans="1:16" ht="12.75">
      <c r="A515" s="20"/>
      <c r="B515" s="20"/>
      <c r="C515" s="4" t="str">
        <f>C509</f>
        <v>Debt Reserve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32">
        <v>0</v>
      </c>
      <c r="P515" s="26">
        <f>SUM(D515:O515)</f>
        <v>0</v>
      </c>
    </row>
    <row r="516" spans="3:16" ht="12.75">
      <c r="C516" s="4" t="str">
        <f>C510</f>
        <v>Treasury Fee</v>
      </c>
      <c r="D516" s="38"/>
      <c r="E516" s="38"/>
      <c r="H516" s="38"/>
      <c r="J516" s="38"/>
      <c r="K516">
        <v>104.17</v>
      </c>
      <c r="P516" s="26">
        <f>SUM(D516:O516)</f>
        <v>104.17</v>
      </c>
    </row>
    <row r="517" spans="3:16" ht="13.5" thickBot="1">
      <c r="C517" s="4" t="str">
        <f>C511</f>
        <v>Intercept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32">
        <v>0</v>
      </c>
      <c r="P517" s="26">
        <f>SUM(D517:O517)</f>
        <v>0</v>
      </c>
    </row>
    <row r="518" spans="3:16" ht="13.5" thickBot="1">
      <c r="C518" s="6" t="s">
        <v>181</v>
      </c>
      <c r="D518" s="27">
        <f aca="true" t="shared" si="134" ref="D518:P518">SUM(D515:D517)</f>
        <v>0</v>
      </c>
      <c r="E518" s="27">
        <f t="shared" si="134"/>
        <v>0</v>
      </c>
      <c r="F518" s="27">
        <f t="shared" si="134"/>
        <v>0</v>
      </c>
      <c r="G518" s="27">
        <f t="shared" si="134"/>
        <v>0</v>
      </c>
      <c r="H518" s="27">
        <f t="shared" si="134"/>
        <v>0</v>
      </c>
      <c r="I518" s="27">
        <f t="shared" si="134"/>
        <v>0</v>
      </c>
      <c r="J518" s="27">
        <f t="shared" si="134"/>
        <v>0</v>
      </c>
      <c r="K518" s="27">
        <f t="shared" si="134"/>
        <v>104.17</v>
      </c>
      <c r="L518" s="27">
        <f t="shared" si="134"/>
        <v>0</v>
      </c>
      <c r="M518" s="27">
        <f t="shared" si="134"/>
        <v>0</v>
      </c>
      <c r="N518" s="27">
        <f t="shared" si="134"/>
        <v>0</v>
      </c>
      <c r="O518" s="33">
        <f t="shared" si="134"/>
        <v>0</v>
      </c>
      <c r="P518" s="37">
        <f t="shared" si="134"/>
        <v>104.17</v>
      </c>
    </row>
    <row r="519" spans="3:16" ht="12.75">
      <c r="C519" s="12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35"/>
      <c r="P519" s="28"/>
    </row>
    <row r="520" spans="1:3" ht="21">
      <c r="A520" s="16">
        <f>+A514+1</f>
        <v>74</v>
      </c>
      <c r="B520" s="44" t="s">
        <v>107</v>
      </c>
      <c r="C520" s="43" t="s">
        <v>182</v>
      </c>
    </row>
    <row r="521" spans="1:16" ht="12.75">
      <c r="A521" s="20"/>
      <c r="B521" s="20"/>
      <c r="C521" s="4" t="str">
        <f>C515</f>
        <v>Debt Reserve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1473.75</v>
      </c>
      <c r="M521" s="26">
        <v>1473.75</v>
      </c>
      <c r="N521" s="26">
        <v>1473.75</v>
      </c>
      <c r="O521" s="32">
        <v>1473.75</v>
      </c>
      <c r="P521" s="26">
        <f>SUM(D521:O521)</f>
        <v>5895</v>
      </c>
    </row>
    <row r="522" spans="3:16" ht="12.75">
      <c r="C522" s="4" t="str">
        <f>C516</f>
        <v>Treasury Fee</v>
      </c>
      <c r="D522" s="38"/>
      <c r="E522" s="38"/>
      <c r="H522" s="38"/>
      <c r="J522" s="38"/>
      <c r="L522" s="38">
        <v>83.33</v>
      </c>
      <c r="P522" s="26">
        <f>SUM(D522:O522)</f>
        <v>83.33</v>
      </c>
    </row>
    <row r="523" spans="3:16" ht="13.5" thickBot="1">
      <c r="C523" s="4" t="str">
        <f>C517</f>
        <v>Intercept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f>18333.33+60887.8</f>
        <v>79221.13</v>
      </c>
      <c r="M523" s="26">
        <f>18333.33+60887.8</f>
        <v>79221.13</v>
      </c>
      <c r="N523" s="26">
        <f>18333.33+60887.8</f>
        <v>79221.13</v>
      </c>
      <c r="O523" s="32">
        <f>39166.67+63582.29</f>
        <v>102748.95999999999</v>
      </c>
      <c r="P523" s="26">
        <f>SUM(D523:O523)</f>
        <v>340412.35</v>
      </c>
    </row>
    <row r="524" spans="3:16" ht="13.5" thickBot="1">
      <c r="C524" s="6" t="s">
        <v>136</v>
      </c>
      <c r="D524" s="27">
        <f aca="true" t="shared" si="135" ref="D524:P524">SUM(D521:D523)</f>
        <v>0</v>
      </c>
      <c r="E524" s="27">
        <f t="shared" si="135"/>
        <v>0</v>
      </c>
      <c r="F524" s="27">
        <f t="shared" si="135"/>
        <v>0</v>
      </c>
      <c r="G524" s="27">
        <f t="shared" si="135"/>
        <v>0</v>
      </c>
      <c r="H524" s="27">
        <f t="shared" si="135"/>
        <v>0</v>
      </c>
      <c r="I524" s="27">
        <f t="shared" si="135"/>
        <v>0</v>
      </c>
      <c r="J524" s="27">
        <f t="shared" si="135"/>
        <v>0</v>
      </c>
      <c r="K524" s="27">
        <f t="shared" si="135"/>
        <v>0</v>
      </c>
      <c r="L524" s="27">
        <f t="shared" si="135"/>
        <v>80778.21</v>
      </c>
      <c r="M524" s="27">
        <f t="shared" si="135"/>
        <v>80694.88</v>
      </c>
      <c r="N524" s="27">
        <f t="shared" si="135"/>
        <v>80694.88</v>
      </c>
      <c r="O524" s="33">
        <f t="shared" si="135"/>
        <v>104222.70999999999</v>
      </c>
      <c r="P524" s="37">
        <f t="shared" si="135"/>
        <v>346390.68</v>
      </c>
    </row>
    <row r="525" spans="3:16" ht="12.75">
      <c r="C525" s="12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35"/>
      <c r="P525" s="28"/>
    </row>
    <row r="526" spans="1:3" ht="21">
      <c r="A526" s="16">
        <f>+A520+1</f>
        <v>75</v>
      </c>
      <c r="B526" s="21"/>
      <c r="C526" s="5" t="s">
        <v>183</v>
      </c>
    </row>
    <row r="527" spans="1:16" ht="12.75">
      <c r="A527" s="20"/>
      <c r="B527" s="20"/>
      <c r="C527" s="4" t="str">
        <f>C521</f>
        <v>Debt Reserve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695.91</v>
      </c>
      <c r="O527" s="32">
        <v>695.91</v>
      </c>
      <c r="P527" s="26">
        <f>SUM(D527:O527)</f>
        <v>1391.82</v>
      </c>
    </row>
    <row r="528" spans="3:16" ht="12.75">
      <c r="C528" s="4" t="str">
        <f>C522</f>
        <v>Treasury Fee</v>
      </c>
      <c r="D528" s="38"/>
      <c r="E528" s="38"/>
      <c r="H528" s="38"/>
      <c r="J528" s="38"/>
      <c r="L528" s="38"/>
      <c r="N528" s="38">
        <v>41.67</v>
      </c>
      <c r="P528" s="26">
        <f>SUM(D528:O528)</f>
        <v>41.67</v>
      </c>
    </row>
    <row r="529" spans="3:16" ht="13.5" thickBot="1">
      <c r="C529" s="4" t="str">
        <f>C523</f>
        <v>Intercept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f>11000+27561.74</f>
        <v>38561.740000000005</v>
      </c>
      <c r="O529" s="32">
        <f>11000+27561.74</f>
        <v>38561.740000000005</v>
      </c>
      <c r="P529" s="26">
        <f>SUM(D529:O529)</f>
        <v>77123.48000000001</v>
      </c>
    </row>
    <row r="530" spans="3:16" ht="13.5" thickBot="1">
      <c r="C530" s="6" t="s">
        <v>184</v>
      </c>
      <c r="D530" s="27">
        <f aca="true" t="shared" si="136" ref="D530:P530">SUM(D527:D529)</f>
        <v>0</v>
      </c>
      <c r="E530" s="27">
        <f t="shared" si="136"/>
        <v>0</v>
      </c>
      <c r="F530" s="27">
        <f t="shared" si="136"/>
        <v>0</v>
      </c>
      <c r="G530" s="27">
        <f t="shared" si="136"/>
        <v>0</v>
      </c>
      <c r="H530" s="27">
        <f t="shared" si="136"/>
        <v>0</v>
      </c>
      <c r="I530" s="27">
        <f t="shared" si="136"/>
        <v>0</v>
      </c>
      <c r="J530" s="27">
        <f t="shared" si="136"/>
        <v>0</v>
      </c>
      <c r="K530" s="27">
        <f t="shared" si="136"/>
        <v>0</v>
      </c>
      <c r="L530" s="27">
        <f t="shared" si="136"/>
        <v>0</v>
      </c>
      <c r="M530" s="27">
        <f t="shared" si="136"/>
        <v>0</v>
      </c>
      <c r="N530" s="27">
        <f t="shared" si="136"/>
        <v>39299.32000000001</v>
      </c>
      <c r="O530" s="33">
        <f t="shared" si="136"/>
        <v>39257.65000000001</v>
      </c>
      <c r="P530" s="37">
        <f t="shared" si="136"/>
        <v>78556.97000000002</v>
      </c>
    </row>
    <row r="531" spans="3:16" ht="12.75">
      <c r="C531" s="12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35"/>
      <c r="P531" s="28"/>
    </row>
    <row r="532" ht="15.75">
      <c r="C532" s="5" t="s">
        <v>41</v>
      </c>
    </row>
    <row r="533" spans="3:16" ht="15.75">
      <c r="C533" s="4" t="s">
        <v>42</v>
      </c>
      <c r="D533" s="29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527)</f>
        <v>32444.949999999997</v>
      </c>
      <c r="E533" s="29">
        <f aca="true" t="shared" si="137" ref="E533:O533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527)</f>
        <v>33301.31</v>
      </c>
      <c r="F533" s="29">
        <f t="shared" si="137"/>
        <v>33227.56</v>
      </c>
      <c r="G533" s="29">
        <f t="shared" si="137"/>
        <v>33097.15</v>
      </c>
      <c r="H533" s="29">
        <f t="shared" si="137"/>
        <v>33045.909999999996</v>
      </c>
      <c r="I533" s="29">
        <f t="shared" si="137"/>
        <v>33005.08</v>
      </c>
      <c r="J533" s="29">
        <f t="shared" si="137"/>
        <v>32952.59</v>
      </c>
      <c r="K533" s="29">
        <f t="shared" si="137"/>
        <v>32952.59</v>
      </c>
      <c r="L533" s="29">
        <f t="shared" si="137"/>
        <v>32834.25</v>
      </c>
      <c r="M533" s="29">
        <f t="shared" si="137"/>
        <v>32758.01</v>
      </c>
      <c r="N533" s="29">
        <f t="shared" si="137"/>
        <v>33267.61</v>
      </c>
      <c r="O533" s="34">
        <f t="shared" si="137"/>
        <v>33116.36</v>
      </c>
      <c r="P533" s="29">
        <f>SUM(D533:O533)</f>
        <v>396003.37</v>
      </c>
    </row>
    <row r="534" spans="3:16" ht="15.75">
      <c r="C534" s="4" t="s">
        <v>43</v>
      </c>
      <c r="D534" s="29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528)</f>
        <v>16749.989999999998</v>
      </c>
      <c r="E534" s="29">
        <f aca="true" t="shared" si="138" ref="E534:O534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528)</f>
        <v>458.34</v>
      </c>
      <c r="F534" s="29">
        <f t="shared" si="138"/>
        <v>0</v>
      </c>
      <c r="G534" s="29">
        <f t="shared" si="138"/>
        <v>0</v>
      </c>
      <c r="H534" s="29">
        <f t="shared" si="138"/>
        <v>166.67</v>
      </c>
      <c r="I534" s="29">
        <f t="shared" si="138"/>
        <v>0</v>
      </c>
      <c r="J534" s="29">
        <f t="shared" si="138"/>
        <v>250</v>
      </c>
      <c r="K534" s="29">
        <f t="shared" si="138"/>
        <v>104.17</v>
      </c>
      <c r="L534" s="29">
        <f t="shared" si="138"/>
        <v>83.33</v>
      </c>
      <c r="M534" s="29">
        <f t="shared" si="138"/>
        <v>0</v>
      </c>
      <c r="N534" s="29">
        <f t="shared" si="138"/>
        <v>41.67</v>
      </c>
      <c r="O534" s="34">
        <f t="shared" si="138"/>
        <v>0</v>
      </c>
      <c r="P534" s="29">
        <f>SUM(D534:O534)</f>
        <v>17854.169999999995</v>
      </c>
    </row>
    <row r="535" spans="3:16" ht="15.75">
      <c r="C535" s="4" t="s">
        <v>44</v>
      </c>
      <c r="D535" s="29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529)</f>
        <v>3541166.5299999993</v>
      </c>
      <c r="E535" s="29">
        <f aca="true" t="shared" si="139" ref="E535:O536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529)</f>
        <v>3599576.139999999</v>
      </c>
      <c r="F535" s="29">
        <f t="shared" si="139"/>
        <v>3597378.9299999992</v>
      </c>
      <c r="G535" s="29">
        <f t="shared" si="139"/>
        <v>3598250.7299999995</v>
      </c>
      <c r="H535" s="29">
        <f t="shared" si="139"/>
        <v>3631891.079999999</v>
      </c>
      <c r="I535" s="29">
        <f t="shared" si="139"/>
        <v>3725211.17</v>
      </c>
      <c r="J535" s="29">
        <f t="shared" si="139"/>
        <v>3719076.6399999997</v>
      </c>
      <c r="K535" s="29">
        <f t="shared" si="139"/>
        <v>3719026.6399999997</v>
      </c>
      <c r="L535" s="29">
        <f t="shared" si="139"/>
        <v>3676443.55</v>
      </c>
      <c r="M535" s="29">
        <f t="shared" si="139"/>
        <v>3771486.2699999996</v>
      </c>
      <c r="N535" s="29">
        <f t="shared" si="139"/>
        <v>3888898.87</v>
      </c>
      <c r="O535" s="34">
        <f t="shared" si="139"/>
        <v>3969410.88</v>
      </c>
      <c r="P535" s="29">
        <f>SUM(D535:O535)</f>
        <v>44437817.43</v>
      </c>
    </row>
    <row r="536" spans="3:16" ht="15.75">
      <c r="C536" s="22" t="s">
        <v>45</v>
      </c>
      <c r="D536" s="29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530)</f>
        <v>3590361.4699999997</v>
      </c>
      <c r="E536" s="29">
        <f t="shared" si="139"/>
        <v>3633335.79</v>
      </c>
      <c r="F536" s="29">
        <f t="shared" si="139"/>
        <v>3630606.4899999998</v>
      </c>
      <c r="G536" s="29">
        <f t="shared" si="139"/>
        <v>3631347.8800000004</v>
      </c>
      <c r="H536" s="29">
        <f t="shared" si="139"/>
        <v>3665103.66</v>
      </c>
      <c r="I536" s="29">
        <f t="shared" si="139"/>
        <v>3758216.25</v>
      </c>
      <c r="J536" s="29">
        <f t="shared" si="139"/>
        <v>3752279.23</v>
      </c>
      <c r="K536" s="29">
        <f t="shared" si="139"/>
        <v>3752083.4000000004</v>
      </c>
      <c r="L536" s="29">
        <f t="shared" si="139"/>
        <v>3709361.1299999994</v>
      </c>
      <c r="M536" s="29">
        <f t="shared" si="139"/>
        <v>3804244.2800000003</v>
      </c>
      <c r="N536" s="29">
        <f t="shared" si="139"/>
        <v>3922208.1500000004</v>
      </c>
      <c r="O536" s="34">
        <f t="shared" si="139"/>
        <v>4002527.2399999993</v>
      </c>
      <c r="P536" s="29">
        <f>SUM(D536:O536)</f>
        <v>44851674.97</v>
      </c>
    </row>
    <row r="537" ht="12.75">
      <c r="C537" s="4"/>
    </row>
    <row r="538" spans="2:3" ht="21">
      <c r="B538" s="7" t="s">
        <v>108</v>
      </c>
      <c r="C538" s="23" t="s">
        <v>88</v>
      </c>
    </row>
    <row r="539" spans="2:3" ht="21">
      <c r="B539" s="9" t="s">
        <v>109</v>
      </c>
      <c r="C539" s="24" t="s">
        <v>65</v>
      </c>
    </row>
    <row r="540" spans="2:3" ht="21">
      <c r="B540" s="42" t="s">
        <v>107</v>
      </c>
      <c r="C540" s="46" t="s">
        <v>60</v>
      </c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Christel, Mary Lynn</cp:lastModifiedBy>
  <cp:lastPrinted>2005-05-31T15:38:03Z</cp:lastPrinted>
  <dcterms:created xsi:type="dcterms:W3CDTF">2005-05-31T15:34:27Z</dcterms:created>
  <dcterms:modified xsi:type="dcterms:W3CDTF">2013-06-13T17:56:21Z</dcterms:modified>
  <cp:category/>
  <cp:version/>
  <cp:contentType/>
  <cp:contentStatus/>
</cp:coreProperties>
</file>