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<sst xmlns="http://schemas.openxmlformats.org/spreadsheetml/2006/main" count="437" uniqueCount="249">
  <si>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</si>
  <si>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</si>
  <si>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</si>
  <si>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</si>
  <si>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</si>
  <si>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</si>
  <si>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</si>
  <si>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</si>
  <si>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</si>
  <si>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</si>
  <si>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</si>
  <si>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</si>
  <si>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</si>
  <si>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</si>
  <si>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</si>
  <si>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</si>
  <si>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</si>
  <si>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</si>
  <si>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</si>
  <si>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</si>
  <si>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</si>
  <si>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</si>
  <si>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</si>
  <si>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</si>
  <si>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</si>
  <si>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</si>
  <si>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</si>
  <si>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</si>
  <si>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</si>
  <si>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</si>
  <si>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</si>
  <si>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</si>
  <si>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</si>
  <si>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</si>
  <si>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</si>
  <si>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</si>
  <si>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</si>
  <si>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</si>
  <si>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</si>
  <si>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</si>
  <si>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</si>
  <si>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</si>
  <si>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</si>
  <si>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</si>
  <si>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</si>
  <si>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</si>
  <si>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</si>
  <si>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</si>
  <si>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</si>
  <si>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</si>
  <si>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</si>
  <si>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</si>
  <si>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</si>
  <si>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</si>
  <si>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</si>
  <si>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</si>
  <si>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</si>
  <si>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</si>
  <si>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</si>
  <si>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</si>
  <si>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</si>
  <si>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</si>
  <si>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</si>
  <si>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</si>
  <si>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</si>
  <si>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</si>
  <si>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</si>
  <si>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</si>
  <si>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</si>
  <si>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</si>
  <si>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</si>
  <si>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</si>
  <si>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</si>
  <si>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</si>
  <si>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</si>
  <si>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</si>
  <si>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</si>
  <si>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</si>
  <si>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</si>
  <si>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</si>
  <si>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</si>
  <si>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</si>
  <si>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</si>
  <si>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</si>
  <si>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</si>
  <si>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</si>
  <si>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</si>
  <si>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</si>
  <si>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</si>
  <si>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</si>
  <si>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</si>
  <si>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</si>
  <si>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</si>
  <si>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</si>
  <si>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</si>
  <si>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</si>
  <si>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</si>
  <si>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</si>
  <si>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</si>
  <si>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</si>
  <si>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</si>
  <si>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</si>
  <si>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</si>
  <si>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</si>
  <si>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</si>
  <si>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</si>
  <si>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</si>
  <si>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</si>
  <si>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</si>
  <si>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</si>
  <si>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</si>
  <si>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</si>
  <si>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</si>
  <si>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</si>
  <si>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</si>
  <si>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</si>
  <si>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</si>
  <si>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</si>
  <si>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</si>
  <si>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</si>
  <si>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</si>
  <si>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</si>
  <si>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</si>
  <si>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</si>
  <si>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</si>
  <si>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</si>
  <si>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</si>
  <si>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</si>
  <si>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</si>
  <si>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</si>
  <si>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</si>
  <si>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</si>
  <si>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</si>
  <si>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</si>
  <si>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</si>
  <si>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</si>
  <si>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</si>
  <si>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</si>
  <si>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</si>
  <si>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</si>
  <si>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</si>
  <si>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</si>
  <si>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</si>
  <si>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</si>
  <si>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</si>
  <si>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</si>
  <si>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</si>
  <si>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</si>
  <si>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</si>
  <si>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</si>
  <si>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</si>
  <si>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</si>
  <si>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</si>
  <si>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</si>
  <si>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</si>
  <si>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</si>
  <si>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</si>
  <si>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</si>
  <si>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</si>
  <si>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</si>
  <si>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</si>
  <si>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</si>
  <si>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</si>
  <si>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</si>
  <si>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</si>
  <si>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</si>
  <si>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</si>
  <si>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</si>
  <si>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</si>
  <si>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</si>
  <si>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</si>
  <si>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</si>
  <si>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</si>
  <si>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</si>
  <si>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</si>
  <si>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</si>
  <si>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</si>
  <si>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</si>
  <si>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</si>
  <si>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</si>
  <si>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</si>
  <si>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</si>
  <si>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</si>
  <si>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</si>
  <si>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</si>
  <si>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</si>
  <si>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</si>
  <si>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</si>
  <si>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</si>
  <si>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</si>
  <si>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</si>
  <si>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</si>
  <si>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</si>
  <si>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</si>
  <si>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</si>
  <si>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</si>
  <si>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</si>
  <si>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</si>
  <si>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</si>
  <si>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</si>
  <si>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</si>
  <si>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</si>
  <si>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</si>
  <si>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</si>
  <si>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</si>
  <si>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</si>
  <si>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Monument Academy (#35093108015A)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</si>
  <si>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</si>
  <si>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</si>
  <si>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</si>
  <si>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</si>
  <si>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</si>
  <si>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</si>
  <si>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</si>
  <si>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</si>
  <si>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</si>
  <si>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</si>
  <si>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North Star Academy (#1579090015A)</t>
  </si>
  <si>
    <t>Union Colony Charter School (#8965312015A)</t>
  </si>
  <si>
    <t>Salida Del Sol Academy (#8467312015A)</t>
  </si>
  <si>
    <t>Total for Salida Del Sol Academy</t>
  </si>
  <si>
    <t>Total FY 16</t>
  </si>
  <si>
    <t>Bromley East Charter School (#1052004016A)</t>
  </si>
  <si>
    <t>79A</t>
  </si>
  <si>
    <t>James Irwin Charter High School (#4378098016A)</t>
  </si>
  <si>
    <t>79B</t>
  </si>
  <si>
    <t>James Irwin Charter Middle School (#4378098016A)</t>
  </si>
  <si>
    <t>79C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</si>
  <si>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</si>
  <si>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</si>
  <si>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</si>
  <si>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</si>
  <si>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</si>
  <si>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</si>
  <si>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</si>
  <si>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</si>
  <si>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</si>
  <si>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</si>
  <si>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</si>
  <si>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</si>
  <si>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</si>
  <si>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</si>
  <si>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Intercepted $81,744.27 from Bromley East in Sep that was returned due to refunding of bonds. Putting that amount towards Oct &amp; Nov payments on new bonds.</t>
  </si>
  <si>
    <t>Bromley East's Oct intercept reduced from $70,620.48 to $0; using amount intercepted in Sep</t>
  </si>
  <si>
    <t>Bromley East's Nov intercept reduced from 73,107.43 to 61,983.64; using amount intercepted in Sep</t>
  </si>
  <si>
    <t>Vanguard School (#1582102016A)</t>
  </si>
  <si>
    <t>Total for Vanguard School</t>
  </si>
  <si>
    <t>STEM School (#5259090016A)</t>
  </si>
  <si>
    <t>Academy Charter School (#0011090016A)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</si>
</sst>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/>
    </xf>
    <xf numFmtId="43" fontId="3" fillId="36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 vertical="center"/>
    </xf>
    <xf numFmtId="43" fontId="3" fillId="36" borderId="0" xfId="0" applyNumberFormat="1" applyFont="1" applyFill="1" applyBorder="1" applyAlignment="1" quotePrefix="1">
      <alignment horizontal="left"/>
    </xf>
    <xf numFmtId="0" fontId="1" fillId="36" borderId="0" xfId="0" applyFont="1" applyFill="1" applyBorder="1" applyAlignment="1">
      <alignment horizontal="left"/>
    </xf>
    <xf numFmtId="43" fontId="3" fillId="37" borderId="0" xfId="0" applyNumberFormat="1" applyFont="1" applyFill="1" applyBorder="1" applyAlignment="1" quotePrefix="1">
      <alignment horizontal="left"/>
    </xf>
    <xf numFmtId="43" fontId="3" fillId="38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" fillId="39" borderId="0" xfId="0" applyNumberFormat="1" applyFont="1" applyFill="1" applyBorder="1" applyAlignment="1">
      <alignment/>
    </xf>
    <xf numFmtId="39" fontId="0" fillId="39" borderId="0" xfId="0" applyNumberFormat="1" applyFill="1" applyBorder="1" applyAlignment="1">
      <alignment/>
    </xf>
    <xf numFmtId="39" fontId="1" fillId="39" borderId="11" xfId="0" applyNumberFormat="1" applyFont="1" applyFill="1" applyBorder="1" applyAlignment="1">
      <alignment/>
    </xf>
    <xf numFmtId="39" fontId="3" fillId="39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0" fontId="6" fillId="38" borderId="0" xfId="0" applyFont="1" applyFill="1" applyAlignment="1">
      <alignment horizontal="right" vertical="center"/>
    </xf>
    <xf numFmtId="39" fontId="1" fillId="0" borderId="0" xfId="0" applyNumberFormat="1" applyFont="1" applyFill="1" applyBorder="1" applyAlignment="1">
      <alignment/>
    </xf>
    <xf numFmtId="39" fontId="1" fillId="39" borderId="0" xfId="0" applyNumberFormat="1" applyFont="1" applyFill="1" applyBorder="1" applyAlignment="1">
      <alignment/>
    </xf>
    <xf numFmtId="0" fontId="1" fillId="0" borderId="0" xfId="0" applyFont="1" applyFill="1" applyAlignment="1">
      <alignment vertical="top" wrapText="1"/>
    </xf>
    <xf numFmtId="0" fontId="1" fillId="12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top" wrapText="1"/>
    </xf>
    <xf numFmtId="43" fontId="0" fillId="0" borderId="0" xfId="42" applyFont="1" applyAlignment="1">
      <alignment/>
    </xf>
    <xf numFmtId="43" fontId="0" fillId="39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3"/>
  <sheetViews>
    <sheetView tabSelected="1" zoomScale="75" zoomScaleNormal="75" zoomScalePageLayoutView="0" workbookViewId="0" topLeftCell="A1">
      <pane xSplit="3" ySplit="2" topLeftCell="P76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804" sqref="U804"/>
    </sheetView>
  </sheetViews>
  <sheetFormatPr defaultColWidth="9.14062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4" width="21.57421875" style="0" bestFit="1" customWidth="1"/>
    <col min="5" max="5" width="21.00390625" style="0" bestFit="1" customWidth="1"/>
    <col min="6" max="6" width="21.57421875" style="0" bestFit="1" customWidth="1"/>
    <col min="7" max="8" width="21.8515625" style="0" bestFit="1" customWidth="1"/>
    <col min="9" max="9" width="21.7109375" style="0" bestFit="1" customWidth="1"/>
    <col min="10" max="10" width="21.57421875" style="0" bestFit="1" customWidth="1"/>
    <col min="11" max="11" width="21.00390625" style="0" bestFit="1" customWidth="1"/>
    <col min="12" max="12" width="21.57421875" style="0" bestFit="1" customWidth="1"/>
    <col min="13" max="14" width="21.8515625" style="0" bestFit="1" customWidth="1"/>
    <col min="15" max="17" width="21.7109375" style="0" bestFit="1" customWidth="1"/>
    <col min="18" max="19" width="21.57421875" style="0" bestFit="1" customWidth="1"/>
    <col min="20" max="20" width="21.28125" style="0" bestFit="1" customWidth="1"/>
    <col min="21" max="21" width="21.57421875" style="38" bestFit="1" customWidth="1"/>
    <col min="22" max="22" width="23.00390625" style="44" bestFit="1" customWidth="1"/>
    <col min="23" max="29" width="16.28125" style="0" customWidth="1"/>
    <col min="30" max="53" width="16.00390625" style="0" bestFit="1" customWidth="1"/>
    <col min="54" max="54" width="18.28125" style="0" bestFit="1" customWidth="1"/>
    <col min="55" max="55" width="18.421875" style="0" bestFit="1" customWidth="1"/>
    <col min="56" max="56" width="18.28125" style="0" bestFit="1" customWidth="1"/>
    <col min="57" max="57" width="18.421875" style="0" bestFit="1" customWidth="1"/>
    <col min="58" max="58" width="18.57421875" style="0" bestFit="1" customWidth="1"/>
    <col min="59" max="59" width="18.421875" style="0" bestFit="1" customWidth="1"/>
    <col min="60" max="60" width="22.140625" style="0" bestFit="1" customWidth="1"/>
    <col min="61" max="61" width="18.28125" style="0" bestFit="1" customWidth="1"/>
    <col min="62" max="62" width="18.421875" style="0" bestFit="1" customWidth="1"/>
    <col min="63" max="63" width="18.57421875" style="0" bestFit="1" customWidth="1"/>
    <col min="64" max="64" width="18.421875" style="0" bestFit="1" customWidth="1"/>
    <col min="65" max="65" width="22.140625" style="0" bestFit="1" customWidth="1"/>
    <col min="66" max="66" width="18.28125" style="0" bestFit="1" customWidth="1"/>
    <col min="67" max="67" width="18.421875" style="0" bestFit="1" customWidth="1"/>
    <col min="68" max="68" width="18.57421875" style="0" bestFit="1" customWidth="1"/>
    <col min="69" max="69" width="18.421875" style="0" bestFit="1" customWidth="1"/>
    <col min="70" max="70" width="18.28125" style="0" bestFit="1" customWidth="1"/>
    <col min="71" max="71" width="18.421875" style="0" bestFit="1" customWidth="1"/>
    <col min="72" max="72" width="18.57421875" style="0" bestFit="1" customWidth="1"/>
    <col min="73" max="73" width="18.421875" style="0" bestFit="1" customWidth="1"/>
    <col min="74" max="74" width="22.140625" style="0" bestFit="1" customWidth="1"/>
    <col min="75" max="75" width="21.28125" style="0" bestFit="1" customWidth="1"/>
    <col min="76" max="76" width="18.28125" style="0" bestFit="1" customWidth="1"/>
    <col min="77" max="77" width="18.421875" style="0" bestFit="1" customWidth="1"/>
    <col min="78" max="78" width="18.57421875" style="0" bestFit="1" customWidth="1"/>
    <col min="79" max="79" width="18.421875" style="0" bestFit="1" customWidth="1"/>
    <col min="80" max="80" width="22.140625" style="0" bestFit="1" customWidth="1"/>
    <col min="81" max="82" width="21.28125" style="0" bestFit="1" customWidth="1"/>
    <col min="83" max="84" width="20.57421875" style="0" bestFit="1" customWidth="1"/>
    <col min="85" max="87" width="21.28125" style="0" bestFit="1" customWidth="1"/>
    <col min="88" max="93" width="16.00390625" style="0" bestFit="1" customWidth="1"/>
    <col min="94" max="94" width="17.28125" style="0" bestFit="1" customWidth="1"/>
  </cols>
  <sheetData>
    <row r="1" ht="37.5">
      <c r="C1" s="2" t="s">
        <v>0</v>
      </c>
    </row>
    <row r="2" spans="3:22" ht="15.75">
      <c r="C2" s="3" t="s">
        <v>1</v>
      </c>
      <c r="J2" s="25">
        <v>42186</v>
      </c>
      <c r="K2" s="25">
        <v>42217</v>
      </c>
      <c r="L2" s="25">
        <v>42248</v>
      </c>
      <c r="M2" s="25">
        <v>42278</v>
      </c>
      <c r="N2" s="25">
        <v>42309</v>
      </c>
      <c r="O2" s="25">
        <v>42339</v>
      </c>
      <c r="P2" s="25">
        <v>42370</v>
      </c>
      <c r="Q2" s="25">
        <v>42401</v>
      </c>
      <c r="R2" s="25">
        <v>42430</v>
      </c>
      <c r="S2" s="25">
        <v>42461</v>
      </c>
      <c r="T2" s="25">
        <v>42491</v>
      </c>
      <c r="U2" s="39">
        <v>42522</v>
      </c>
      <c r="V2" s="29" t="s">
        <v>221</v>
      </c>
    </row>
    <row r="3" ht="12.75">
      <c r="C3" s="4"/>
    </row>
    <row r="4" spans="2:3" ht="21">
      <c r="B4" s="9" t="s">
        <v>105</v>
      </c>
      <c r="C4" s="30" t="s">
        <v>2</v>
      </c>
    </row>
    <row r="5" ht="12.75">
      <c r="C5" s="4" t="s">
        <v>3</v>
      </c>
    </row>
    <row r="6" ht="12.75">
      <c r="C6" s="4" t="s">
        <v>4</v>
      </c>
    </row>
    <row r="7" ht="13.5" thickBot="1">
      <c r="C7" s="4" t="s">
        <v>5</v>
      </c>
    </row>
    <row r="8" ht="13.5" thickBot="1">
      <c r="C8" s="6" t="s">
        <v>6</v>
      </c>
    </row>
    <row r="9" ht="12.75">
      <c r="C9" s="4"/>
    </row>
    <row r="10" spans="2:3" ht="21">
      <c r="B10" s="9" t="s">
        <v>105</v>
      </c>
      <c r="C10" s="10" t="s">
        <v>7</v>
      </c>
    </row>
    <row r="11" ht="12.75">
      <c r="C11" s="4" t="str">
        <f>C5</f>
        <v>Debt Reserve</v>
      </c>
    </row>
    <row r="12" ht="12.75">
      <c r="C12" s="4" t="str">
        <f>C6</f>
        <v>Treasury Fee</v>
      </c>
    </row>
    <row r="13" ht="13.5" thickBot="1">
      <c r="C13" s="4" t="str">
        <f>C7</f>
        <v>Intercept</v>
      </c>
    </row>
    <row r="14" ht="13.5" thickBot="1">
      <c r="C14" s="6" t="s">
        <v>8</v>
      </c>
    </row>
    <row r="15" ht="12.75">
      <c r="C15" s="4"/>
    </row>
    <row r="16" spans="2:3" ht="21">
      <c r="B16" s="7" t="s">
        <v>104</v>
      </c>
      <c r="C16" s="8" t="s">
        <v>9</v>
      </c>
    </row>
    <row r="17" ht="12.75">
      <c r="C17" s="4" t="str">
        <f>C11</f>
        <v>Debt Reserve</v>
      </c>
    </row>
    <row r="18" ht="12.75">
      <c r="C18" s="4" t="str">
        <f>C12</f>
        <v>Treasury Fee</v>
      </c>
    </row>
    <row r="19" ht="13.5" thickBot="1">
      <c r="C19" s="4" t="str">
        <f>C13</f>
        <v>Intercept</v>
      </c>
    </row>
    <row r="20" ht="13.5" thickBot="1">
      <c r="C20" s="6" t="s">
        <v>10</v>
      </c>
    </row>
    <row r="21" ht="12.75">
      <c r="C21" s="4"/>
    </row>
    <row r="22" spans="2:3" ht="21">
      <c r="B22" s="7" t="s">
        <v>104</v>
      </c>
      <c r="C22" s="8" t="s">
        <v>54</v>
      </c>
    </row>
    <row r="23" ht="12.75">
      <c r="C23" s="4" t="str">
        <f>C17</f>
        <v>Debt Reserve</v>
      </c>
    </row>
    <row r="24" ht="12.75">
      <c r="C24" s="4" t="str">
        <f>C18</f>
        <v>Treasury Fee</v>
      </c>
    </row>
    <row r="25" ht="13.5" thickBot="1">
      <c r="C25" s="4" t="str">
        <f>C19</f>
        <v>Intercept</v>
      </c>
    </row>
    <row r="26" ht="13.5" thickBot="1">
      <c r="C26" s="6" t="s">
        <v>11</v>
      </c>
    </row>
    <row r="27" ht="12.75">
      <c r="C27" s="4"/>
    </row>
    <row r="28" spans="1:20" ht="21">
      <c r="A28" s="20"/>
      <c r="B28" s="9" t="s">
        <v>105</v>
      </c>
      <c r="C28" s="30" t="s">
        <v>125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ht="12.75">
      <c r="A29" s="20"/>
      <c r="B29" s="20"/>
      <c r="C29" s="4" t="str">
        <f>C23</f>
        <v>Debt Reserve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ht="12.75">
      <c r="A30" s="20"/>
      <c r="B30" s="20"/>
      <c r="C30" s="4" t="str">
        <f>C24</f>
        <v>Treasury Fee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ht="13.5" thickBot="1">
      <c r="A31" s="20"/>
      <c r="B31" s="20"/>
      <c r="C31" s="4" t="str">
        <f>C25</f>
        <v>Intercept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3.5" thickBot="1">
      <c r="A32" s="20"/>
      <c r="B32" s="20"/>
      <c r="C32" s="6" t="s">
        <v>124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ht="12.75">
      <c r="C33" s="4"/>
    </row>
    <row r="34" spans="2:3" ht="21">
      <c r="B34" s="9" t="s">
        <v>105</v>
      </c>
      <c r="C34" s="30" t="s">
        <v>12</v>
      </c>
    </row>
    <row r="35" ht="12.75">
      <c r="C35" s="4" t="str">
        <f>C29</f>
        <v>Debt Reserve</v>
      </c>
    </row>
    <row r="36" ht="12.75">
      <c r="C36" s="4" t="str">
        <f>C30</f>
        <v>Treasury Fee</v>
      </c>
    </row>
    <row r="37" ht="13.5" thickBot="1">
      <c r="C37" s="4" t="str">
        <f>C31</f>
        <v>Intercept</v>
      </c>
    </row>
    <row r="38" ht="13.5" thickBot="1">
      <c r="C38" s="6" t="s">
        <v>13</v>
      </c>
    </row>
    <row r="39" ht="12.75">
      <c r="C39" s="4"/>
    </row>
    <row r="40" spans="2:3" ht="21">
      <c r="B40" s="9" t="s">
        <v>105</v>
      </c>
      <c r="C40" s="10" t="s">
        <v>14</v>
      </c>
    </row>
    <row r="41" ht="12.75">
      <c r="C41" s="4" t="str">
        <f>C35</f>
        <v>Debt Reserve</v>
      </c>
    </row>
    <row r="42" ht="12.75">
      <c r="C42" s="4" t="str">
        <f>C36</f>
        <v>Treasury Fee</v>
      </c>
    </row>
    <row r="43" ht="13.5" thickBot="1">
      <c r="C43" s="4" t="str">
        <f>C37</f>
        <v>Intercept</v>
      </c>
    </row>
    <row r="44" ht="13.5" thickBot="1">
      <c r="C44" s="6" t="s">
        <v>15</v>
      </c>
    </row>
    <row r="45" ht="12.75">
      <c r="C45" s="4"/>
    </row>
    <row r="46" spans="2:3" ht="21">
      <c r="B46" s="9" t="s">
        <v>105</v>
      </c>
      <c r="C46" s="11" t="s">
        <v>87</v>
      </c>
    </row>
    <row r="47" ht="12.75">
      <c r="C47" s="4" t="str">
        <f>C41</f>
        <v>Debt Reserve</v>
      </c>
    </row>
    <row r="48" ht="12.75">
      <c r="C48" s="4" t="str">
        <f>C42</f>
        <v>Treasury Fee</v>
      </c>
    </row>
    <row r="49" ht="13.5" thickBot="1">
      <c r="C49" s="4" t="str">
        <f>C43</f>
        <v>Intercept</v>
      </c>
    </row>
    <row r="50" ht="13.5" thickBot="1">
      <c r="C50" s="6" t="s">
        <v>16</v>
      </c>
    </row>
    <row r="51" ht="12.75">
      <c r="C51" s="4"/>
    </row>
    <row r="52" spans="2:3" ht="21">
      <c r="B52" s="9" t="s">
        <v>105</v>
      </c>
      <c r="C52" s="10" t="s">
        <v>17</v>
      </c>
    </row>
    <row r="53" ht="12.75">
      <c r="C53" s="4" t="str">
        <f>C47</f>
        <v>Debt Reserve</v>
      </c>
    </row>
    <row r="54" ht="12.75">
      <c r="C54" s="4" t="str">
        <f>C48</f>
        <v>Treasury Fee</v>
      </c>
    </row>
    <row r="55" ht="13.5" thickBot="1">
      <c r="C55" s="4" t="str">
        <f>C49</f>
        <v>Intercept</v>
      </c>
    </row>
    <row r="56" ht="13.5" thickBot="1">
      <c r="C56" s="6" t="s">
        <v>18</v>
      </c>
    </row>
    <row r="57" ht="12.75">
      <c r="C57" s="4"/>
    </row>
    <row r="58" spans="1:3" ht="15.75">
      <c r="A58" s="1">
        <v>1</v>
      </c>
      <c r="C58" s="5" t="s">
        <v>137</v>
      </c>
    </row>
    <row r="59" spans="3:22" ht="12.75">
      <c r="C59" s="4" t="str">
        <f>C53</f>
        <v>Debt Reserve</v>
      </c>
      <c r="J59" s="26">
        <v>316.25</v>
      </c>
      <c r="K59" s="26">
        <v>316.25</v>
      </c>
      <c r="L59" s="26">
        <v>316.25</v>
      </c>
      <c r="M59" s="26">
        <v>316.25</v>
      </c>
      <c r="N59" s="26">
        <v>316.25</v>
      </c>
      <c r="O59" s="26">
        <v>316.25</v>
      </c>
      <c r="P59" s="26">
        <v>316.25</v>
      </c>
      <c r="Q59" s="26">
        <v>316.25</v>
      </c>
      <c r="R59" s="26">
        <v>316.25</v>
      </c>
      <c r="S59" s="26">
        <v>306.67</v>
      </c>
      <c r="T59" s="26">
        <v>306.67</v>
      </c>
      <c r="U59" s="40">
        <v>306.67</v>
      </c>
      <c r="V59" s="26">
        <f>SUM(J59:U59)</f>
        <v>3766.26</v>
      </c>
    </row>
    <row r="60" spans="3:22" ht="12.75">
      <c r="C60" s="4" t="str">
        <f>C54</f>
        <v>Treasury Fee</v>
      </c>
      <c r="J60" s="52">
        <v>250</v>
      </c>
      <c r="V60" s="26">
        <f>SUM(J60:U60)</f>
        <v>250</v>
      </c>
    </row>
    <row r="61" spans="3:22" ht="13.5" thickBot="1">
      <c r="C61" s="4" t="str">
        <f>C55</f>
        <v>Intercept</v>
      </c>
      <c r="J61" s="26">
        <f>9583.33+16057.29</f>
        <v>25640.620000000003</v>
      </c>
      <c r="K61" s="26">
        <f>9583.33+16057.29</f>
        <v>25640.620000000003</v>
      </c>
      <c r="L61" s="26">
        <f>9583.33+16057.29</f>
        <v>25640.620000000003</v>
      </c>
      <c r="M61" s="26">
        <f>9583.33+16057.29</f>
        <v>25640.620000000003</v>
      </c>
      <c r="N61" s="26">
        <f>10000+15578.13</f>
        <v>25578.129999999997</v>
      </c>
      <c r="O61" s="26">
        <f aca="true" t="shared" si="0" ref="O61:V61">10000+15578.13</f>
        <v>25578.129999999997</v>
      </c>
      <c r="P61" s="26">
        <f t="shared" si="0"/>
        <v>25578.129999999997</v>
      </c>
      <c r="Q61" s="26">
        <f t="shared" si="0"/>
        <v>25578.129999999997</v>
      </c>
      <c r="R61" s="26">
        <f t="shared" si="0"/>
        <v>25578.129999999997</v>
      </c>
      <c r="S61" s="26">
        <f t="shared" si="0"/>
        <v>25578.129999999997</v>
      </c>
      <c r="T61" s="26">
        <f t="shared" si="0"/>
        <v>25578.129999999997</v>
      </c>
      <c r="U61" s="40">
        <f t="shared" si="0"/>
        <v>25578.129999999997</v>
      </c>
      <c r="V61" s="26">
        <f>SUM(J61:U61)</f>
        <v>307187.52</v>
      </c>
    </row>
    <row r="62" spans="3:22" ht="13.5" thickBot="1">
      <c r="C62" s="6" t="s">
        <v>138</v>
      </c>
      <c r="J62" s="27">
        <f aca="true" t="shared" si="1" ref="J62:V62">SUM(J59:J61)</f>
        <v>26206.870000000003</v>
      </c>
      <c r="K62" s="27">
        <f t="shared" si="1"/>
        <v>25956.870000000003</v>
      </c>
      <c r="L62" s="27">
        <f t="shared" si="1"/>
        <v>25956.870000000003</v>
      </c>
      <c r="M62" s="27">
        <f t="shared" si="1"/>
        <v>25956.870000000003</v>
      </c>
      <c r="N62" s="27">
        <f t="shared" si="1"/>
        <v>25894.379999999997</v>
      </c>
      <c r="O62" s="27">
        <f t="shared" si="1"/>
        <v>25894.379999999997</v>
      </c>
      <c r="P62" s="27">
        <f t="shared" si="1"/>
        <v>25894.379999999997</v>
      </c>
      <c r="Q62" s="27">
        <f t="shared" si="1"/>
        <v>25894.379999999997</v>
      </c>
      <c r="R62" s="27">
        <f t="shared" si="1"/>
        <v>25894.379999999997</v>
      </c>
      <c r="S62" s="27">
        <f t="shared" si="1"/>
        <v>25884.799999999996</v>
      </c>
      <c r="T62" s="27">
        <f t="shared" si="1"/>
        <v>25884.799999999996</v>
      </c>
      <c r="U62" s="41">
        <f t="shared" si="1"/>
        <v>25884.799999999996</v>
      </c>
      <c r="V62" s="27">
        <f t="shared" si="1"/>
        <v>311203.78</v>
      </c>
    </row>
    <row r="63" ht="12.75">
      <c r="C63" s="4"/>
    </row>
    <row r="64" spans="2:3" ht="21">
      <c r="B64" s="9" t="s">
        <v>105</v>
      </c>
      <c r="C64" s="10" t="s">
        <v>19</v>
      </c>
    </row>
    <row r="65" ht="12.75">
      <c r="C65" s="4" t="str">
        <f>C59</f>
        <v>Debt Reserve</v>
      </c>
    </row>
    <row r="66" ht="12.75">
      <c r="C66" s="4" t="str">
        <f>C60</f>
        <v>Treasury Fee</v>
      </c>
    </row>
    <row r="67" ht="13.5" thickBot="1">
      <c r="C67" s="4" t="str">
        <f>C61</f>
        <v>Intercept</v>
      </c>
    </row>
    <row r="68" ht="13.5" thickBot="1">
      <c r="C68" s="6" t="s">
        <v>20</v>
      </c>
    </row>
    <row r="69" ht="12.75">
      <c r="C69" s="4"/>
    </row>
    <row r="70" spans="2:3" ht="21">
      <c r="B70" s="9" t="s">
        <v>105</v>
      </c>
      <c r="C70" s="30" t="s">
        <v>21</v>
      </c>
    </row>
    <row r="71" ht="12.75">
      <c r="C71" s="4" t="str">
        <f>C65</f>
        <v>Debt Reserve</v>
      </c>
    </row>
    <row r="72" ht="12.75">
      <c r="C72" s="4" t="str">
        <f>C66</f>
        <v>Treasury Fee</v>
      </c>
    </row>
    <row r="73" ht="13.5" thickBot="1">
      <c r="C73" s="4" t="str">
        <f>C67</f>
        <v>Intercept</v>
      </c>
    </row>
    <row r="74" ht="13.5" thickBot="1">
      <c r="C74" s="6" t="s">
        <v>22</v>
      </c>
    </row>
    <row r="75" ht="12.75">
      <c r="C75" s="4"/>
    </row>
    <row r="76" spans="1:3" ht="15.75">
      <c r="A76" s="1">
        <f>A58+1</f>
        <v>2</v>
      </c>
      <c r="C76" s="5" t="s">
        <v>23</v>
      </c>
    </row>
    <row r="77" spans="3:22" ht="12.75">
      <c r="C77" s="4" t="str">
        <f>C71</f>
        <v>Debt Reserve</v>
      </c>
      <c r="J77" s="26">
        <v>504.58</v>
      </c>
      <c r="K77" s="26">
        <v>504.58</v>
      </c>
      <c r="L77" s="26">
        <v>504.58</v>
      </c>
      <c r="M77" s="26">
        <v>504.58</v>
      </c>
      <c r="N77" s="26">
        <v>504.58</v>
      </c>
      <c r="O77" s="26">
        <v>504.58</v>
      </c>
      <c r="P77" s="26">
        <v>504.58</v>
      </c>
      <c r="Q77" s="26">
        <v>504.58</v>
      </c>
      <c r="R77" s="26">
        <v>504.58</v>
      </c>
      <c r="S77" s="26">
        <v>504.58</v>
      </c>
      <c r="T77" s="26">
        <v>483.33</v>
      </c>
      <c r="U77" s="40">
        <v>483.33</v>
      </c>
      <c r="V77" s="26">
        <f>SUM(J77:U77)</f>
        <v>6012.46</v>
      </c>
    </row>
    <row r="78" spans="3:22" ht="12.75">
      <c r="C78" s="4" t="str">
        <f>C72</f>
        <v>Treasury Fee</v>
      </c>
      <c r="J78" s="52">
        <v>250</v>
      </c>
      <c r="V78" s="26">
        <f>SUM(J78:U78)</f>
        <v>250</v>
      </c>
    </row>
    <row r="79" spans="3:22" ht="13.5" thickBot="1">
      <c r="C79" s="4" t="str">
        <f>C73</f>
        <v>Intercept</v>
      </c>
      <c r="J79" s="26">
        <f aca="true" t="shared" si="2" ref="J79:T79">21250+25586.46</f>
        <v>46836.46</v>
      </c>
      <c r="K79" s="26">
        <f t="shared" si="2"/>
        <v>46836.46</v>
      </c>
      <c r="L79" s="26">
        <f t="shared" si="2"/>
        <v>46836.46</v>
      </c>
      <c r="M79" s="26">
        <f t="shared" si="2"/>
        <v>46836.46</v>
      </c>
      <c r="N79" s="26">
        <f t="shared" si="2"/>
        <v>46836.46</v>
      </c>
      <c r="O79" s="26">
        <f t="shared" si="2"/>
        <v>46836.46</v>
      </c>
      <c r="P79" s="26">
        <f t="shared" si="2"/>
        <v>46836.46</v>
      </c>
      <c r="Q79" s="26">
        <f t="shared" si="2"/>
        <v>46836.46</v>
      </c>
      <c r="R79" s="26">
        <f t="shared" si="2"/>
        <v>46836.46</v>
      </c>
      <c r="S79" s="26">
        <f t="shared" si="2"/>
        <v>46836.46</v>
      </c>
      <c r="T79" s="26">
        <f t="shared" si="2"/>
        <v>46836.46</v>
      </c>
      <c r="U79" s="40">
        <f>22500+24523.96</f>
        <v>47023.96</v>
      </c>
      <c r="V79" s="26">
        <f>SUM(J79:U79)</f>
        <v>562225.0200000001</v>
      </c>
    </row>
    <row r="80" spans="3:22" ht="13.5" thickBot="1">
      <c r="C80" s="6" t="s">
        <v>24</v>
      </c>
      <c r="J80" s="27">
        <f aca="true" t="shared" si="3" ref="J80:V80">SUM(J77:J79)</f>
        <v>47591.04</v>
      </c>
      <c r="K80" s="27">
        <f t="shared" si="3"/>
        <v>47341.04</v>
      </c>
      <c r="L80" s="27">
        <f t="shared" si="3"/>
        <v>47341.04</v>
      </c>
      <c r="M80" s="27">
        <f t="shared" si="3"/>
        <v>47341.04</v>
      </c>
      <c r="N80" s="27">
        <f t="shared" si="3"/>
        <v>47341.04</v>
      </c>
      <c r="O80" s="27">
        <f t="shared" si="3"/>
        <v>47341.04</v>
      </c>
      <c r="P80" s="27">
        <f t="shared" si="3"/>
        <v>47341.04</v>
      </c>
      <c r="Q80" s="27">
        <f t="shared" si="3"/>
        <v>47341.04</v>
      </c>
      <c r="R80" s="27">
        <f t="shared" si="3"/>
        <v>47341.04</v>
      </c>
      <c r="S80" s="27">
        <f t="shared" si="3"/>
        <v>47341.04</v>
      </c>
      <c r="T80" s="27">
        <f t="shared" si="3"/>
        <v>47319.79</v>
      </c>
      <c r="U80" s="41">
        <f t="shared" si="3"/>
        <v>47507.29</v>
      </c>
      <c r="V80" s="27">
        <f t="shared" si="3"/>
        <v>568487.4800000001</v>
      </c>
    </row>
    <row r="81" ht="12.75">
      <c r="C81" s="12"/>
    </row>
    <row r="82" spans="1:3" ht="15.75">
      <c r="A82" s="1">
        <f>A76+1</f>
        <v>3</v>
      </c>
      <c r="C82" s="5" t="s">
        <v>25</v>
      </c>
    </row>
    <row r="83" spans="3:22" ht="12.75">
      <c r="C83" s="4" t="str">
        <f>C77</f>
        <v>Debt Reserve</v>
      </c>
      <c r="J83" s="26">
        <v>1475</v>
      </c>
      <c r="K83" s="26">
        <v>1475</v>
      </c>
      <c r="L83" s="26">
        <v>1475</v>
      </c>
      <c r="M83" s="26">
        <v>1475</v>
      </c>
      <c r="N83" s="26">
        <v>1475</v>
      </c>
      <c r="O83" s="26">
        <v>1475</v>
      </c>
      <c r="P83" s="26">
        <v>1475</v>
      </c>
      <c r="Q83" s="26">
        <v>1475</v>
      </c>
      <c r="R83" s="26">
        <v>1475</v>
      </c>
      <c r="S83" s="26">
        <v>1475</v>
      </c>
      <c r="T83" s="26">
        <v>1435</v>
      </c>
      <c r="U83" s="40">
        <v>1435</v>
      </c>
      <c r="V83" s="26">
        <f>SUM(J83:U83)</f>
        <v>17620</v>
      </c>
    </row>
    <row r="84" spans="3:22" ht="12.75">
      <c r="C84" s="4" t="str">
        <f>C78</f>
        <v>Treasury Fee</v>
      </c>
      <c r="J84" s="52">
        <v>250</v>
      </c>
      <c r="V84" s="26">
        <f>SUM(J84:U84)</f>
        <v>250</v>
      </c>
    </row>
    <row r="85" spans="3:22" ht="13.5" thickBot="1">
      <c r="C85" s="4" t="str">
        <f>C79</f>
        <v>Intercept</v>
      </c>
      <c r="J85" s="26">
        <f aca="true" t="shared" si="4" ref="J85:S85">40000+79113.54</f>
        <v>119113.54</v>
      </c>
      <c r="K85" s="26">
        <f t="shared" si="4"/>
        <v>119113.54</v>
      </c>
      <c r="L85" s="26">
        <f t="shared" si="4"/>
        <v>119113.54</v>
      </c>
      <c r="M85" s="26">
        <f t="shared" si="4"/>
        <v>119113.54</v>
      </c>
      <c r="N85" s="26">
        <f t="shared" si="4"/>
        <v>119113.54</v>
      </c>
      <c r="O85" s="26">
        <f t="shared" si="4"/>
        <v>119113.54</v>
      </c>
      <c r="P85" s="26">
        <f t="shared" si="4"/>
        <v>119113.54</v>
      </c>
      <c r="Q85" s="26">
        <f t="shared" si="4"/>
        <v>119113.54</v>
      </c>
      <c r="R85" s="26">
        <f t="shared" si="4"/>
        <v>119113.54</v>
      </c>
      <c r="S85" s="26">
        <f t="shared" si="4"/>
        <v>119113.54</v>
      </c>
      <c r="T85" s="26">
        <f>42083.33+77013.54</f>
        <v>119096.87</v>
      </c>
      <c r="U85" s="40">
        <f>42083.33+77013.54</f>
        <v>119096.87</v>
      </c>
      <c r="V85" s="26">
        <f>SUM(J85:U85)</f>
        <v>1429329.1400000001</v>
      </c>
    </row>
    <row r="86" spans="3:22" ht="13.5" thickBot="1">
      <c r="C86" s="6" t="s">
        <v>26</v>
      </c>
      <c r="J86" s="27">
        <f aca="true" t="shared" si="5" ref="J86:V86">SUM(J83:J85)</f>
        <v>120838.54</v>
      </c>
      <c r="K86" s="27">
        <f t="shared" si="5"/>
        <v>120588.54</v>
      </c>
      <c r="L86" s="27">
        <f t="shared" si="5"/>
        <v>120588.54</v>
      </c>
      <c r="M86" s="27">
        <f t="shared" si="5"/>
        <v>120588.54</v>
      </c>
      <c r="N86" s="27">
        <f t="shared" si="5"/>
        <v>120588.54</v>
      </c>
      <c r="O86" s="27">
        <f t="shared" si="5"/>
        <v>120588.54</v>
      </c>
      <c r="P86" s="27">
        <f t="shared" si="5"/>
        <v>120588.54</v>
      </c>
      <c r="Q86" s="27">
        <f t="shared" si="5"/>
        <v>120588.54</v>
      </c>
      <c r="R86" s="27">
        <f t="shared" si="5"/>
        <v>120588.54</v>
      </c>
      <c r="S86" s="27">
        <f t="shared" si="5"/>
        <v>120588.54</v>
      </c>
      <c r="T86" s="27">
        <f t="shared" si="5"/>
        <v>120531.87</v>
      </c>
      <c r="U86" s="41">
        <f t="shared" si="5"/>
        <v>120531.87</v>
      </c>
      <c r="V86" s="27">
        <f t="shared" si="5"/>
        <v>1447199.1400000001</v>
      </c>
    </row>
    <row r="87" ht="12.75">
      <c r="C87" s="12"/>
    </row>
    <row r="88" spans="2:3" ht="21">
      <c r="B88" s="9" t="s">
        <v>105</v>
      </c>
      <c r="C88" s="30" t="s">
        <v>27</v>
      </c>
    </row>
    <row r="89" ht="12.75">
      <c r="C89" s="4" t="str">
        <f>C83</f>
        <v>Debt Reserve</v>
      </c>
    </row>
    <row r="90" ht="12.75">
      <c r="C90" s="4" t="str">
        <f>C84</f>
        <v>Treasury Fee</v>
      </c>
    </row>
    <row r="91" ht="13.5" thickBot="1">
      <c r="C91" s="4" t="str">
        <f>C85</f>
        <v>Intercept</v>
      </c>
    </row>
    <row r="92" ht="13.5" thickBot="1">
      <c r="C92" s="6" t="s">
        <v>28</v>
      </c>
    </row>
    <row r="93" ht="12.75">
      <c r="C93" s="12"/>
    </row>
    <row r="94" spans="2:3" ht="21">
      <c r="B94" s="9" t="s">
        <v>105</v>
      </c>
      <c r="C94" s="10" t="s">
        <v>29</v>
      </c>
    </row>
    <row r="95" ht="12.75">
      <c r="C95" s="4" t="str">
        <f>C89</f>
        <v>Debt Reserve</v>
      </c>
    </row>
    <row r="96" ht="12.75">
      <c r="C96" s="4" t="str">
        <f>C90</f>
        <v>Treasury Fee</v>
      </c>
    </row>
    <row r="97" ht="13.5" thickBot="1">
      <c r="C97" s="4" t="str">
        <f>C91</f>
        <v>Intercept</v>
      </c>
    </row>
    <row r="98" ht="13.5" thickBot="1">
      <c r="C98" s="6" t="s">
        <v>30</v>
      </c>
    </row>
    <row r="99" ht="12.75">
      <c r="C99" s="12"/>
    </row>
    <row r="100" spans="2:3" ht="21">
      <c r="B100" s="9" t="s">
        <v>105</v>
      </c>
      <c r="C100" s="10" t="s">
        <v>31</v>
      </c>
    </row>
    <row r="101" ht="12.75">
      <c r="C101" s="4" t="str">
        <f>C95</f>
        <v>Debt Reserve</v>
      </c>
    </row>
    <row r="102" ht="12.75">
      <c r="C102" s="4" t="str">
        <f>C96</f>
        <v>Treasury Fee</v>
      </c>
    </row>
    <row r="103" ht="13.5" thickBot="1">
      <c r="C103" s="4" t="str">
        <f>C97</f>
        <v>Intercept</v>
      </c>
    </row>
    <row r="104" ht="13.5" thickBot="1">
      <c r="C104" s="6" t="s">
        <v>32</v>
      </c>
    </row>
    <row r="105" ht="12.75">
      <c r="C105" s="12"/>
    </row>
    <row r="106" spans="2:3" ht="21">
      <c r="B106" s="9" t="s">
        <v>105</v>
      </c>
      <c r="C106" s="30" t="s">
        <v>33</v>
      </c>
    </row>
    <row r="107" ht="12.75">
      <c r="C107" s="4" t="str">
        <f>C89</f>
        <v>Debt Reserve</v>
      </c>
    </row>
    <row r="108" ht="12.75">
      <c r="C108" s="4" t="str">
        <f>C90</f>
        <v>Treasury Fee</v>
      </c>
    </row>
    <row r="109" ht="13.5" thickBot="1">
      <c r="C109" s="4" t="str">
        <f>C91</f>
        <v>Intercept</v>
      </c>
    </row>
    <row r="110" ht="13.5" thickBot="1">
      <c r="C110" s="6" t="s">
        <v>34</v>
      </c>
    </row>
    <row r="111" ht="12.75">
      <c r="C111" s="12"/>
    </row>
    <row r="112" spans="1:3" ht="15.75">
      <c r="A112" s="1">
        <f>A82+1</f>
        <v>4</v>
      </c>
      <c r="C112" s="5" t="s">
        <v>35</v>
      </c>
    </row>
    <row r="113" spans="3:22" ht="12.75">
      <c r="C113" s="4" t="str">
        <f>C95</f>
        <v>Debt Reserve</v>
      </c>
      <c r="J113" s="26">
        <v>528.33</v>
      </c>
      <c r="K113" s="26">
        <v>528.33</v>
      </c>
      <c r="L113" s="26">
        <v>528.33</v>
      </c>
      <c r="M113" s="26">
        <v>528.33</v>
      </c>
      <c r="N113" s="26">
        <v>511.25</v>
      </c>
      <c r="O113" s="26">
        <v>511.25</v>
      </c>
      <c r="P113" s="26">
        <v>511.25</v>
      </c>
      <c r="Q113" s="26">
        <v>511.25</v>
      </c>
      <c r="R113" s="26">
        <v>511.25</v>
      </c>
      <c r="S113" s="26">
        <v>511.25</v>
      </c>
      <c r="T113" s="26">
        <v>511.25</v>
      </c>
      <c r="U113" s="40">
        <v>511.25</v>
      </c>
      <c r="V113" s="26">
        <f>SUM(J113:U113)</f>
        <v>6203.32</v>
      </c>
    </row>
    <row r="114" spans="3:22" ht="12.75">
      <c r="C114" s="4" t="str">
        <f>C96</f>
        <v>Treasury Fee</v>
      </c>
      <c r="J114" s="52">
        <v>250</v>
      </c>
      <c r="V114" s="26">
        <f>SUM(J114:U114)</f>
        <v>250</v>
      </c>
    </row>
    <row r="115" spans="3:22" ht="13.5" thickBot="1">
      <c r="C115" s="4" t="str">
        <f>C97</f>
        <v>Intercept</v>
      </c>
      <c r="J115" s="26">
        <f aca="true" t="shared" si="6" ref="J115:R115">17500+23713.33</f>
        <v>41213.33</v>
      </c>
      <c r="K115" s="26">
        <f t="shared" si="6"/>
        <v>41213.33</v>
      </c>
      <c r="L115" s="26">
        <f t="shared" si="6"/>
        <v>41213.33</v>
      </c>
      <c r="M115" s="26">
        <f t="shared" si="6"/>
        <v>41213.33</v>
      </c>
      <c r="N115" s="26">
        <f t="shared" si="6"/>
        <v>41213.33</v>
      </c>
      <c r="O115" s="26">
        <f t="shared" si="6"/>
        <v>41213.33</v>
      </c>
      <c r="P115" s="26">
        <f t="shared" si="6"/>
        <v>41213.33</v>
      </c>
      <c r="Q115" s="26">
        <f t="shared" si="6"/>
        <v>41213.33</v>
      </c>
      <c r="R115" s="26">
        <f t="shared" si="6"/>
        <v>41213.33</v>
      </c>
      <c r="S115" s="26">
        <f>18333.33+23057.08</f>
        <v>41390.41</v>
      </c>
      <c r="T115" s="26">
        <f>18333.33+23057.08</f>
        <v>41390.41</v>
      </c>
      <c r="U115" s="40">
        <f>18333.33+23057.08</f>
        <v>41390.41</v>
      </c>
      <c r="V115" s="26">
        <f>SUM(J115:U115)</f>
        <v>495091.2000000002</v>
      </c>
    </row>
    <row r="116" spans="3:22" ht="13.5" thickBot="1">
      <c r="C116" s="6" t="s">
        <v>36</v>
      </c>
      <c r="J116" s="27">
        <f aca="true" t="shared" si="7" ref="J116:V116">SUM(J113:J115)</f>
        <v>41991.66</v>
      </c>
      <c r="K116" s="27">
        <f t="shared" si="7"/>
        <v>41741.66</v>
      </c>
      <c r="L116" s="27">
        <f t="shared" si="7"/>
        <v>41741.66</v>
      </c>
      <c r="M116" s="27">
        <f t="shared" si="7"/>
        <v>41741.66</v>
      </c>
      <c r="N116" s="27">
        <f t="shared" si="7"/>
        <v>41724.58</v>
      </c>
      <c r="O116" s="27">
        <f t="shared" si="7"/>
        <v>41724.58</v>
      </c>
      <c r="P116" s="27">
        <f t="shared" si="7"/>
        <v>41724.58</v>
      </c>
      <c r="Q116" s="27">
        <f t="shared" si="7"/>
        <v>41724.58</v>
      </c>
      <c r="R116" s="27">
        <f t="shared" si="7"/>
        <v>41724.58</v>
      </c>
      <c r="S116" s="27">
        <f t="shared" si="7"/>
        <v>41901.66</v>
      </c>
      <c r="T116" s="27">
        <f t="shared" si="7"/>
        <v>41901.66</v>
      </c>
      <c r="U116" s="41">
        <f t="shared" si="7"/>
        <v>41901.66</v>
      </c>
      <c r="V116" s="27">
        <f t="shared" si="7"/>
        <v>501544.5200000002</v>
      </c>
    </row>
    <row r="117" ht="12.75">
      <c r="C117" s="12"/>
    </row>
    <row r="118" spans="1:3" ht="15.75">
      <c r="A118" s="1">
        <f>A112+1</f>
        <v>5</v>
      </c>
      <c r="C118" s="5" t="s">
        <v>157</v>
      </c>
    </row>
    <row r="119" spans="3:22" ht="12.75">
      <c r="C119" s="4" t="str">
        <f>C101</f>
        <v>Debt Reserve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40">
        <v>0</v>
      </c>
      <c r="V119" s="26">
        <f>SUM(J119:U119)</f>
        <v>0</v>
      </c>
    </row>
    <row r="120" spans="3:22" ht="12.75">
      <c r="C120" s="4" t="str">
        <f>C102</f>
        <v>Treasury Fee</v>
      </c>
      <c r="J120" s="52">
        <v>250</v>
      </c>
      <c r="V120" s="26">
        <f>SUM(J120:U120)</f>
        <v>250</v>
      </c>
    </row>
    <row r="121" spans="3:22" ht="13.5" thickBot="1">
      <c r="C121" s="4" t="str">
        <f>C103</f>
        <v>Intercept</v>
      </c>
      <c r="J121" s="26">
        <f aca="true" t="shared" si="8" ref="J121:Q121">9166.67+32339.06</f>
        <v>41505.73</v>
      </c>
      <c r="K121" s="26">
        <f t="shared" si="8"/>
        <v>41505.73</v>
      </c>
      <c r="L121" s="26">
        <f t="shared" si="8"/>
        <v>41505.73</v>
      </c>
      <c r="M121" s="26">
        <f t="shared" si="8"/>
        <v>41505.73</v>
      </c>
      <c r="N121" s="26">
        <f t="shared" si="8"/>
        <v>41505.73</v>
      </c>
      <c r="O121" s="26">
        <f t="shared" si="8"/>
        <v>41505.73</v>
      </c>
      <c r="P121" s="26">
        <f t="shared" si="8"/>
        <v>41505.73</v>
      </c>
      <c r="Q121" s="26">
        <f t="shared" si="8"/>
        <v>41505.73</v>
      </c>
      <c r="R121" s="26">
        <f>10000+31674.48</f>
        <v>41674.479999999996</v>
      </c>
      <c r="S121" s="26">
        <f>10000+31674.48</f>
        <v>41674.479999999996</v>
      </c>
      <c r="T121" s="26">
        <f>10000+31674.48</f>
        <v>41674.479999999996</v>
      </c>
      <c r="U121" s="40">
        <f>10000+31674.48</f>
        <v>41674.479999999996</v>
      </c>
      <c r="V121" s="26">
        <f>SUM(J121:U121)</f>
        <v>498743.75999999995</v>
      </c>
    </row>
    <row r="122" spans="3:22" ht="13.5" thickBot="1">
      <c r="C122" s="6" t="s">
        <v>37</v>
      </c>
      <c r="J122" s="27">
        <f aca="true" t="shared" si="9" ref="J122:V122">SUM(J119:J121)</f>
        <v>41755.73</v>
      </c>
      <c r="K122" s="27">
        <f t="shared" si="9"/>
        <v>41505.73</v>
      </c>
      <c r="L122" s="27">
        <f t="shared" si="9"/>
        <v>41505.73</v>
      </c>
      <c r="M122" s="27">
        <f t="shared" si="9"/>
        <v>41505.73</v>
      </c>
      <c r="N122" s="27">
        <f t="shared" si="9"/>
        <v>41505.73</v>
      </c>
      <c r="O122" s="27">
        <f t="shared" si="9"/>
        <v>41505.73</v>
      </c>
      <c r="P122" s="27">
        <f t="shared" si="9"/>
        <v>41505.73</v>
      </c>
      <c r="Q122" s="27">
        <f t="shared" si="9"/>
        <v>41505.73</v>
      </c>
      <c r="R122" s="27">
        <f t="shared" si="9"/>
        <v>41674.479999999996</v>
      </c>
      <c r="S122" s="27">
        <f t="shared" si="9"/>
        <v>41674.479999999996</v>
      </c>
      <c r="T122" s="27">
        <f t="shared" si="9"/>
        <v>41674.479999999996</v>
      </c>
      <c r="U122" s="41">
        <f t="shared" si="9"/>
        <v>41674.479999999996</v>
      </c>
      <c r="V122" s="27">
        <f t="shared" si="9"/>
        <v>498993.75999999995</v>
      </c>
    </row>
    <row r="123" ht="12.75">
      <c r="C123" s="12"/>
    </row>
    <row r="124" spans="1:3" ht="15.75">
      <c r="A124" s="1">
        <f>A118+1</f>
        <v>6</v>
      </c>
      <c r="C124" s="5" t="s">
        <v>38</v>
      </c>
    </row>
    <row r="125" spans="3:22" ht="12.75">
      <c r="C125" s="4" t="str">
        <f>C107</f>
        <v>Debt Reserve</v>
      </c>
      <c r="J125" s="26">
        <v>427.92</v>
      </c>
      <c r="K125" s="26">
        <v>427.92</v>
      </c>
      <c r="L125" s="26">
        <v>427.92</v>
      </c>
      <c r="M125" s="26">
        <v>427.92</v>
      </c>
      <c r="N125" s="26">
        <v>427.92</v>
      </c>
      <c r="O125" s="26">
        <v>427.92</v>
      </c>
      <c r="P125" s="26">
        <v>427.92</v>
      </c>
      <c r="Q125" s="26">
        <v>427.92</v>
      </c>
      <c r="R125" s="26">
        <v>427.92</v>
      </c>
      <c r="S125" s="26">
        <v>427.92</v>
      </c>
      <c r="T125" s="26">
        <v>415</v>
      </c>
      <c r="U125" s="40">
        <v>415</v>
      </c>
      <c r="V125" s="26">
        <f>SUM(J125:U125)</f>
        <v>5109.2</v>
      </c>
    </row>
    <row r="126" spans="3:22" ht="12.75">
      <c r="C126" s="4" t="str">
        <f>C108</f>
        <v>Treasury Fee</v>
      </c>
      <c r="J126" s="52">
        <v>250</v>
      </c>
      <c r="V126" s="26">
        <f>SUM(J126:U126)</f>
        <v>250</v>
      </c>
    </row>
    <row r="127" spans="3:22" ht="13.5" thickBot="1">
      <c r="C127" s="4" t="str">
        <f>C109</f>
        <v>Intercept</v>
      </c>
      <c r="J127" s="26">
        <f>12916.67+22077.61</f>
        <v>34994.28</v>
      </c>
      <c r="K127" s="26">
        <f>12916.67+22077.61</f>
        <v>34994.28</v>
      </c>
      <c r="L127" s="26">
        <f>12916.67+22077.61</f>
        <v>34994.28</v>
      </c>
      <c r="M127" s="26">
        <f>12916.67+22077.61</f>
        <v>34994.28</v>
      </c>
      <c r="N127" s="26">
        <f>12916.67+22077.61</f>
        <v>34994.28</v>
      </c>
      <c r="O127" s="26">
        <f>13333.33+21577.08</f>
        <v>34910.41</v>
      </c>
      <c r="P127" s="26">
        <f aca="true" t="shared" si="10" ref="P127:V127">13333.33+21577.08</f>
        <v>34910.41</v>
      </c>
      <c r="Q127" s="26">
        <f t="shared" si="10"/>
        <v>34910.41</v>
      </c>
      <c r="R127" s="26">
        <f t="shared" si="10"/>
        <v>34910.41</v>
      </c>
      <c r="S127" s="26">
        <f t="shared" si="10"/>
        <v>34910.41</v>
      </c>
      <c r="T127" s="26">
        <f t="shared" si="10"/>
        <v>34910.41</v>
      </c>
      <c r="U127" s="40">
        <f t="shared" si="10"/>
        <v>34910.41</v>
      </c>
      <c r="V127" s="26">
        <f>SUM(J127:U127)</f>
        <v>419344.27000000014</v>
      </c>
    </row>
    <row r="128" spans="3:22" ht="13.5" thickBot="1">
      <c r="C128" s="6" t="s">
        <v>39</v>
      </c>
      <c r="J128" s="27">
        <f aca="true" t="shared" si="11" ref="J128:V128">SUM(J125:J127)</f>
        <v>35672.2</v>
      </c>
      <c r="K128" s="27">
        <f t="shared" si="11"/>
        <v>35422.2</v>
      </c>
      <c r="L128" s="27">
        <f t="shared" si="11"/>
        <v>35422.2</v>
      </c>
      <c r="M128" s="27">
        <f t="shared" si="11"/>
        <v>35422.2</v>
      </c>
      <c r="N128" s="27">
        <f t="shared" si="11"/>
        <v>35422.2</v>
      </c>
      <c r="O128" s="27">
        <f t="shared" si="11"/>
        <v>35338.33</v>
      </c>
      <c r="P128" s="27">
        <f t="shared" si="11"/>
        <v>35338.33</v>
      </c>
      <c r="Q128" s="27">
        <f t="shared" si="11"/>
        <v>35338.33</v>
      </c>
      <c r="R128" s="27">
        <f t="shared" si="11"/>
        <v>35338.33</v>
      </c>
      <c r="S128" s="27">
        <f t="shared" si="11"/>
        <v>35338.33</v>
      </c>
      <c r="T128" s="27">
        <f t="shared" si="11"/>
        <v>35325.41</v>
      </c>
      <c r="U128" s="41">
        <f t="shared" si="11"/>
        <v>35325.41</v>
      </c>
      <c r="V128" s="27">
        <f t="shared" si="11"/>
        <v>424703.47000000015</v>
      </c>
    </row>
    <row r="129" ht="12.75">
      <c r="C129" s="12"/>
    </row>
    <row r="130" spans="2:3" ht="21">
      <c r="B130" s="9" t="s">
        <v>105</v>
      </c>
      <c r="C130" s="30" t="s">
        <v>42</v>
      </c>
    </row>
    <row r="131" spans="3:22" ht="12.75">
      <c r="C131" s="4" t="str">
        <f>C113</f>
        <v>Debt Reserve</v>
      </c>
      <c r="J131" s="26">
        <v>942.08</v>
      </c>
      <c r="K131" s="26">
        <v>942.08</v>
      </c>
      <c r="L131" s="26">
        <v>942.08</v>
      </c>
      <c r="M131" s="26"/>
      <c r="N131" s="26"/>
      <c r="O131" s="26"/>
      <c r="P131" s="26"/>
      <c r="Q131" s="26"/>
      <c r="R131" s="26"/>
      <c r="S131" s="26"/>
      <c r="T131" s="26"/>
      <c r="U131" s="40"/>
      <c r="V131" s="26">
        <f>SUM(J131:U131)</f>
        <v>2826.2400000000002</v>
      </c>
    </row>
    <row r="132" spans="3:22" ht="12.75">
      <c r="C132" s="4" t="str">
        <f>C114</f>
        <v>Treasury Fee</v>
      </c>
      <c r="J132" s="52">
        <v>250</v>
      </c>
      <c r="V132" s="26">
        <f>SUM(J132:U132)</f>
        <v>250</v>
      </c>
    </row>
    <row r="133" spans="3:22" ht="13.5" thickBot="1">
      <c r="C133" s="4" t="str">
        <f>C115</f>
        <v>Intercept</v>
      </c>
      <c r="J133" s="26">
        <f>33333.33+48327.61</f>
        <v>81660.94</v>
      </c>
      <c r="K133" s="26">
        <f>33333.33+48327.61</f>
        <v>81660.94</v>
      </c>
      <c r="L133" s="26">
        <f>34583.33+47160.94</f>
        <v>81744.27</v>
      </c>
      <c r="M133" s="26"/>
      <c r="N133" s="26"/>
      <c r="O133" s="26"/>
      <c r="P133" s="26"/>
      <c r="Q133" s="26"/>
      <c r="R133" s="26"/>
      <c r="S133" s="26"/>
      <c r="T133" s="26"/>
      <c r="U133" s="40"/>
      <c r="V133" s="26">
        <f>SUM(J133:U133)</f>
        <v>245066.15000000002</v>
      </c>
    </row>
    <row r="134" spans="3:22" ht="13.5" thickBot="1">
      <c r="C134" s="6" t="s">
        <v>40</v>
      </c>
      <c r="J134" s="27">
        <f aca="true" t="shared" si="12" ref="J134:V134">SUM(J131:J133)</f>
        <v>82853.02</v>
      </c>
      <c r="K134" s="27">
        <f t="shared" si="12"/>
        <v>82603.02</v>
      </c>
      <c r="L134" s="27">
        <f t="shared" si="12"/>
        <v>82686.35</v>
      </c>
      <c r="M134" s="27">
        <f t="shared" si="12"/>
        <v>0</v>
      </c>
      <c r="N134" s="27">
        <f t="shared" si="12"/>
        <v>0</v>
      </c>
      <c r="O134" s="27">
        <f t="shared" si="12"/>
        <v>0</v>
      </c>
      <c r="P134" s="27">
        <f t="shared" si="12"/>
        <v>0</v>
      </c>
      <c r="Q134" s="27">
        <f t="shared" si="12"/>
        <v>0</v>
      </c>
      <c r="R134" s="27">
        <f t="shared" si="12"/>
        <v>0</v>
      </c>
      <c r="S134" s="27">
        <f t="shared" si="12"/>
        <v>0</v>
      </c>
      <c r="T134" s="27">
        <f t="shared" si="12"/>
        <v>0</v>
      </c>
      <c r="U134" s="41">
        <f t="shared" si="12"/>
        <v>0</v>
      </c>
      <c r="V134" s="27">
        <f t="shared" si="12"/>
        <v>248142.39</v>
      </c>
    </row>
    <row r="135" ht="12.75">
      <c r="C135" s="12"/>
    </row>
    <row r="136" spans="2:3" ht="21">
      <c r="B136" s="9" t="s">
        <v>105</v>
      </c>
      <c r="C136" s="10" t="s">
        <v>43</v>
      </c>
    </row>
    <row r="137" ht="12.75">
      <c r="C137" s="4" t="str">
        <f>C119</f>
        <v>Debt Reserve</v>
      </c>
    </row>
    <row r="138" ht="12.75">
      <c r="C138" s="4" t="str">
        <f>C120</f>
        <v>Treasury Fee</v>
      </c>
    </row>
    <row r="139" ht="13.5" thickBot="1">
      <c r="C139" s="4" t="str">
        <f>C121</f>
        <v>Intercept</v>
      </c>
    </row>
    <row r="140" ht="13.5" thickBot="1">
      <c r="C140" s="6" t="s">
        <v>44</v>
      </c>
    </row>
    <row r="141" ht="12.75">
      <c r="C141" s="12"/>
    </row>
    <row r="142" spans="1:3" ht="15.75">
      <c r="A142" s="1">
        <f>A124+1</f>
        <v>7</v>
      </c>
      <c r="C142" s="5" t="s">
        <v>45</v>
      </c>
    </row>
    <row r="143" spans="3:22" ht="12.75">
      <c r="C143" s="4" t="str">
        <f>C125</f>
        <v>Debt Reserve</v>
      </c>
      <c r="J143" s="26">
        <v>526.67</v>
      </c>
      <c r="K143" s="26">
        <v>526.67</v>
      </c>
      <c r="L143" s="26">
        <v>511.25</v>
      </c>
      <c r="M143" s="26">
        <v>511.25</v>
      </c>
      <c r="N143" s="26">
        <v>511.25</v>
      </c>
      <c r="O143" s="26">
        <v>511.25</v>
      </c>
      <c r="P143" s="26">
        <v>511.25</v>
      </c>
      <c r="Q143" s="26">
        <v>511.25</v>
      </c>
      <c r="R143" s="26">
        <v>511.25</v>
      </c>
      <c r="S143" s="26">
        <v>511.25</v>
      </c>
      <c r="T143" s="26">
        <v>511.25</v>
      </c>
      <c r="U143" s="40">
        <v>511.25</v>
      </c>
      <c r="V143" s="26">
        <f>SUM(J143:U143)</f>
        <v>6165.84</v>
      </c>
    </row>
    <row r="144" spans="3:22" ht="12.75">
      <c r="C144" s="4" t="str">
        <f>C126</f>
        <v>Treasury Fee</v>
      </c>
      <c r="J144" s="52">
        <v>250</v>
      </c>
      <c r="V144" s="26">
        <f>SUM(J144:U144)</f>
        <v>250</v>
      </c>
    </row>
    <row r="145" spans="3:22" ht="13.5" thickBot="1">
      <c r="C145" s="4" t="str">
        <f>C127</f>
        <v>Intercept</v>
      </c>
      <c r="J145" s="26">
        <f>16250+27842.5</f>
        <v>44092.5</v>
      </c>
      <c r="K145" s="26">
        <f>16250+27842.5</f>
        <v>44092.5</v>
      </c>
      <c r="L145" s="26">
        <f>16250+27842.5</f>
        <v>44092.5</v>
      </c>
      <c r="M145" s="26">
        <f>16250+27842.5</f>
        <v>44092.5</v>
      </c>
      <c r="N145" s="26">
        <f>16250+27842.5</f>
        <v>44092.5</v>
      </c>
      <c r="O145" s="26">
        <f>16666.67+27225</f>
        <v>43891.67</v>
      </c>
      <c r="P145" s="26">
        <f aca="true" t="shared" si="13" ref="P145:V145">16666.67+27225</f>
        <v>43891.67</v>
      </c>
      <c r="Q145" s="26">
        <f t="shared" si="13"/>
        <v>43891.67</v>
      </c>
      <c r="R145" s="26">
        <f t="shared" si="13"/>
        <v>43891.67</v>
      </c>
      <c r="S145" s="26">
        <f t="shared" si="13"/>
        <v>43891.67</v>
      </c>
      <c r="T145" s="26">
        <f t="shared" si="13"/>
        <v>43891.67</v>
      </c>
      <c r="U145" s="40">
        <f t="shared" si="13"/>
        <v>43891.67</v>
      </c>
      <c r="V145" s="26">
        <f>SUM(J145:U145)</f>
        <v>527704.19</v>
      </c>
    </row>
    <row r="146" spans="3:22" ht="13.5" thickBot="1">
      <c r="C146" s="6" t="s">
        <v>46</v>
      </c>
      <c r="J146" s="27">
        <f aca="true" t="shared" si="14" ref="J146:V146">SUM(J143:J145)</f>
        <v>44869.17</v>
      </c>
      <c r="K146" s="27">
        <f t="shared" si="14"/>
        <v>44619.17</v>
      </c>
      <c r="L146" s="27">
        <f t="shared" si="14"/>
        <v>44603.75</v>
      </c>
      <c r="M146" s="27">
        <f t="shared" si="14"/>
        <v>44603.75</v>
      </c>
      <c r="N146" s="27">
        <f t="shared" si="14"/>
        <v>44603.75</v>
      </c>
      <c r="O146" s="27">
        <f t="shared" si="14"/>
        <v>44402.92</v>
      </c>
      <c r="P146" s="27">
        <f t="shared" si="14"/>
        <v>44402.92</v>
      </c>
      <c r="Q146" s="27">
        <f t="shared" si="14"/>
        <v>44402.92</v>
      </c>
      <c r="R146" s="27">
        <f t="shared" si="14"/>
        <v>44402.92</v>
      </c>
      <c r="S146" s="27">
        <f t="shared" si="14"/>
        <v>44402.92</v>
      </c>
      <c r="T146" s="27">
        <f t="shared" si="14"/>
        <v>44402.92</v>
      </c>
      <c r="U146" s="41">
        <f t="shared" si="14"/>
        <v>44402.92</v>
      </c>
      <c r="V146" s="27">
        <f t="shared" si="14"/>
        <v>534120.0299999999</v>
      </c>
    </row>
    <row r="147" ht="12.75">
      <c r="C147" s="12"/>
    </row>
    <row r="148" spans="2:3" ht="21">
      <c r="B148" s="9" t="s">
        <v>105</v>
      </c>
      <c r="C148" s="30" t="s">
        <v>47</v>
      </c>
    </row>
    <row r="149" ht="12.75">
      <c r="C149" s="4" t="str">
        <f>C131</f>
        <v>Debt Reserve</v>
      </c>
    </row>
    <row r="150" ht="12.75">
      <c r="C150" s="4" t="str">
        <f>C132</f>
        <v>Treasury Fee</v>
      </c>
    </row>
    <row r="151" ht="13.5" thickBot="1">
      <c r="C151" s="4" t="str">
        <f>C133</f>
        <v>Intercept</v>
      </c>
    </row>
    <row r="152" ht="13.5" thickBot="1">
      <c r="C152" s="6" t="s">
        <v>48</v>
      </c>
    </row>
    <row r="153" ht="12.75">
      <c r="C153" s="12"/>
    </row>
    <row r="154" spans="1:3" ht="15.75">
      <c r="A154" s="1">
        <f>A142+1</f>
        <v>8</v>
      </c>
      <c r="C154" s="5" t="s">
        <v>49</v>
      </c>
    </row>
    <row r="155" spans="3:22" ht="12.75">
      <c r="C155" s="4" t="str">
        <f>C137</f>
        <v>Debt Reserve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40">
        <v>0</v>
      </c>
      <c r="V155" s="26">
        <f>SUM(J155:U155)</f>
        <v>0</v>
      </c>
    </row>
    <row r="156" spans="3:22" ht="12.75">
      <c r="C156" s="4" t="str">
        <f>C138</f>
        <v>Treasury Fee</v>
      </c>
      <c r="J156" s="52">
        <v>250</v>
      </c>
      <c r="V156" s="26">
        <f>SUM(J156:U156)</f>
        <v>250</v>
      </c>
    </row>
    <row r="157" spans="3:22" ht="13.5" thickBot="1">
      <c r="C157" s="4" t="str">
        <f>C139</f>
        <v>Intercept</v>
      </c>
      <c r="J157" s="26">
        <f aca="true" t="shared" si="15" ref="J157:S157">9166.67+28031.25</f>
        <v>37197.92</v>
      </c>
      <c r="K157" s="26">
        <f t="shared" si="15"/>
        <v>37197.92</v>
      </c>
      <c r="L157" s="26">
        <f t="shared" si="15"/>
        <v>37197.92</v>
      </c>
      <c r="M157" s="26">
        <f t="shared" si="15"/>
        <v>37197.92</v>
      </c>
      <c r="N157" s="26">
        <f t="shared" si="15"/>
        <v>37197.92</v>
      </c>
      <c r="O157" s="26">
        <f t="shared" si="15"/>
        <v>37197.92</v>
      </c>
      <c r="P157" s="26">
        <f t="shared" si="15"/>
        <v>37197.92</v>
      </c>
      <c r="Q157" s="26">
        <f t="shared" si="15"/>
        <v>37197.92</v>
      </c>
      <c r="R157" s="26">
        <f t="shared" si="15"/>
        <v>37197.92</v>
      </c>
      <c r="S157" s="26">
        <f t="shared" si="15"/>
        <v>37197.92</v>
      </c>
      <c r="T157" s="26">
        <f>10000+27435.42</f>
        <v>37435.42</v>
      </c>
      <c r="U157" s="40">
        <f>10000+27435.42</f>
        <v>37435.42</v>
      </c>
      <c r="V157" s="26">
        <f>SUM(J157:U157)</f>
        <v>446850.03999999986</v>
      </c>
    </row>
    <row r="158" spans="3:22" ht="13.5" thickBot="1">
      <c r="C158" s="6" t="s">
        <v>50</v>
      </c>
      <c r="J158" s="27">
        <f aca="true" t="shared" si="16" ref="J158:V158">SUM(J155:J157)</f>
        <v>37447.92</v>
      </c>
      <c r="K158" s="27">
        <f t="shared" si="16"/>
        <v>37197.92</v>
      </c>
      <c r="L158" s="27">
        <f t="shared" si="16"/>
        <v>37197.92</v>
      </c>
      <c r="M158" s="27">
        <f t="shared" si="16"/>
        <v>37197.92</v>
      </c>
      <c r="N158" s="27">
        <f t="shared" si="16"/>
        <v>37197.92</v>
      </c>
      <c r="O158" s="27">
        <f t="shared" si="16"/>
        <v>37197.92</v>
      </c>
      <c r="P158" s="27">
        <f t="shared" si="16"/>
        <v>37197.92</v>
      </c>
      <c r="Q158" s="27">
        <f t="shared" si="16"/>
        <v>37197.92</v>
      </c>
      <c r="R158" s="27">
        <f t="shared" si="16"/>
        <v>37197.92</v>
      </c>
      <c r="S158" s="27">
        <f t="shared" si="16"/>
        <v>37197.92</v>
      </c>
      <c r="T158" s="27">
        <f t="shared" si="16"/>
        <v>37435.42</v>
      </c>
      <c r="U158" s="41">
        <f t="shared" si="16"/>
        <v>37435.42</v>
      </c>
      <c r="V158" s="27">
        <f t="shared" si="16"/>
        <v>447100.03999999986</v>
      </c>
    </row>
    <row r="159" ht="12.75">
      <c r="C159" s="12"/>
    </row>
    <row r="160" spans="2:3" ht="21">
      <c r="B160" s="9" t="s">
        <v>105</v>
      </c>
      <c r="C160" s="10" t="s">
        <v>51</v>
      </c>
    </row>
    <row r="161" ht="12.75">
      <c r="C161" s="4" t="str">
        <f>C143</f>
        <v>Debt Reserve</v>
      </c>
    </row>
    <row r="162" ht="12.75">
      <c r="C162" s="4" t="str">
        <f>C144</f>
        <v>Treasury Fee</v>
      </c>
    </row>
    <row r="163" ht="13.5" thickBot="1">
      <c r="C163" s="4" t="str">
        <f>C145</f>
        <v>Intercept</v>
      </c>
    </row>
    <row r="164" ht="13.5" thickBot="1">
      <c r="C164" s="6" t="s">
        <v>52</v>
      </c>
    </row>
    <row r="165" ht="12.75">
      <c r="C165" s="12"/>
    </row>
    <row r="166" spans="2:3" ht="21">
      <c r="B166" s="9" t="s">
        <v>105</v>
      </c>
      <c r="C166" s="30" t="s">
        <v>55</v>
      </c>
    </row>
    <row r="167" spans="3:22" ht="12.75">
      <c r="C167" s="4" t="str">
        <f>C149</f>
        <v>Debt Reserve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40">
        <v>0</v>
      </c>
      <c r="V167" s="26">
        <f>SUM(J167:U167)</f>
        <v>0</v>
      </c>
    </row>
    <row r="168" spans="3:22" ht="12.75">
      <c r="C168" s="4" t="str">
        <f>C150</f>
        <v>Treasury Fee</v>
      </c>
      <c r="J168" s="52">
        <v>250</v>
      </c>
      <c r="V168" s="26">
        <f>SUM(J168:U168)</f>
        <v>250</v>
      </c>
    </row>
    <row r="169" spans="3:22" ht="13.5" thickBot="1">
      <c r="C169" s="4" t="str">
        <f>C151</f>
        <v>Intercept</v>
      </c>
      <c r="J169" s="52">
        <f>9583.33+31266.67</f>
        <v>40850</v>
      </c>
      <c r="K169" s="52">
        <f aca="true" t="shared" si="17" ref="K169:P169">9583.33+31266.67</f>
        <v>40850</v>
      </c>
      <c r="L169" s="52">
        <f t="shared" si="17"/>
        <v>40850</v>
      </c>
      <c r="M169" s="52">
        <f t="shared" si="17"/>
        <v>40850</v>
      </c>
      <c r="N169" s="52">
        <f t="shared" si="17"/>
        <v>40850</v>
      </c>
      <c r="O169" s="52">
        <f t="shared" si="17"/>
        <v>40850</v>
      </c>
      <c r="P169" s="52">
        <f t="shared" si="17"/>
        <v>40850</v>
      </c>
      <c r="Q169" s="52"/>
      <c r="R169" s="52"/>
      <c r="S169" s="52"/>
      <c r="T169" s="52"/>
      <c r="U169" s="53"/>
      <c r="V169" s="26">
        <f>SUM(J169:U169)</f>
        <v>285950</v>
      </c>
    </row>
    <row r="170" spans="3:22" ht="13.5" thickBot="1">
      <c r="C170" s="6" t="s">
        <v>53</v>
      </c>
      <c r="J170" s="27">
        <f aca="true" t="shared" si="18" ref="J170:V170">SUM(J167:J169)</f>
        <v>41100</v>
      </c>
      <c r="K170" s="27">
        <f t="shared" si="18"/>
        <v>40850</v>
      </c>
      <c r="L170" s="27">
        <f t="shared" si="18"/>
        <v>40850</v>
      </c>
      <c r="M170" s="27">
        <f t="shared" si="18"/>
        <v>40850</v>
      </c>
      <c r="N170" s="27">
        <f t="shared" si="18"/>
        <v>40850</v>
      </c>
      <c r="O170" s="27">
        <f t="shared" si="18"/>
        <v>40850</v>
      </c>
      <c r="P170" s="27">
        <f t="shared" si="18"/>
        <v>40850</v>
      </c>
      <c r="Q170" s="27">
        <f t="shared" si="18"/>
        <v>0</v>
      </c>
      <c r="R170" s="27">
        <f t="shared" si="18"/>
        <v>0</v>
      </c>
      <c r="S170" s="27">
        <f t="shared" si="18"/>
        <v>0</v>
      </c>
      <c r="T170" s="27">
        <f t="shared" si="18"/>
        <v>0</v>
      </c>
      <c r="U170" s="41">
        <f t="shared" si="18"/>
        <v>0</v>
      </c>
      <c r="V170" s="27">
        <f t="shared" si="18"/>
        <v>286200</v>
      </c>
    </row>
    <row r="171" ht="12.75">
      <c r="C171" s="12"/>
    </row>
    <row r="172" spans="2:3" ht="21">
      <c r="B172" s="9" t="s">
        <v>105</v>
      </c>
      <c r="C172" s="30" t="s">
        <v>57</v>
      </c>
    </row>
    <row r="173" spans="3:22" ht="12.75">
      <c r="C173" s="4" t="str">
        <f>C155</f>
        <v>Debt Reserve</v>
      </c>
      <c r="J173" s="26">
        <v>567.92</v>
      </c>
      <c r="K173" s="26">
        <v>567.92</v>
      </c>
      <c r="L173" s="26">
        <v>552.92</v>
      </c>
      <c r="M173" s="26">
        <v>552.92</v>
      </c>
      <c r="N173" s="26">
        <v>552.92</v>
      </c>
      <c r="O173" s="26">
        <v>552.92</v>
      </c>
      <c r="P173" s="26">
        <v>552.92</v>
      </c>
      <c r="Q173" s="26">
        <v>552.92</v>
      </c>
      <c r="R173" s="26">
        <v>552.92</v>
      </c>
      <c r="S173" s="26">
        <v>552.92</v>
      </c>
      <c r="T173" s="26">
        <v>552.92</v>
      </c>
      <c r="U173" s="40"/>
      <c r="V173" s="26">
        <f>SUM(J173:U173)</f>
        <v>6112.12</v>
      </c>
    </row>
    <row r="174" spans="3:22" ht="12.75">
      <c r="C174" s="4" t="str">
        <f>C156</f>
        <v>Treasury Fee</v>
      </c>
      <c r="J174" s="52">
        <v>250</v>
      </c>
      <c r="V174" s="26">
        <f>SUM(J174:U174)</f>
        <v>250</v>
      </c>
    </row>
    <row r="175" spans="3:22" ht="13.5" thickBot="1">
      <c r="C175" s="4" t="str">
        <f>C157</f>
        <v>Intercept</v>
      </c>
      <c r="J175" s="26">
        <f>15000+26616.88</f>
        <v>41616.880000000005</v>
      </c>
      <c r="K175" s="26">
        <f>15000+26616.88</f>
        <v>41616.880000000005</v>
      </c>
      <c r="L175" s="26">
        <f>15000+26616.88</f>
        <v>41616.880000000005</v>
      </c>
      <c r="M175" s="26">
        <f>15000+26616.88</f>
        <v>41616.880000000005</v>
      </c>
      <c r="N175" s="26">
        <f>15000+26616.88</f>
        <v>41616.880000000005</v>
      </c>
      <c r="O175" s="26">
        <f aca="true" t="shared" si="19" ref="O175:T175">15833.33+25866.88</f>
        <v>41700.21</v>
      </c>
      <c r="P175" s="26">
        <f t="shared" si="19"/>
        <v>41700.21</v>
      </c>
      <c r="Q175" s="26">
        <f t="shared" si="19"/>
        <v>41700.21</v>
      </c>
      <c r="R175" s="26">
        <f t="shared" si="19"/>
        <v>41700.21</v>
      </c>
      <c r="S175" s="26">
        <f t="shared" si="19"/>
        <v>41700.21</v>
      </c>
      <c r="T175" s="26">
        <f t="shared" si="19"/>
        <v>41700.21</v>
      </c>
      <c r="U175" s="40"/>
      <c r="V175" s="26">
        <f>SUM(J175:U175)</f>
        <v>458285.6600000001</v>
      </c>
    </row>
    <row r="176" spans="3:22" ht="13.5" thickBot="1">
      <c r="C176" s="6" t="s">
        <v>58</v>
      </c>
      <c r="J176" s="27">
        <f aca="true" t="shared" si="20" ref="J176:V176">SUM(J173:J175)</f>
        <v>42434.8</v>
      </c>
      <c r="K176" s="27">
        <f t="shared" si="20"/>
        <v>42184.8</v>
      </c>
      <c r="L176" s="27">
        <f t="shared" si="20"/>
        <v>42169.8</v>
      </c>
      <c r="M176" s="27">
        <f t="shared" si="20"/>
        <v>42169.8</v>
      </c>
      <c r="N176" s="27">
        <f t="shared" si="20"/>
        <v>42169.8</v>
      </c>
      <c r="O176" s="27">
        <f t="shared" si="20"/>
        <v>42253.13</v>
      </c>
      <c r="P176" s="27">
        <f t="shared" si="20"/>
        <v>42253.13</v>
      </c>
      <c r="Q176" s="27">
        <f t="shared" si="20"/>
        <v>42253.13</v>
      </c>
      <c r="R176" s="27">
        <f t="shared" si="20"/>
        <v>42253.13</v>
      </c>
      <c r="S176" s="27">
        <f t="shared" si="20"/>
        <v>42253.13</v>
      </c>
      <c r="T176" s="27">
        <f t="shared" si="20"/>
        <v>42253.13</v>
      </c>
      <c r="U176" s="41">
        <f t="shared" si="20"/>
        <v>0</v>
      </c>
      <c r="V176" s="27">
        <f t="shared" si="20"/>
        <v>464647.7800000001</v>
      </c>
    </row>
    <row r="177" ht="12.75">
      <c r="C177" s="12"/>
    </row>
    <row r="178" spans="2:3" ht="21">
      <c r="B178" s="9" t="s">
        <v>105</v>
      </c>
      <c r="C178" s="30" t="s">
        <v>59</v>
      </c>
    </row>
    <row r="179" spans="3:22" ht="12.75">
      <c r="C179" s="4" t="str">
        <f>C161</f>
        <v>Debt Reserve</v>
      </c>
      <c r="J179" s="26">
        <v>835.42</v>
      </c>
      <c r="K179" s="26">
        <v>835.42</v>
      </c>
      <c r="L179" s="26">
        <v>812.5</v>
      </c>
      <c r="M179" s="26">
        <v>812.5</v>
      </c>
      <c r="N179" s="26">
        <v>812.5</v>
      </c>
      <c r="O179" s="26">
        <v>812.5</v>
      </c>
      <c r="P179" s="26">
        <v>812.5</v>
      </c>
      <c r="Q179" s="26">
        <v>812.5</v>
      </c>
      <c r="R179" s="26">
        <v>812.5</v>
      </c>
      <c r="S179" s="26">
        <v>812.5</v>
      </c>
      <c r="T179" s="26">
        <v>812.5</v>
      </c>
      <c r="U179" s="40"/>
      <c r="V179" s="26">
        <f>SUM(J179:U179)</f>
        <v>8983.34</v>
      </c>
    </row>
    <row r="180" spans="3:22" ht="12.75">
      <c r="C180" s="4" t="str">
        <f>C162</f>
        <v>Treasury Fee</v>
      </c>
      <c r="J180" s="52">
        <v>250</v>
      </c>
      <c r="V180" s="26">
        <f>SUM(J180:U180)</f>
        <v>250</v>
      </c>
    </row>
    <row r="181" spans="3:22" ht="13.5" thickBot="1">
      <c r="C181" s="4" t="str">
        <f>C163</f>
        <v>Intercept</v>
      </c>
      <c r="J181" s="26">
        <f aca="true" t="shared" si="21" ref="J181:T181">24166.67+35979.58</f>
        <v>60146.25</v>
      </c>
      <c r="K181" s="26">
        <f t="shared" si="21"/>
        <v>60146.25</v>
      </c>
      <c r="L181" s="26">
        <f t="shared" si="21"/>
        <v>60146.25</v>
      </c>
      <c r="M181" s="26">
        <f t="shared" si="21"/>
        <v>60146.25</v>
      </c>
      <c r="N181" s="26">
        <f t="shared" si="21"/>
        <v>60146.25</v>
      </c>
      <c r="O181" s="26">
        <f t="shared" si="21"/>
        <v>60146.25</v>
      </c>
      <c r="P181" s="26">
        <f t="shared" si="21"/>
        <v>60146.25</v>
      </c>
      <c r="Q181" s="26">
        <f t="shared" si="21"/>
        <v>60146.25</v>
      </c>
      <c r="R181" s="26">
        <f t="shared" si="21"/>
        <v>60146.25</v>
      </c>
      <c r="S181" s="26">
        <f t="shared" si="21"/>
        <v>60146.25</v>
      </c>
      <c r="T181" s="26">
        <f t="shared" si="21"/>
        <v>60146.25</v>
      </c>
      <c r="U181" s="40"/>
      <c r="V181" s="26">
        <f>SUM(J181:U181)</f>
        <v>661608.75</v>
      </c>
    </row>
    <row r="182" spans="3:22" ht="13.5" thickBot="1">
      <c r="C182" s="6" t="s">
        <v>60</v>
      </c>
      <c r="J182" s="27">
        <f aca="true" t="shared" si="22" ref="J182:V182">SUM(J179:J181)</f>
        <v>61231.67</v>
      </c>
      <c r="K182" s="27">
        <f t="shared" si="22"/>
        <v>60981.67</v>
      </c>
      <c r="L182" s="27">
        <f t="shared" si="22"/>
        <v>60958.75</v>
      </c>
      <c r="M182" s="27">
        <f t="shared" si="22"/>
        <v>60958.75</v>
      </c>
      <c r="N182" s="27">
        <f t="shared" si="22"/>
        <v>60958.75</v>
      </c>
      <c r="O182" s="27">
        <f t="shared" si="22"/>
        <v>60958.75</v>
      </c>
      <c r="P182" s="27">
        <f t="shared" si="22"/>
        <v>60958.75</v>
      </c>
      <c r="Q182" s="27">
        <f t="shared" si="22"/>
        <v>60958.75</v>
      </c>
      <c r="R182" s="27">
        <f t="shared" si="22"/>
        <v>60958.75</v>
      </c>
      <c r="S182" s="27">
        <f t="shared" si="22"/>
        <v>60958.75</v>
      </c>
      <c r="T182" s="27">
        <f t="shared" si="22"/>
        <v>60958.75</v>
      </c>
      <c r="U182" s="41">
        <f t="shared" si="22"/>
        <v>0</v>
      </c>
      <c r="V182" s="27">
        <f t="shared" si="22"/>
        <v>670842.09</v>
      </c>
    </row>
    <row r="183" ht="12.75">
      <c r="C183" s="12"/>
    </row>
    <row r="184" spans="1:3" ht="15.75">
      <c r="A184" s="1">
        <f>A154+1</f>
        <v>9</v>
      </c>
      <c r="C184" s="5" t="s">
        <v>62</v>
      </c>
    </row>
    <row r="185" spans="3:22" ht="12.75">
      <c r="C185" s="4" t="str">
        <f>C167</f>
        <v>Debt Reserve</v>
      </c>
      <c r="J185" s="26">
        <v>950.99</v>
      </c>
      <c r="K185" s="26">
        <v>950.99</v>
      </c>
      <c r="L185" s="26">
        <v>950.99</v>
      </c>
      <c r="M185" s="26">
        <v>950.99</v>
      </c>
      <c r="N185" s="26">
        <v>950.99</v>
      </c>
      <c r="O185" s="26">
        <v>950.99</v>
      </c>
      <c r="P185" s="26">
        <v>950.99</v>
      </c>
      <c r="Q185" s="26">
        <v>950.99</v>
      </c>
      <c r="R185" s="26">
        <v>950.99</v>
      </c>
      <c r="S185" s="26">
        <v>950.99</v>
      </c>
      <c r="T185" s="26">
        <v>950.99</v>
      </c>
      <c r="U185" s="40">
        <v>899.74</v>
      </c>
      <c r="V185" s="26">
        <f>SUM(J185:U185)</f>
        <v>11360.63</v>
      </c>
    </row>
    <row r="186" spans="3:22" ht="12.75">
      <c r="C186" s="4" t="str">
        <f>C168</f>
        <v>Treasury Fee</v>
      </c>
      <c r="J186" s="52">
        <v>250</v>
      </c>
      <c r="V186" s="26">
        <f>SUM(J186:U186)</f>
        <v>250</v>
      </c>
    </row>
    <row r="187" spans="3:22" ht="13.5" thickBot="1">
      <c r="C187" s="4" t="str">
        <f>C169</f>
        <v>Intercept</v>
      </c>
      <c r="J187" s="26">
        <f aca="true" t="shared" si="23" ref="J187:T187">48750+49192.71</f>
        <v>97942.70999999999</v>
      </c>
      <c r="K187" s="26">
        <f t="shared" si="23"/>
        <v>97942.70999999999</v>
      </c>
      <c r="L187" s="26">
        <f t="shared" si="23"/>
        <v>97942.70999999999</v>
      </c>
      <c r="M187" s="26">
        <f t="shared" si="23"/>
        <v>97942.70999999999</v>
      </c>
      <c r="N187" s="26">
        <f t="shared" si="23"/>
        <v>97942.70999999999</v>
      </c>
      <c r="O187" s="26">
        <f t="shared" si="23"/>
        <v>97942.70999999999</v>
      </c>
      <c r="P187" s="26">
        <f t="shared" si="23"/>
        <v>97942.70999999999</v>
      </c>
      <c r="Q187" s="26">
        <f t="shared" si="23"/>
        <v>97942.70999999999</v>
      </c>
      <c r="R187" s="26">
        <f t="shared" si="23"/>
        <v>97942.70999999999</v>
      </c>
      <c r="S187" s="26">
        <f t="shared" si="23"/>
        <v>97942.70999999999</v>
      </c>
      <c r="T187" s="26">
        <f t="shared" si="23"/>
        <v>97942.70999999999</v>
      </c>
      <c r="U187" s="40">
        <f>51250+46755.21</f>
        <v>98005.20999999999</v>
      </c>
      <c r="V187" s="26">
        <f>SUM(J187:U187)</f>
        <v>1175375.0199999998</v>
      </c>
    </row>
    <row r="188" spans="3:22" ht="13.5" thickBot="1">
      <c r="C188" s="6" t="s">
        <v>63</v>
      </c>
      <c r="J188" s="27">
        <f aca="true" t="shared" si="24" ref="J188:V188">SUM(J185:J187)</f>
        <v>99143.7</v>
      </c>
      <c r="K188" s="27">
        <f t="shared" si="24"/>
        <v>98893.7</v>
      </c>
      <c r="L188" s="27">
        <f t="shared" si="24"/>
        <v>98893.7</v>
      </c>
      <c r="M188" s="27">
        <f t="shared" si="24"/>
        <v>98893.7</v>
      </c>
      <c r="N188" s="27">
        <f t="shared" si="24"/>
        <v>98893.7</v>
      </c>
      <c r="O188" s="27">
        <f t="shared" si="24"/>
        <v>98893.7</v>
      </c>
      <c r="P188" s="27">
        <f t="shared" si="24"/>
        <v>98893.7</v>
      </c>
      <c r="Q188" s="27">
        <f t="shared" si="24"/>
        <v>98893.7</v>
      </c>
      <c r="R188" s="27">
        <f t="shared" si="24"/>
        <v>98893.7</v>
      </c>
      <c r="S188" s="27">
        <f t="shared" si="24"/>
        <v>98893.7</v>
      </c>
      <c r="T188" s="27">
        <f t="shared" si="24"/>
        <v>98893.7</v>
      </c>
      <c r="U188" s="41">
        <f t="shared" si="24"/>
        <v>98904.95</v>
      </c>
      <c r="V188" s="27">
        <f t="shared" si="24"/>
        <v>1186985.6499999997</v>
      </c>
    </row>
    <row r="189" ht="12.75">
      <c r="C189" s="12"/>
    </row>
    <row r="190" spans="1:3" ht="15.75">
      <c r="A190" s="1">
        <f>A184+1</f>
        <v>10</v>
      </c>
      <c r="C190" s="5" t="s">
        <v>64</v>
      </c>
    </row>
    <row r="191" spans="3:22" ht="12.75">
      <c r="C191" s="4" t="str">
        <f>C173</f>
        <v>Debt Reserve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40">
        <v>0</v>
      </c>
      <c r="V191" s="26">
        <f>SUM(J191:U191)</f>
        <v>0</v>
      </c>
    </row>
    <row r="192" spans="3:22" ht="12.75">
      <c r="C192" s="4" t="str">
        <f>C174</f>
        <v>Treasury Fee</v>
      </c>
      <c r="J192" s="52">
        <v>250</v>
      </c>
      <c r="V192" s="26">
        <f>SUM(J192:U192)</f>
        <v>250</v>
      </c>
    </row>
    <row r="193" spans="3:22" ht="13.5" thickBot="1">
      <c r="C193" s="4" t="str">
        <f>C175</f>
        <v>Intercept</v>
      </c>
      <c r="J193" s="26">
        <f>13333.33+36316.15</f>
        <v>49649.48</v>
      </c>
      <c r="K193" s="26">
        <f>13333.33+36316.15</f>
        <v>49649.48</v>
      </c>
      <c r="L193" s="26">
        <f>13333.33+36316.15</f>
        <v>49649.48</v>
      </c>
      <c r="M193" s="26">
        <f>13333.33+36316.15</f>
        <v>49649.48</v>
      </c>
      <c r="N193" s="26">
        <f>13333.33+36316.15</f>
        <v>49649.48</v>
      </c>
      <c r="O193" s="26">
        <f>14166.67+35499.48</f>
        <v>49666.15</v>
      </c>
      <c r="P193" s="26">
        <f aca="true" t="shared" si="25" ref="P193:V193">14166.67+35499.48</f>
        <v>49666.15</v>
      </c>
      <c r="Q193" s="26">
        <f t="shared" si="25"/>
        <v>49666.15</v>
      </c>
      <c r="R193" s="26">
        <f t="shared" si="25"/>
        <v>49666.15</v>
      </c>
      <c r="S193" s="26">
        <f t="shared" si="25"/>
        <v>49666.15</v>
      </c>
      <c r="T193" s="26">
        <f t="shared" si="25"/>
        <v>49666.15</v>
      </c>
      <c r="U193" s="40">
        <f t="shared" si="25"/>
        <v>49666.15</v>
      </c>
      <c r="V193" s="26">
        <f>SUM(J193:U193)</f>
        <v>595910.4500000002</v>
      </c>
    </row>
    <row r="194" spans="3:22" ht="13.5" thickBot="1">
      <c r="C194" s="6" t="s">
        <v>65</v>
      </c>
      <c r="J194" s="27">
        <f aca="true" t="shared" si="26" ref="J194:V194">SUM(J191:J193)</f>
        <v>49899.48</v>
      </c>
      <c r="K194" s="27">
        <f t="shared" si="26"/>
        <v>49649.48</v>
      </c>
      <c r="L194" s="27">
        <f t="shared" si="26"/>
        <v>49649.48</v>
      </c>
      <c r="M194" s="27">
        <f t="shared" si="26"/>
        <v>49649.48</v>
      </c>
      <c r="N194" s="27">
        <f t="shared" si="26"/>
        <v>49649.48</v>
      </c>
      <c r="O194" s="27">
        <f t="shared" si="26"/>
        <v>49666.15</v>
      </c>
      <c r="P194" s="27">
        <f t="shared" si="26"/>
        <v>49666.15</v>
      </c>
      <c r="Q194" s="27">
        <f t="shared" si="26"/>
        <v>49666.15</v>
      </c>
      <c r="R194" s="27">
        <f t="shared" si="26"/>
        <v>49666.15</v>
      </c>
      <c r="S194" s="27">
        <f t="shared" si="26"/>
        <v>49666.15</v>
      </c>
      <c r="T194" s="27">
        <f t="shared" si="26"/>
        <v>49666.15</v>
      </c>
      <c r="U194" s="41">
        <f t="shared" si="26"/>
        <v>49666.15</v>
      </c>
      <c r="V194" s="27">
        <f t="shared" si="26"/>
        <v>596160.4500000002</v>
      </c>
    </row>
    <row r="195" ht="12.75">
      <c r="C195" s="12"/>
    </row>
    <row r="196" spans="2:3" ht="21">
      <c r="B196" s="9" t="s">
        <v>105</v>
      </c>
      <c r="C196" s="30" t="s">
        <v>66</v>
      </c>
    </row>
    <row r="197" ht="12.75">
      <c r="C197" s="4" t="str">
        <f>C179</f>
        <v>Debt Reserve</v>
      </c>
    </row>
    <row r="198" ht="12.75">
      <c r="C198" s="4" t="str">
        <f>C180</f>
        <v>Treasury Fee</v>
      </c>
    </row>
    <row r="199" ht="13.5" thickBot="1">
      <c r="C199" s="4" t="str">
        <f>C181</f>
        <v>Intercept</v>
      </c>
    </row>
    <row r="200" ht="13.5" thickBot="1">
      <c r="C200" s="6" t="s">
        <v>67</v>
      </c>
    </row>
    <row r="201" ht="12.75">
      <c r="C201" s="12"/>
    </row>
    <row r="202" spans="1:3" ht="15.75">
      <c r="A202" s="1">
        <f>A190+1</f>
        <v>11</v>
      </c>
      <c r="C202" s="5" t="s">
        <v>134</v>
      </c>
    </row>
    <row r="203" spans="3:22" ht="12.75">
      <c r="C203" s="4" t="str">
        <f>C185</f>
        <v>Debt Reserve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40">
        <v>0</v>
      </c>
      <c r="V203" s="26">
        <f>SUM(J203:U203)</f>
        <v>0</v>
      </c>
    </row>
    <row r="204" spans="3:22" ht="12.75">
      <c r="C204" s="4" t="str">
        <f>C186</f>
        <v>Treasury Fee</v>
      </c>
      <c r="J204" s="52">
        <v>250</v>
      </c>
      <c r="V204" s="26">
        <f>SUM(J204:U204)</f>
        <v>250</v>
      </c>
    </row>
    <row r="205" spans="3:22" ht="13.5" thickBot="1">
      <c r="C205" s="4" t="str">
        <f>C187</f>
        <v>Intercept</v>
      </c>
      <c r="J205" s="26">
        <f>15833.33+47675</f>
        <v>63508.33</v>
      </c>
      <c r="K205" s="26">
        <f>15833.33+47675</f>
        <v>63508.33</v>
      </c>
      <c r="L205" s="26">
        <f>15833.33+47675</f>
        <v>63508.33</v>
      </c>
      <c r="M205" s="26">
        <f>17083.33+46725</f>
        <v>63808.33</v>
      </c>
      <c r="N205" s="26">
        <f aca="true" t="shared" si="27" ref="N205:V205">17083.33+46725</f>
        <v>63808.33</v>
      </c>
      <c r="O205" s="26">
        <f t="shared" si="27"/>
        <v>63808.33</v>
      </c>
      <c r="P205" s="26">
        <f t="shared" si="27"/>
        <v>63808.33</v>
      </c>
      <c r="Q205" s="26">
        <f t="shared" si="27"/>
        <v>63808.33</v>
      </c>
      <c r="R205" s="26">
        <f t="shared" si="27"/>
        <v>63808.33</v>
      </c>
      <c r="S205" s="26">
        <f t="shared" si="27"/>
        <v>63808.33</v>
      </c>
      <c r="T205" s="26">
        <f t="shared" si="27"/>
        <v>63808.33</v>
      </c>
      <c r="U205" s="40">
        <f t="shared" si="27"/>
        <v>63808.33</v>
      </c>
      <c r="V205" s="26">
        <f>SUM(J205:U205)</f>
        <v>764799.96</v>
      </c>
    </row>
    <row r="206" spans="3:22" ht="13.5" thickBot="1">
      <c r="C206" s="6" t="s">
        <v>68</v>
      </c>
      <c r="J206" s="27">
        <f aca="true" t="shared" si="28" ref="J206:V206">SUM(J203:J205)</f>
        <v>63758.33</v>
      </c>
      <c r="K206" s="27">
        <f t="shared" si="28"/>
        <v>63508.33</v>
      </c>
      <c r="L206" s="27">
        <f t="shared" si="28"/>
        <v>63508.33</v>
      </c>
      <c r="M206" s="27">
        <f t="shared" si="28"/>
        <v>63808.33</v>
      </c>
      <c r="N206" s="27">
        <f t="shared" si="28"/>
        <v>63808.33</v>
      </c>
      <c r="O206" s="27">
        <f t="shared" si="28"/>
        <v>63808.33</v>
      </c>
      <c r="P206" s="27">
        <f t="shared" si="28"/>
        <v>63808.33</v>
      </c>
      <c r="Q206" s="27">
        <f t="shared" si="28"/>
        <v>63808.33</v>
      </c>
      <c r="R206" s="27">
        <f t="shared" si="28"/>
        <v>63808.33</v>
      </c>
      <c r="S206" s="27">
        <f t="shared" si="28"/>
        <v>63808.33</v>
      </c>
      <c r="T206" s="27">
        <f t="shared" si="28"/>
        <v>63808.33</v>
      </c>
      <c r="U206" s="41">
        <f t="shared" si="28"/>
        <v>63808.33</v>
      </c>
      <c r="V206" s="27">
        <f t="shared" si="28"/>
        <v>765049.96</v>
      </c>
    </row>
    <row r="207" ht="12.75">
      <c r="C207" s="12"/>
    </row>
    <row r="208" spans="1:3" ht="15.75">
      <c r="A208" s="1">
        <f>A202+1</f>
        <v>12</v>
      </c>
      <c r="C208" s="5" t="s">
        <v>69</v>
      </c>
    </row>
    <row r="209" spans="3:22" ht="12.75">
      <c r="C209" s="4" t="str">
        <f>C191</f>
        <v>Debt Reserve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40">
        <v>0</v>
      </c>
      <c r="V209" s="26">
        <f>SUM(J209:U209)</f>
        <v>0</v>
      </c>
    </row>
    <row r="210" spans="3:22" ht="12.75">
      <c r="C210" s="4" t="str">
        <f>C192</f>
        <v>Treasury Fee</v>
      </c>
      <c r="J210" s="52">
        <v>250</v>
      </c>
      <c r="V210" s="26">
        <f>SUM(J210:U210)</f>
        <v>250</v>
      </c>
    </row>
    <row r="211" spans="3:22" ht="13.5" thickBot="1">
      <c r="C211" s="4" t="str">
        <f>C193</f>
        <v>Intercept</v>
      </c>
      <c r="J211" s="26">
        <f aca="true" t="shared" si="29" ref="J211:S211">14166.67+29355.42</f>
        <v>43522.09</v>
      </c>
      <c r="K211" s="26">
        <f t="shared" si="29"/>
        <v>43522.09</v>
      </c>
      <c r="L211" s="26">
        <f t="shared" si="29"/>
        <v>43522.09</v>
      </c>
      <c r="M211" s="26">
        <f t="shared" si="29"/>
        <v>43522.09</v>
      </c>
      <c r="N211" s="26">
        <f t="shared" si="29"/>
        <v>43522.09</v>
      </c>
      <c r="O211" s="26">
        <f t="shared" si="29"/>
        <v>43522.09</v>
      </c>
      <c r="P211" s="26">
        <f t="shared" si="29"/>
        <v>43522.09</v>
      </c>
      <c r="Q211" s="26">
        <f t="shared" si="29"/>
        <v>43522.09</v>
      </c>
      <c r="R211" s="26">
        <f t="shared" si="29"/>
        <v>43522.09</v>
      </c>
      <c r="S211" s="26">
        <f t="shared" si="29"/>
        <v>43522.09</v>
      </c>
      <c r="T211" s="26">
        <f>15000+28590.42</f>
        <v>43590.42</v>
      </c>
      <c r="U211" s="40">
        <f>15000+28590.42</f>
        <v>43590.42</v>
      </c>
      <c r="V211" s="26">
        <f>SUM(J211:U211)</f>
        <v>522401.7399999999</v>
      </c>
    </row>
    <row r="212" spans="3:22" ht="13.5" thickBot="1">
      <c r="C212" s="6" t="s">
        <v>20</v>
      </c>
      <c r="J212" s="27">
        <f aca="true" t="shared" si="30" ref="J212:V212">SUM(J209:J211)</f>
        <v>43772.09</v>
      </c>
      <c r="K212" s="27">
        <f t="shared" si="30"/>
        <v>43522.09</v>
      </c>
      <c r="L212" s="27">
        <f t="shared" si="30"/>
        <v>43522.09</v>
      </c>
      <c r="M212" s="27">
        <f t="shared" si="30"/>
        <v>43522.09</v>
      </c>
      <c r="N212" s="27">
        <f t="shared" si="30"/>
        <v>43522.09</v>
      </c>
      <c r="O212" s="27">
        <f t="shared" si="30"/>
        <v>43522.09</v>
      </c>
      <c r="P212" s="27">
        <f t="shared" si="30"/>
        <v>43522.09</v>
      </c>
      <c r="Q212" s="27">
        <f t="shared" si="30"/>
        <v>43522.09</v>
      </c>
      <c r="R212" s="27">
        <f t="shared" si="30"/>
        <v>43522.09</v>
      </c>
      <c r="S212" s="27">
        <f t="shared" si="30"/>
        <v>43522.09</v>
      </c>
      <c r="T212" s="27">
        <f t="shared" si="30"/>
        <v>43590.42</v>
      </c>
      <c r="U212" s="41">
        <f t="shared" si="30"/>
        <v>43590.42</v>
      </c>
      <c r="V212" s="27">
        <f t="shared" si="30"/>
        <v>522651.7399999999</v>
      </c>
    </row>
    <row r="213" ht="12.75">
      <c r="C213" s="12"/>
    </row>
    <row r="214" spans="1:3" ht="15.75">
      <c r="A214" s="1">
        <f>A208+1</f>
        <v>13</v>
      </c>
      <c r="C214" s="5" t="s">
        <v>70</v>
      </c>
    </row>
    <row r="215" spans="3:22" ht="12.75">
      <c r="C215" s="4" t="str">
        <f>C197</f>
        <v>Debt Reserve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40">
        <v>0</v>
      </c>
      <c r="V215" s="26">
        <f>SUM(J215:U215)</f>
        <v>0</v>
      </c>
    </row>
    <row r="216" spans="3:22" ht="12.75">
      <c r="C216" s="4" t="str">
        <f>C198</f>
        <v>Treasury Fee</v>
      </c>
      <c r="J216" s="52">
        <v>250</v>
      </c>
      <c r="V216" s="26">
        <f>SUM(J216:U216)</f>
        <v>250</v>
      </c>
    </row>
    <row r="217" spans="3:22" ht="13.5" thickBot="1">
      <c r="C217" s="4" t="str">
        <f>C199</f>
        <v>Intercept</v>
      </c>
      <c r="J217" s="26">
        <f>9166.67+21703.13</f>
        <v>30869.800000000003</v>
      </c>
      <c r="K217" s="26">
        <f>9166.67+21703.13</f>
        <v>30869.800000000003</v>
      </c>
      <c r="L217" s="26">
        <f>9166.67+21703.13</f>
        <v>30869.800000000003</v>
      </c>
      <c r="M217" s="26">
        <f>9166.67+21703.13</f>
        <v>30869.800000000003</v>
      </c>
      <c r="N217" s="26">
        <f>9583.33+21187.5</f>
        <v>30770.83</v>
      </c>
      <c r="O217" s="26">
        <f aca="true" t="shared" si="31" ref="O217:V217">9583.33+21187.5</f>
        <v>30770.83</v>
      </c>
      <c r="P217" s="26">
        <f t="shared" si="31"/>
        <v>30770.83</v>
      </c>
      <c r="Q217" s="26">
        <f t="shared" si="31"/>
        <v>30770.83</v>
      </c>
      <c r="R217" s="26">
        <f t="shared" si="31"/>
        <v>30770.83</v>
      </c>
      <c r="S217" s="26">
        <f t="shared" si="31"/>
        <v>30770.83</v>
      </c>
      <c r="T217" s="26">
        <f t="shared" si="31"/>
        <v>30770.83</v>
      </c>
      <c r="U217" s="40">
        <f t="shared" si="31"/>
        <v>30770.83</v>
      </c>
      <c r="V217" s="26">
        <f>SUM(J217:U217)</f>
        <v>369645.84000000014</v>
      </c>
    </row>
    <row r="218" spans="3:22" ht="13.5" thickBot="1">
      <c r="C218" s="6" t="s">
        <v>71</v>
      </c>
      <c r="J218" s="27">
        <f aca="true" t="shared" si="32" ref="J218:V218">SUM(J215:J217)</f>
        <v>31119.800000000003</v>
      </c>
      <c r="K218" s="27">
        <f t="shared" si="32"/>
        <v>30869.800000000003</v>
      </c>
      <c r="L218" s="27">
        <f t="shared" si="32"/>
        <v>30869.800000000003</v>
      </c>
      <c r="M218" s="27">
        <f t="shared" si="32"/>
        <v>30869.800000000003</v>
      </c>
      <c r="N218" s="27">
        <f t="shared" si="32"/>
        <v>30770.83</v>
      </c>
      <c r="O218" s="27">
        <f t="shared" si="32"/>
        <v>30770.83</v>
      </c>
      <c r="P218" s="27">
        <f t="shared" si="32"/>
        <v>30770.83</v>
      </c>
      <c r="Q218" s="27">
        <f t="shared" si="32"/>
        <v>30770.83</v>
      </c>
      <c r="R218" s="27">
        <f t="shared" si="32"/>
        <v>30770.83</v>
      </c>
      <c r="S218" s="27">
        <f t="shared" si="32"/>
        <v>30770.83</v>
      </c>
      <c r="T218" s="27">
        <f t="shared" si="32"/>
        <v>30770.83</v>
      </c>
      <c r="U218" s="41">
        <f t="shared" si="32"/>
        <v>30770.83</v>
      </c>
      <c r="V218" s="27">
        <f t="shared" si="32"/>
        <v>369895.84000000014</v>
      </c>
    </row>
    <row r="219" ht="12.75">
      <c r="C219" s="12"/>
    </row>
    <row r="220" spans="1:3" ht="15.75">
      <c r="A220" s="1">
        <f>A214+1</f>
        <v>14</v>
      </c>
      <c r="C220" s="5" t="s">
        <v>72</v>
      </c>
    </row>
    <row r="221" spans="3:22" ht="12.75">
      <c r="C221" s="4" t="str">
        <f>C203</f>
        <v>Debt Reserve</v>
      </c>
      <c r="J221" s="26">
        <v>375.63</v>
      </c>
      <c r="K221" s="26">
        <v>375.63</v>
      </c>
      <c r="L221" s="26">
        <v>375.63</v>
      </c>
      <c r="M221" s="26">
        <v>375.63</v>
      </c>
      <c r="N221" s="26">
        <v>375.63</v>
      </c>
      <c r="O221" s="26">
        <v>375.63</v>
      </c>
      <c r="P221" s="26">
        <v>363.98</v>
      </c>
      <c r="Q221" s="26">
        <v>363.98</v>
      </c>
      <c r="R221" s="26">
        <v>363.98</v>
      </c>
      <c r="S221" s="26">
        <v>363.98</v>
      </c>
      <c r="T221" s="26">
        <v>363.98</v>
      </c>
      <c r="U221" s="40">
        <v>363.98</v>
      </c>
      <c r="V221" s="26">
        <f>SUM(J221:U221)</f>
        <v>4437.66</v>
      </c>
    </row>
    <row r="222" spans="3:22" ht="12.75">
      <c r="C222" s="4" t="str">
        <f>C204</f>
        <v>Treasury Fee</v>
      </c>
      <c r="J222" s="52">
        <v>250</v>
      </c>
      <c r="V222" s="26">
        <f>SUM(J222:U222)</f>
        <v>250</v>
      </c>
    </row>
    <row r="223" spans="3:22" ht="13.5" thickBot="1">
      <c r="C223" s="4" t="str">
        <f>C205</f>
        <v>Intercept</v>
      </c>
      <c r="J223" s="26">
        <f>11666.67+16073.75</f>
        <v>27740.42</v>
      </c>
      <c r="K223" s="26">
        <f>11666.67+16073.75</f>
        <v>27740.42</v>
      </c>
      <c r="L223" s="26">
        <f>11666.67+16073.75</f>
        <v>27740.42</v>
      </c>
      <c r="M223" s="26">
        <f>11666.67+16073.75</f>
        <v>27740.42</v>
      </c>
      <c r="N223" s="26">
        <f>11666.67+16073.75</f>
        <v>27740.42</v>
      </c>
      <c r="O223" s="26">
        <f>12083.33+15665.42</f>
        <v>27748.75</v>
      </c>
      <c r="P223" s="26">
        <f aca="true" t="shared" si="33" ref="P223:V223">12083.33+15665.42</f>
        <v>27748.75</v>
      </c>
      <c r="Q223" s="26">
        <f t="shared" si="33"/>
        <v>27748.75</v>
      </c>
      <c r="R223" s="26">
        <f t="shared" si="33"/>
        <v>27748.75</v>
      </c>
      <c r="S223" s="26">
        <f t="shared" si="33"/>
        <v>27748.75</v>
      </c>
      <c r="T223" s="26">
        <f t="shared" si="33"/>
        <v>27748.75</v>
      </c>
      <c r="U223" s="40">
        <f t="shared" si="33"/>
        <v>27748.75</v>
      </c>
      <c r="V223" s="26">
        <f>SUM(J223:U223)</f>
        <v>332943.35</v>
      </c>
    </row>
    <row r="224" spans="3:22" ht="13.5" thickBot="1">
      <c r="C224" s="6" t="s">
        <v>73</v>
      </c>
      <c r="J224" s="27">
        <f aca="true" t="shared" si="34" ref="J224:V224">SUM(J221:J223)</f>
        <v>28366.05</v>
      </c>
      <c r="K224" s="27">
        <f t="shared" si="34"/>
        <v>28116.05</v>
      </c>
      <c r="L224" s="27">
        <f t="shared" si="34"/>
        <v>28116.05</v>
      </c>
      <c r="M224" s="27">
        <f t="shared" si="34"/>
        <v>28116.05</v>
      </c>
      <c r="N224" s="27">
        <f t="shared" si="34"/>
        <v>28116.05</v>
      </c>
      <c r="O224" s="27">
        <f t="shared" si="34"/>
        <v>28124.38</v>
      </c>
      <c r="P224" s="27">
        <f t="shared" si="34"/>
        <v>28112.73</v>
      </c>
      <c r="Q224" s="27">
        <f t="shared" si="34"/>
        <v>28112.73</v>
      </c>
      <c r="R224" s="27">
        <f t="shared" si="34"/>
        <v>28112.73</v>
      </c>
      <c r="S224" s="27">
        <f t="shared" si="34"/>
        <v>28112.73</v>
      </c>
      <c r="T224" s="27">
        <f t="shared" si="34"/>
        <v>28112.73</v>
      </c>
      <c r="U224" s="41">
        <f t="shared" si="34"/>
        <v>28112.73</v>
      </c>
      <c r="V224" s="27">
        <f t="shared" si="34"/>
        <v>337631.00999999995</v>
      </c>
    </row>
    <row r="225" ht="12.75">
      <c r="C225" s="12"/>
    </row>
    <row r="226" spans="1:3" ht="15.75">
      <c r="A226" s="1">
        <f>A220+1</f>
        <v>15</v>
      </c>
      <c r="C226" s="13" t="s">
        <v>74</v>
      </c>
    </row>
    <row r="227" spans="3:22" ht="12.75">
      <c r="C227" s="4" t="str">
        <f>C209</f>
        <v>Debt Reserve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40">
        <v>0</v>
      </c>
      <c r="V227" s="26">
        <f>SUM(J227:U227)</f>
        <v>0</v>
      </c>
    </row>
    <row r="228" spans="3:22" ht="12.75">
      <c r="C228" s="4" t="str">
        <f>C210</f>
        <v>Treasury Fee</v>
      </c>
      <c r="J228" s="52">
        <v>250</v>
      </c>
      <c r="V228" s="26">
        <f>SUM(J228:U228)</f>
        <v>250</v>
      </c>
    </row>
    <row r="229" spans="3:22" ht="13.5" thickBot="1">
      <c r="C229" s="4" t="str">
        <f>C211</f>
        <v>Intercept</v>
      </c>
      <c r="J229" s="26">
        <f>7916.67+21155.21</f>
        <v>29071.879999999997</v>
      </c>
      <c r="K229" s="26">
        <f>7916.67+21155.21</f>
        <v>29071.879999999997</v>
      </c>
      <c r="L229" s="26">
        <f>7916.67+21155.21</f>
        <v>29071.879999999997</v>
      </c>
      <c r="M229" s="26">
        <f>7916.67+21155.21</f>
        <v>29071.879999999997</v>
      </c>
      <c r="N229" s="26">
        <f>7916.67+21155.21</f>
        <v>29071.879999999997</v>
      </c>
      <c r="O229" s="26">
        <f>8333.33+20700</f>
        <v>29033.33</v>
      </c>
      <c r="P229" s="26">
        <f aca="true" t="shared" si="35" ref="P229:V229">8333.33+20700</f>
        <v>29033.33</v>
      </c>
      <c r="Q229" s="26">
        <f t="shared" si="35"/>
        <v>29033.33</v>
      </c>
      <c r="R229" s="26">
        <f t="shared" si="35"/>
        <v>29033.33</v>
      </c>
      <c r="S229" s="26">
        <f t="shared" si="35"/>
        <v>29033.33</v>
      </c>
      <c r="T229" s="26">
        <f t="shared" si="35"/>
        <v>29033.33</v>
      </c>
      <c r="U229" s="40">
        <f t="shared" si="35"/>
        <v>29033.33</v>
      </c>
      <c r="V229" s="26">
        <f>SUM(J229:U229)</f>
        <v>348592.7100000001</v>
      </c>
    </row>
    <row r="230" spans="3:22" ht="13.5" thickBot="1">
      <c r="C230" s="14" t="s">
        <v>75</v>
      </c>
      <c r="J230" s="27">
        <f aca="true" t="shared" si="36" ref="J230:V230">SUM(J227:J229)</f>
        <v>29321.879999999997</v>
      </c>
      <c r="K230" s="27">
        <f t="shared" si="36"/>
        <v>29071.879999999997</v>
      </c>
      <c r="L230" s="27">
        <f t="shared" si="36"/>
        <v>29071.879999999997</v>
      </c>
      <c r="M230" s="27">
        <f t="shared" si="36"/>
        <v>29071.879999999997</v>
      </c>
      <c r="N230" s="27">
        <f t="shared" si="36"/>
        <v>29071.879999999997</v>
      </c>
      <c r="O230" s="27">
        <f t="shared" si="36"/>
        <v>29033.33</v>
      </c>
      <c r="P230" s="27">
        <f t="shared" si="36"/>
        <v>29033.33</v>
      </c>
      <c r="Q230" s="27">
        <f t="shared" si="36"/>
        <v>29033.33</v>
      </c>
      <c r="R230" s="27">
        <f t="shared" si="36"/>
        <v>29033.33</v>
      </c>
      <c r="S230" s="27">
        <f t="shared" si="36"/>
        <v>29033.33</v>
      </c>
      <c r="T230" s="27">
        <f t="shared" si="36"/>
        <v>29033.33</v>
      </c>
      <c r="U230" s="41">
        <f t="shared" si="36"/>
        <v>29033.33</v>
      </c>
      <c r="V230" s="27">
        <f t="shared" si="36"/>
        <v>348842.7100000001</v>
      </c>
    </row>
    <row r="231" ht="12.75">
      <c r="C231" s="12"/>
    </row>
    <row r="232" spans="1:3" ht="15.75">
      <c r="A232" s="1">
        <f>A226+1</f>
        <v>16</v>
      </c>
      <c r="C232" s="13" t="s">
        <v>76</v>
      </c>
    </row>
    <row r="233" spans="3:22" ht="12.75">
      <c r="C233" s="4" t="str">
        <f>C221</f>
        <v>Debt Reserve</v>
      </c>
      <c r="J233" s="26">
        <v>1140</v>
      </c>
      <c r="K233" s="26">
        <v>1140</v>
      </c>
      <c r="L233" s="26">
        <v>1140</v>
      </c>
      <c r="M233" s="26">
        <v>1140</v>
      </c>
      <c r="N233" s="26">
        <v>1140</v>
      </c>
      <c r="O233" s="26">
        <v>1140</v>
      </c>
      <c r="P233" s="26">
        <v>1140</v>
      </c>
      <c r="Q233" s="26">
        <v>1140</v>
      </c>
      <c r="R233" s="26">
        <v>1140</v>
      </c>
      <c r="S233" s="26">
        <v>1110</v>
      </c>
      <c r="T233" s="26">
        <v>1110</v>
      </c>
      <c r="U233" s="40">
        <v>1110</v>
      </c>
      <c r="V233" s="26">
        <f>SUM(J233:U233)</f>
        <v>13590</v>
      </c>
    </row>
    <row r="234" spans="3:22" ht="12.75">
      <c r="C234" s="4" t="str">
        <f>C222</f>
        <v>Treasury Fee</v>
      </c>
      <c r="J234" s="52">
        <v>250</v>
      </c>
      <c r="V234" s="26">
        <f>SUM(J234:U234)</f>
        <v>250</v>
      </c>
    </row>
    <row r="235" spans="3:22" ht="13.5" thickBot="1">
      <c r="C235" s="4" t="str">
        <f>C223</f>
        <v>Intercept</v>
      </c>
      <c r="J235" s="26">
        <f>30000+49779.69</f>
        <v>79779.69</v>
      </c>
      <c r="K235" s="26">
        <f>31250+48579.69</f>
        <v>79829.69</v>
      </c>
      <c r="L235" s="26">
        <f aca="true" t="shared" si="37" ref="L235:V235">31250+48579.69</f>
        <v>79829.69</v>
      </c>
      <c r="M235" s="26">
        <f t="shared" si="37"/>
        <v>79829.69</v>
      </c>
      <c r="N235" s="26">
        <f t="shared" si="37"/>
        <v>79829.69</v>
      </c>
      <c r="O235" s="26">
        <f t="shared" si="37"/>
        <v>79829.69</v>
      </c>
      <c r="P235" s="26">
        <f t="shared" si="37"/>
        <v>79829.69</v>
      </c>
      <c r="Q235" s="26">
        <f t="shared" si="37"/>
        <v>79829.69</v>
      </c>
      <c r="R235" s="26">
        <f t="shared" si="37"/>
        <v>79829.69</v>
      </c>
      <c r="S235" s="26">
        <f t="shared" si="37"/>
        <v>79829.69</v>
      </c>
      <c r="T235" s="26">
        <f t="shared" si="37"/>
        <v>79829.69</v>
      </c>
      <c r="U235" s="40">
        <f t="shared" si="37"/>
        <v>79829.69</v>
      </c>
      <c r="V235" s="26">
        <f>SUM(J235:U235)</f>
        <v>957906.2799999998</v>
      </c>
    </row>
    <row r="236" spans="3:22" ht="13.5" thickBot="1">
      <c r="C236" s="14" t="s">
        <v>77</v>
      </c>
      <c r="J236" s="27">
        <f aca="true" t="shared" si="38" ref="J236:V236">SUM(J233:J235)</f>
        <v>81169.69</v>
      </c>
      <c r="K236" s="27">
        <f t="shared" si="38"/>
        <v>80969.69</v>
      </c>
      <c r="L236" s="27">
        <f t="shared" si="38"/>
        <v>80969.69</v>
      </c>
      <c r="M236" s="27">
        <f t="shared" si="38"/>
        <v>80969.69</v>
      </c>
      <c r="N236" s="27">
        <f t="shared" si="38"/>
        <v>80969.69</v>
      </c>
      <c r="O236" s="27">
        <f t="shared" si="38"/>
        <v>80969.69</v>
      </c>
      <c r="P236" s="27">
        <f t="shared" si="38"/>
        <v>80969.69</v>
      </c>
      <c r="Q236" s="27">
        <f t="shared" si="38"/>
        <v>80969.69</v>
      </c>
      <c r="R236" s="27">
        <f t="shared" si="38"/>
        <v>80969.69</v>
      </c>
      <c r="S236" s="27">
        <f t="shared" si="38"/>
        <v>80939.69</v>
      </c>
      <c r="T236" s="27">
        <f t="shared" si="38"/>
        <v>80939.69</v>
      </c>
      <c r="U236" s="41">
        <f t="shared" si="38"/>
        <v>80939.69</v>
      </c>
      <c r="V236" s="27">
        <f t="shared" si="38"/>
        <v>971746.2799999998</v>
      </c>
    </row>
    <row r="237" ht="12.75">
      <c r="C237" s="12"/>
    </row>
    <row r="238" spans="1:3" ht="15.75">
      <c r="A238" s="1">
        <f>A232+1</f>
        <v>17</v>
      </c>
      <c r="C238" s="13" t="s">
        <v>78</v>
      </c>
    </row>
    <row r="239" spans="3:22" ht="12.75">
      <c r="C239" s="4" t="str">
        <f>C227</f>
        <v>Debt Reserve</v>
      </c>
      <c r="J239" s="26">
        <v>650.83</v>
      </c>
      <c r="K239" s="26">
        <v>650.83</v>
      </c>
      <c r="L239" s="26">
        <v>650.83</v>
      </c>
      <c r="M239" s="26">
        <v>650.83</v>
      </c>
      <c r="N239" s="26">
        <v>650.83</v>
      </c>
      <c r="O239" s="26">
        <v>650.83</v>
      </c>
      <c r="P239" s="26">
        <v>650.83</v>
      </c>
      <c r="Q239" s="26">
        <v>650.83</v>
      </c>
      <c r="R239" s="26">
        <v>650.83</v>
      </c>
      <c r="S239" s="26">
        <v>650.83</v>
      </c>
      <c r="T239" s="26">
        <v>650.83</v>
      </c>
      <c r="U239" s="40">
        <v>632.5</v>
      </c>
      <c r="V239" s="26">
        <f>SUM(J239:U239)</f>
        <v>7791.63</v>
      </c>
    </row>
    <row r="240" spans="3:22" ht="12.75">
      <c r="C240" s="4" t="str">
        <f>C228</f>
        <v>Treasury Fee</v>
      </c>
      <c r="J240" s="52">
        <v>250</v>
      </c>
      <c r="V240" s="26">
        <f>SUM(J240:U240)</f>
        <v>250</v>
      </c>
    </row>
    <row r="241" spans="3:22" ht="13.5" thickBot="1">
      <c r="C241" s="4" t="str">
        <f>C229</f>
        <v>Intercept</v>
      </c>
      <c r="J241" s="26">
        <f aca="true" t="shared" si="39" ref="J241:Q241">18333.33+29335.11</f>
        <v>47668.44</v>
      </c>
      <c r="K241" s="26">
        <f t="shared" si="39"/>
        <v>47668.44</v>
      </c>
      <c r="L241" s="26">
        <f t="shared" si="39"/>
        <v>47668.44</v>
      </c>
      <c r="M241" s="26">
        <f t="shared" si="39"/>
        <v>47668.44</v>
      </c>
      <c r="N241" s="26">
        <f t="shared" si="39"/>
        <v>47668.44</v>
      </c>
      <c r="O241" s="26">
        <f t="shared" si="39"/>
        <v>47668.44</v>
      </c>
      <c r="P241" s="26">
        <f t="shared" si="39"/>
        <v>47668.44</v>
      </c>
      <c r="Q241" s="26">
        <f t="shared" si="39"/>
        <v>47668.44</v>
      </c>
      <c r="R241" s="26">
        <f>18750+28601.77</f>
        <v>47351.770000000004</v>
      </c>
      <c r="S241" s="26">
        <f>18750+28601.77</f>
        <v>47351.770000000004</v>
      </c>
      <c r="T241" s="26">
        <f>18750+28601.77</f>
        <v>47351.770000000004</v>
      </c>
      <c r="U241" s="40">
        <f>18750+28601.77</f>
        <v>47351.770000000004</v>
      </c>
      <c r="V241" s="26">
        <f>SUM(J241:U241)</f>
        <v>570754.6000000001</v>
      </c>
    </row>
    <row r="242" spans="3:22" ht="13.5" thickBot="1">
      <c r="C242" s="14" t="s">
        <v>79</v>
      </c>
      <c r="J242" s="27">
        <f aca="true" t="shared" si="40" ref="J242:V242">SUM(J239:J241)</f>
        <v>48569.270000000004</v>
      </c>
      <c r="K242" s="27">
        <f t="shared" si="40"/>
        <v>48319.270000000004</v>
      </c>
      <c r="L242" s="27">
        <f t="shared" si="40"/>
        <v>48319.270000000004</v>
      </c>
      <c r="M242" s="27">
        <f t="shared" si="40"/>
        <v>48319.270000000004</v>
      </c>
      <c r="N242" s="27">
        <f t="shared" si="40"/>
        <v>48319.270000000004</v>
      </c>
      <c r="O242" s="27">
        <f t="shared" si="40"/>
        <v>48319.270000000004</v>
      </c>
      <c r="P242" s="27">
        <f t="shared" si="40"/>
        <v>48319.270000000004</v>
      </c>
      <c r="Q242" s="27">
        <f t="shared" si="40"/>
        <v>48319.270000000004</v>
      </c>
      <c r="R242" s="27">
        <f t="shared" si="40"/>
        <v>48002.600000000006</v>
      </c>
      <c r="S242" s="27">
        <f t="shared" si="40"/>
        <v>48002.600000000006</v>
      </c>
      <c r="T242" s="27">
        <f t="shared" si="40"/>
        <v>48002.600000000006</v>
      </c>
      <c r="U242" s="41">
        <f t="shared" si="40"/>
        <v>47984.270000000004</v>
      </c>
      <c r="V242" s="27">
        <f t="shared" si="40"/>
        <v>578796.2300000001</v>
      </c>
    </row>
    <row r="243" ht="12.75">
      <c r="C243" s="12"/>
    </row>
    <row r="244" spans="2:3" ht="21">
      <c r="B244" s="9" t="s">
        <v>105</v>
      </c>
      <c r="C244" s="45" t="s">
        <v>80</v>
      </c>
    </row>
    <row r="245" spans="3:22" ht="12.75">
      <c r="C245" s="4" t="str">
        <f>C239</f>
        <v>Debt Reserve</v>
      </c>
      <c r="J245" s="26">
        <v>456.67</v>
      </c>
      <c r="K245" s="26">
        <v>456.67</v>
      </c>
      <c r="L245" s="26">
        <v>456.67</v>
      </c>
      <c r="M245" s="26"/>
      <c r="N245" s="26"/>
      <c r="O245" s="26"/>
      <c r="P245" s="26"/>
      <c r="Q245" s="26"/>
      <c r="R245" s="26"/>
      <c r="S245" s="26"/>
      <c r="T245" s="26"/>
      <c r="U245" s="40"/>
      <c r="V245" s="26">
        <f>SUM(J245:U245)</f>
        <v>1370.01</v>
      </c>
    </row>
    <row r="246" spans="3:22" ht="12.75">
      <c r="C246" s="4" t="str">
        <f>C240</f>
        <v>Treasury Fee</v>
      </c>
      <c r="J246" s="52">
        <v>83.33</v>
      </c>
      <c r="V246" s="26">
        <f>SUM(J246:U246)</f>
        <v>83.33</v>
      </c>
    </row>
    <row r="247" spans="3:22" ht="13.5" thickBot="1">
      <c r="C247" s="4" t="str">
        <f>C241</f>
        <v>Intercept</v>
      </c>
      <c r="J247" s="26">
        <f>11666.67+22360.94</f>
        <v>34027.61</v>
      </c>
      <c r="K247" s="26">
        <f>11666.67+22360.94</f>
        <v>34027.61</v>
      </c>
      <c r="L247" s="26">
        <f>11666.67+22360.94</f>
        <v>34027.61</v>
      </c>
      <c r="M247" s="26"/>
      <c r="N247" s="26"/>
      <c r="O247" s="26"/>
      <c r="P247" s="26"/>
      <c r="Q247" s="26"/>
      <c r="R247" s="26"/>
      <c r="S247" s="26"/>
      <c r="T247" s="26"/>
      <c r="U247" s="40"/>
      <c r="V247" s="26">
        <f>SUM(J247:U247)</f>
        <v>102082.83</v>
      </c>
    </row>
    <row r="248" spans="3:22" ht="13.5" thickBot="1">
      <c r="C248" s="6" t="s">
        <v>30</v>
      </c>
      <c r="J248" s="27">
        <f aca="true" t="shared" si="41" ref="J248:V248">SUM(J245:J247)</f>
        <v>34567.61</v>
      </c>
      <c r="K248" s="27">
        <f t="shared" si="41"/>
        <v>34484.28</v>
      </c>
      <c r="L248" s="27">
        <f t="shared" si="41"/>
        <v>34484.28</v>
      </c>
      <c r="M248" s="27">
        <f t="shared" si="41"/>
        <v>0</v>
      </c>
      <c r="N248" s="27">
        <f t="shared" si="41"/>
        <v>0</v>
      </c>
      <c r="O248" s="27">
        <f t="shared" si="41"/>
        <v>0</v>
      </c>
      <c r="P248" s="27">
        <f t="shared" si="41"/>
        <v>0</v>
      </c>
      <c r="Q248" s="27">
        <f t="shared" si="41"/>
        <v>0</v>
      </c>
      <c r="R248" s="27">
        <f t="shared" si="41"/>
        <v>0</v>
      </c>
      <c r="S248" s="27">
        <f t="shared" si="41"/>
        <v>0</v>
      </c>
      <c r="T248" s="27">
        <f t="shared" si="41"/>
        <v>0</v>
      </c>
      <c r="U248" s="41">
        <f t="shared" si="41"/>
        <v>0</v>
      </c>
      <c r="V248" s="27">
        <f t="shared" si="41"/>
        <v>103536.17</v>
      </c>
    </row>
    <row r="249" ht="12.75">
      <c r="C249" s="12"/>
    </row>
    <row r="250" spans="2:3" ht="21">
      <c r="B250" s="9" t="s">
        <v>105</v>
      </c>
      <c r="C250" s="45" t="s">
        <v>81</v>
      </c>
    </row>
    <row r="251" spans="3:22" ht="12.75">
      <c r="C251" s="4" t="str">
        <f>C245</f>
        <v>Debt Reserve</v>
      </c>
      <c r="J251" s="26">
        <v>456.67</v>
      </c>
      <c r="K251" s="26">
        <v>456.67</v>
      </c>
      <c r="L251" s="26">
        <v>456.67</v>
      </c>
      <c r="M251" s="26"/>
      <c r="N251" s="26"/>
      <c r="O251" s="26"/>
      <c r="P251" s="26"/>
      <c r="Q251" s="26"/>
      <c r="R251" s="26"/>
      <c r="S251" s="26"/>
      <c r="T251" s="26"/>
      <c r="U251" s="40"/>
      <c r="V251" s="26">
        <f>SUM(J251:U251)</f>
        <v>1370.01</v>
      </c>
    </row>
    <row r="252" spans="3:22" ht="12.75">
      <c r="C252" s="4" t="str">
        <f>C246</f>
        <v>Treasury Fee</v>
      </c>
      <c r="J252" s="52">
        <v>83.33</v>
      </c>
      <c r="V252" s="26">
        <f>SUM(J252:U252)</f>
        <v>83.33</v>
      </c>
    </row>
    <row r="253" spans="3:22" ht="13.5" thickBot="1">
      <c r="C253" s="4" t="str">
        <f>C247</f>
        <v>Intercept</v>
      </c>
      <c r="J253" s="26">
        <f>11666.67+22360.94</f>
        <v>34027.61</v>
      </c>
      <c r="K253" s="26">
        <f>11666.67+22360.94</f>
        <v>34027.61</v>
      </c>
      <c r="L253" s="26">
        <f>11666.67+22360.94</f>
        <v>34027.61</v>
      </c>
      <c r="M253" s="26"/>
      <c r="N253" s="26"/>
      <c r="O253" s="26"/>
      <c r="P253" s="26"/>
      <c r="Q253" s="26"/>
      <c r="R253" s="26"/>
      <c r="S253" s="26"/>
      <c r="T253" s="26"/>
      <c r="U253" s="40"/>
      <c r="V253" s="26">
        <f>SUM(J253:U253)</f>
        <v>102082.83</v>
      </c>
    </row>
    <row r="254" spans="3:22" ht="13.5" thickBot="1">
      <c r="C254" s="6" t="s">
        <v>32</v>
      </c>
      <c r="J254" s="27">
        <f aca="true" t="shared" si="42" ref="J254:V254">SUM(J251:J253)</f>
        <v>34567.61</v>
      </c>
      <c r="K254" s="27">
        <f t="shared" si="42"/>
        <v>34484.28</v>
      </c>
      <c r="L254" s="27">
        <f t="shared" si="42"/>
        <v>34484.28</v>
      </c>
      <c r="M254" s="27">
        <f t="shared" si="42"/>
        <v>0</v>
      </c>
      <c r="N254" s="27">
        <f t="shared" si="42"/>
        <v>0</v>
      </c>
      <c r="O254" s="27">
        <f t="shared" si="42"/>
        <v>0</v>
      </c>
      <c r="P254" s="27">
        <f t="shared" si="42"/>
        <v>0</v>
      </c>
      <c r="Q254" s="27">
        <f t="shared" si="42"/>
        <v>0</v>
      </c>
      <c r="R254" s="27">
        <f t="shared" si="42"/>
        <v>0</v>
      </c>
      <c r="S254" s="27">
        <f t="shared" si="42"/>
        <v>0</v>
      </c>
      <c r="T254" s="27">
        <f t="shared" si="42"/>
        <v>0</v>
      </c>
      <c r="U254" s="41">
        <f t="shared" si="42"/>
        <v>0</v>
      </c>
      <c r="V254" s="27">
        <f t="shared" si="42"/>
        <v>103536.17</v>
      </c>
    </row>
    <row r="255" ht="12.75">
      <c r="C255" s="12"/>
    </row>
    <row r="256" spans="2:3" ht="21">
      <c r="B256" s="9" t="s">
        <v>105</v>
      </c>
      <c r="C256" s="45" t="s">
        <v>82</v>
      </c>
    </row>
    <row r="257" spans="3:22" ht="12.75">
      <c r="C257" s="4" t="str">
        <f>C251</f>
        <v>Debt Reserve</v>
      </c>
      <c r="J257" s="26">
        <v>606.25</v>
      </c>
      <c r="K257" s="26">
        <v>606.25</v>
      </c>
      <c r="L257" s="26">
        <v>606.25</v>
      </c>
      <c r="M257" s="26"/>
      <c r="N257" s="26"/>
      <c r="O257" s="26"/>
      <c r="P257" s="26"/>
      <c r="Q257" s="26"/>
      <c r="R257" s="26"/>
      <c r="S257" s="26"/>
      <c r="T257" s="26"/>
      <c r="U257" s="40"/>
      <c r="V257" s="26">
        <f>SUM(J257:U257)</f>
        <v>1818.75</v>
      </c>
    </row>
    <row r="258" spans="3:22" ht="12.75">
      <c r="C258" s="4" t="str">
        <f>C252</f>
        <v>Treasury Fee</v>
      </c>
      <c r="J258" s="52">
        <v>83.33</v>
      </c>
      <c r="V258" s="26">
        <f>SUM(J258:U258)</f>
        <v>83.33</v>
      </c>
    </row>
    <row r="259" spans="3:22" ht="13.5" thickBot="1">
      <c r="C259" s="4" t="str">
        <f>C253</f>
        <v>Intercept</v>
      </c>
      <c r="J259" s="26">
        <f>15416.67+29685.94</f>
        <v>45102.61</v>
      </c>
      <c r="K259" s="26">
        <f>15416.67+29685.94</f>
        <v>45102.61</v>
      </c>
      <c r="L259" s="26">
        <f>15416.67+29685.94</f>
        <v>45102.61</v>
      </c>
      <c r="M259" s="26"/>
      <c r="N259" s="26"/>
      <c r="O259" s="26"/>
      <c r="P259" s="26"/>
      <c r="Q259" s="26"/>
      <c r="R259" s="26"/>
      <c r="S259" s="26"/>
      <c r="T259" s="26"/>
      <c r="U259" s="40"/>
      <c r="V259" s="26">
        <f>SUM(J259:U259)</f>
        <v>135307.83000000002</v>
      </c>
    </row>
    <row r="260" spans="3:22" ht="13.5" thickBot="1">
      <c r="C260" s="14" t="s">
        <v>83</v>
      </c>
      <c r="J260" s="27">
        <f aca="true" t="shared" si="43" ref="J260:V260">SUM(J257:J259)</f>
        <v>45792.19</v>
      </c>
      <c r="K260" s="27">
        <f t="shared" si="43"/>
        <v>45708.86</v>
      </c>
      <c r="L260" s="27">
        <f t="shared" si="43"/>
        <v>45708.86</v>
      </c>
      <c r="M260" s="27">
        <f t="shared" si="43"/>
        <v>0</v>
      </c>
      <c r="N260" s="27">
        <f t="shared" si="43"/>
        <v>0</v>
      </c>
      <c r="O260" s="27">
        <f t="shared" si="43"/>
        <v>0</v>
      </c>
      <c r="P260" s="27">
        <f t="shared" si="43"/>
        <v>0</v>
      </c>
      <c r="Q260" s="27">
        <f t="shared" si="43"/>
        <v>0</v>
      </c>
      <c r="R260" s="27">
        <f t="shared" si="43"/>
        <v>0</v>
      </c>
      <c r="S260" s="27">
        <f t="shared" si="43"/>
        <v>0</v>
      </c>
      <c r="T260" s="27">
        <f t="shared" si="43"/>
        <v>0</v>
      </c>
      <c r="U260" s="41">
        <f t="shared" si="43"/>
        <v>0</v>
      </c>
      <c r="V260" s="27">
        <f t="shared" si="43"/>
        <v>137209.91</v>
      </c>
    </row>
    <row r="261" ht="12.75">
      <c r="C261" s="15"/>
    </row>
    <row r="262" spans="1:3" ht="21">
      <c r="A262" s="16"/>
      <c r="B262" s="7" t="s">
        <v>104</v>
      </c>
      <c r="C262" s="36" t="s">
        <v>85</v>
      </c>
    </row>
    <row r="263" ht="12.75">
      <c r="C263" s="4" t="str">
        <f>C257</f>
        <v>Debt Reserve</v>
      </c>
    </row>
    <row r="264" ht="12.75">
      <c r="C264" s="4" t="str">
        <f>C258</f>
        <v>Treasury Fee</v>
      </c>
    </row>
    <row r="265" ht="13.5" thickBot="1">
      <c r="C265" s="4" t="str">
        <f>C259</f>
        <v>Intercept</v>
      </c>
    </row>
    <row r="266" ht="13.5" thickBot="1">
      <c r="C266" s="14" t="s">
        <v>86</v>
      </c>
    </row>
    <row r="267" ht="12.75">
      <c r="C267" s="15"/>
    </row>
    <row r="268" spans="1:3" ht="15.75">
      <c r="A268" s="16">
        <f>A238+1</f>
        <v>18</v>
      </c>
      <c r="C268" s="13" t="s">
        <v>88</v>
      </c>
    </row>
    <row r="269" spans="3:22" ht="12.75">
      <c r="C269" s="4" t="str">
        <f>C263</f>
        <v>Debt Reserve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40">
        <v>0</v>
      </c>
      <c r="V269" s="26">
        <f>SUM(J269:U269)</f>
        <v>0</v>
      </c>
    </row>
    <row r="270" spans="3:22" ht="12.75">
      <c r="C270" s="4" t="str">
        <f>C264</f>
        <v>Treasury Fee</v>
      </c>
      <c r="J270" s="52">
        <v>250</v>
      </c>
      <c r="V270" s="26">
        <f>SUM(J270:U270)</f>
        <v>250</v>
      </c>
    </row>
    <row r="271" spans="3:22" ht="13.5" thickBot="1">
      <c r="C271" s="4" t="str">
        <f>C265</f>
        <v>Intercept</v>
      </c>
      <c r="J271" s="26">
        <f aca="true" t="shared" si="44" ref="J271:S271">12083.33+28951.25</f>
        <v>41034.58</v>
      </c>
      <c r="K271" s="26">
        <f t="shared" si="44"/>
        <v>41034.58</v>
      </c>
      <c r="L271" s="26">
        <f t="shared" si="44"/>
        <v>41034.58</v>
      </c>
      <c r="M271" s="26">
        <f t="shared" si="44"/>
        <v>41034.58</v>
      </c>
      <c r="N271" s="26">
        <f t="shared" si="44"/>
        <v>41034.58</v>
      </c>
      <c r="O271" s="26">
        <f t="shared" si="44"/>
        <v>41034.58</v>
      </c>
      <c r="P271" s="26">
        <f t="shared" si="44"/>
        <v>41034.58</v>
      </c>
      <c r="Q271" s="26">
        <f t="shared" si="44"/>
        <v>41034.58</v>
      </c>
      <c r="R271" s="26">
        <f t="shared" si="44"/>
        <v>41034.58</v>
      </c>
      <c r="S271" s="26">
        <f t="shared" si="44"/>
        <v>41034.58</v>
      </c>
      <c r="T271" s="26">
        <f>12916.67+28262.5</f>
        <v>41179.17</v>
      </c>
      <c r="U271" s="40">
        <f>12916.67+28262.5</f>
        <v>41179.17</v>
      </c>
      <c r="V271" s="26">
        <f>SUM(J271:U271)</f>
        <v>492704.1400000001</v>
      </c>
    </row>
    <row r="272" spans="3:22" ht="13.5" thickBot="1">
      <c r="C272" s="14" t="s">
        <v>89</v>
      </c>
      <c r="J272" s="27">
        <f aca="true" t="shared" si="45" ref="J272:V272">SUM(J269:J271)</f>
        <v>41284.58</v>
      </c>
      <c r="K272" s="27">
        <f t="shared" si="45"/>
        <v>41034.58</v>
      </c>
      <c r="L272" s="27">
        <f t="shared" si="45"/>
        <v>41034.58</v>
      </c>
      <c r="M272" s="27">
        <f t="shared" si="45"/>
        <v>41034.58</v>
      </c>
      <c r="N272" s="27">
        <f t="shared" si="45"/>
        <v>41034.58</v>
      </c>
      <c r="O272" s="27">
        <f t="shared" si="45"/>
        <v>41034.58</v>
      </c>
      <c r="P272" s="27">
        <f t="shared" si="45"/>
        <v>41034.58</v>
      </c>
      <c r="Q272" s="27">
        <f t="shared" si="45"/>
        <v>41034.58</v>
      </c>
      <c r="R272" s="27">
        <f t="shared" si="45"/>
        <v>41034.58</v>
      </c>
      <c r="S272" s="27">
        <f t="shared" si="45"/>
        <v>41034.58</v>
      </c>
      <c r="T272" s="27">
        <f t="shared" si="45"/>
        <v>41179.17</v>
      </c>
      <c r="U272" s="41">
        <f t="shared" si="45"/>
        <v>41179.17</v>
      </c>
      <c r="V272" s="27">
        <f t="shared" si="45"/>
        <v>492954.1400000001</v>
      </c>
    </row>
    <row r="273" ht="12.75">
      <c r="C273" s="15"/>
    </row>
    <row r="274" spans="1:3" ht="15.75">
      <c r="A274" s="16">
        <f>+A268+1</f>
        <v>19</v>
      </c>
      <c r="C274" s="13" t="s">
        <v>90</v>
      </c>
    </row>
    <row r="275" spans="3:22" ht="12.75">
      <c r="C275" s="4" t="str">
        <f>C269</f>
        <v>Debt Reserve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40">
        <v>0</v>
      </c>
      <c r="V275" s="26">
        <f>SUM(J275:U275)</f>
        <v>0</v>
      </c>
    </row>
    <row r="276" spans="3:22" ht="12.75">
      <c r="C276" s="4" t="str">
        <f>C270</f>
        <v>Treasury Fee</v>
      </c>
      <c r="J276" s="52">
        <v>250</v>
      </c>
      <c r="V276" s="26">
        <f>SUM(J276:U276)</f>
        <v>250</v>
      </c>
    </row>
    <row r="277" spans="3:22" ht="13.5" thickBot="1">
      <c r="C277" s="4" t="str">
        <f>C271</f>
        <v>Intercept</v>
      </c>
      <c r="J277" s="26">
        <f aca="true" t="shared" si="46" ref="J277:S277">2500+11375</f>
        <v>13875</v>
      </c>
      <c r="K277" s="26">
        <f t="shared" si="46"/>
        <v>13875</v>
      </c>
      <c r="L277" s="26">
        <f t="shared" si="46"/>
        <v>13875</v>
      </c>
      <c r="M277" s="26">
        <f t="shared" si="46"/>
        <v>13875</v>
      </c>
      <c r="N277" s="26">
        <f t="shared" si="46"/>
        <v>13875</v>
      </c>
      <c r="O277" s="26">
        <f t="shared" si="46"/>
        <v>13875</v>
      </c>
      <c r="P277" s="26">
        <f t="shared" si="46"/>
        <v>13875</v>
      </c>
      <c r="Q277" s="26">
        <f t="shared" si="46"/>
        <v>13875</v>
      </c>
      <c r="R277" s="26">
        <f t="shared" si="46"/>
        <v>13875</v>
      </c>
      <c r="S277" s="26">
        <f t="shared" si="46"/>
        <v>13875</v>
      </c>
      <c r="T277" s="26">
        <f>2916.67+11187.5</f>
        <v>14104.17</v>
      </c>
      <c r="U277" s="40">
        <f>2916.67+11187.5</f>
        <v>14104.17</v>
      </c>
      <c r="V277" s="26">
        <f>SUM(J277:U277)</f>
        <v>166958.34000000003</v>
      </c>
    </row>
    <row r="278" spans="3:22" ht="13.5" thickBot="1">
      <c r="C278" s="14" t="s">
        <v>91</v>
      </c>
      <c r="J278" s="27">
        <f aca="true" t="shared" si="47" ref="J278:V278">SUM(J275:J277)</f>
        <v>14125</v>
      </c>
      <c r="K278" s="27">
        <f t="shared" si="47"/>
        <v>13875</v>
      </c>
      <c r="L278" s="27">
        <f t="shared" si="47"/>
        <v>13875</v>
      </c>
      <c r="M278" s="27">
        <f t="shared" si="47"/>
        <v>13875</v>
      </c>
      <c r="N278" s="27">
        <f t="shared" si="47"/>
        <v>13875</v>
      </c>
      <c r="O278" s="27">
        <f t="shared" si="47"/>
        <v>13875</v>
      </c>
      <c r="P278" s="27">
        <f t="shared" si="47"/>
        <v>13875</v>
      </c>
      <c r="Q278" s="27">
        <f t="shared" si="47"/>
        <v>13875</v>
      </c>
      <c r="R278" s="27">
        <f t="shared" si="47"/>
        <v>13875</v>
      </c>
      <c r="S278" s="27">
        <f t="shared" si="47"/>
        <v>13875</v>
      </c>
      <c r="T278" s="27">
        <f t="shared" si="47"/>
        <v>14104.17</v>
      </c>
      <c r="U278" s="41">
        <f t="shared" si="47"/>
        <v>14104.17</v>
      </c>
      <c r="V278" s="27">
        <f t="shared" si="47"/>
        <v>167208.34000000003</v>
      </c>
    </row>
    <row r="279" ht="12.75">
      <c r="C279" s="15"/>
    </row>
    <row r="280" spans="1:3" ht="15.75">
      <c r="A280" s="16">
        <f>+A274+1</f>
        <v>20</v>
      </c>
      <c r="C280" s="13" t="s">
        <v>92</v>
      </c>
    </row>
    <row r="281" spans="3:22" ht="12.75">
      <c r="C281" s="4" t="str">
        <f>C275</f>
        <v>Debt Reserve</v>
      </c>
      <c r="J281" s="26">
        <v>535.42</v>
      </c>
      <c r="K281" s="26">
        <v>535.42</v>
      </c>
      <c r="L281" s="26">
        <v>535.42</v>
      </c>
      <c r="M281" s="26">
        <v>535.42</v>
      </c>
      <c r="N281" s="26">
        <v>535.42</v>
      </c>
      <c r="O281" s="26">
        <v>535.42</v>
      </c>
      <c r="P281" s="26">
        <v>535.42</v>
      </c>
      <c r="Q281" s="26">
        <v>535.42</v>
      </c>
      <c r="R281" s="26">
        <v>535.42</v>
      </c>
      <c r="S281" s="26">
        <v>535.42</v>
      </c>
      <c r="T281" s="26">
        <v>535.42</v>
      </c>
      <c r="U281" s="40">
        <v>524.08</v>
      </c>
      <c r="V281" s="26">
        <f>SUM(J281:U281)</f>
        <v>6413.7</v>
      </c>
    </row>
    <row r="282" spans="3:22" ht="12.75">
      <c r="C282" s="4" t="str">
        <f>C276</f>
        <v>Treasury Fee</v>
      </c>
      <c r="J282" s="52">
        <v>250</v>
      </c>
      <c r="V282" s="26">
        <f>SUM(J282:U282)</f>
        <v>250</v>
      </c>
    </row>
    <row r="283" spans="3:22" ht="13.5" thickBot="1">
      <c r="C283" s="4" t="str">
        <f>C277</f>
        <v>Intercept</v>
      </c>
      <c r="J283" s="26">
        <f aca="true" t="shared" si="48" ref="J283:T283">14166.67+26157.29</f>
        <v>40323.96</v>
      </c>
      <c r="K283" s="26">
        <f t="shared" si="48"/>
        <v>40323.96</v>
      </c>
      <c r="L283" s="26">
        <f t="shared" si="48"/>
        <v>40323.96</v>
      </c>
      <c r="M283" s="26">
        <f t="shared" si="48"/>
        <v>40323.96</v>
      </c>
      <c r="N283" s="26">
        <f t="shared" si="48"/>
        <v>40323.96</v>
      </c>
      <c r="O283" s="26">
        <f t="shared" si="48"/>
        <v>40323.96</v>
      </c>
      <c r="P283" s="26">
        <f t="shared" si="48"/>
        <v>40323.96</v>
      </c>
      <c r="Q283" s="26">
        <f t="shared" si="48"/>
        <v>40323.96</v>
      </c>
      <c r="R283" s="26">
        <f t="shared" si="48"/>
        <v>40323.96</v>
      </c>
      <c r="S283" s="26">
        <f t="shared" si="48"/>
        <v>40323.96</v>
      </c>
      <c r="T283" s="26">
        <f t="shared" si="48"/>
        <v>40323.96</v>
      </c>
      <c r="U283" s="40">
        <f>14583.33+25562.29</f>
        <v>40145.62</v>
      </c>
      <c r="V283" s="26">
        <f>SUM(J283:U283)</f>
        <v>483709.18000000005</v>
      </c>
    </row>
    <row r="284" spans="3:22" ht="13.5" thickBot="1">
      <c r="C284" s="14" t="s">
        <v>93</v>
      </c>
      <c r="J284" s="27">
        <f aca="true" t="shared" si="49" ref="J284:V284">SUM(J281:J283)</f>
        <v>41109.38</v>
      </c>
      <c r="K284" s="27">
        <f t="shared" si="49"/>
        <v>40859.38</v>
      </c>
      <c r="L284" s="27">
        <f t="shared" si="49"/>
        <v>40859.38</v>
      </c>
      <c r="M284" s="27">
        <f t="shared" si="49"/>
        <v>40859.38</v>
      </c>
      <c r="N284" s="27">
        <f t="shared" si="49"/>
        <v>40859.38</v>
      </c>
      <c r="O284" s="27">
        <f t="shared" si="49"/>
        <v>40859.38</v>
      </c>
      <c r="P284" s="27">
        <f t="shared" si="49"/>
        <v>40859.38</v>
      </c>
      <c r="Q284" s="27">
        <f t="shared" si="49"/>
        <v>40859.38</v>
      </c>
      <c r="R284" s="27">
        <f t="shared" si="49"/>
        <v>40859.38</v>
      </c>
      <c r="S284" s="27">
        <f t="shared" si="49"/>
        <v>40859.38</v>
      </c>
      <c r="T284" s="27">
        <f t="shared" si="49"/>
        <v>40859.38</v>
      </c>
      <c r="U284" s="41">
        <f t="shared" si="49"/>
        <v>40669.700000000004</v>
      </c>
      <c r="V284" s="27">
        <f t="shared" si="49"/>
        <v>490372.88000000006</v>
      </c>
    </row>
    <row r="285" ht="12.75">
      <c r="C285" s="15"/>
    </row>
    <row r="286" spans="1:3" ht="21">
      <c r="A286" s="16">
        <f>+A280+1</f>
        <v>21</v>
      </c>
      <c r="B286" s="33" t="s">
        <v>103</v>
      </c>
      <c r="C286" s="34" t="s">
        <v>158</v>
      </c>
    </row>
    <row r="287" spans="3:22" ht="12.75">
      <c r="C287" s="4" t="str">
        <f>C281</f>
        <v>Debt Reserve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40">
        <v>0</v>
      </c>
      <c r="V287" s="26">
        <f>SUM(J287:U287)</f>
        <v>0</v>
      </c>
    </row>
    <row r="288" spans="3:22" ht="12.75">
      <c r="C288" s="4" t="str">
        <f>C282</f>
        <v>Treasury Fee</v>
      </c>
      <c r="J288" s="52">
        <v>250</v>
      </c>
      <c r="V288" s="26">
        <f>SUM(J288:U288)</f>
        <v>250</v>
      </c>
    </row>
    <row r="289" spans="3:22" ht="13.5" thickBot="1">
      <c r="C289" s="4" t="str">
        <f>C283</f>
        <v>Intercept</v>
      </c>
      <c r="J289" s="26">
        <f>9583.33+17750</f>
        <v>27333.33</v>
      </c>
      <c r="K289" s="26">
        <f>9583.33+17750</f>
        <v>27333.33</v>
      </c>
      <c r="L289" s="26">
        <f>9583.37+17750</f>
        <v>27333.370000000003</v>
      </c>
      <c r="M289" s="26">
        <f>10000+17175</f>
        <v>27175</v>
      </c>
      <c r="N289" s="26">
        <f aca="true" t="shared" si="50" ref="N289:V289">10000+17175</f>
        <v>27175</v>
      </c>
      <c r="O289" s="26">
        <f t="shared" si="50"/>
        <v>27175</v>
      </c>
      <c r="P289" s="26">
        <f t="shared" si="50"/>
        <v>27175</v>
      </c>
      <c r="Q289" s="26">
        <f t="shared" si="50"/>
        <v>27175</v>
      </c>
      <c r="R289" s="26">
        <f t="shared" si="50"/>
        <v>27175</v>
      </c>
      <c r="S289" s="26">
        <f t="shared" si="50"/>
        <v>27175</v>
      </c>
      <c r="T289" s="26">
        <f t="shared" si="50"/>
        <v>27175</v>
      </c>
      <c r="U289" s="40">
        <f t="shared" si="50"/>
        <v>27175</v>
      </c>
      <c r="V289" s="26">
        <f>SUM(J289:U289)</f>
        <v>326575.03</v>
      </c>
    </row>
    <row r="290" spans="3:22" ht="13.5" thickBot="1">
      <c r="C290" s="14" t="s">
        <v>94</v>
      </c>
      <c r="J290" s="27">
        <f aca="true" t="shared" si="51" ref="J290:V290">SUM(J287:J289)</f>
        <v>27583.33</v>
      </c>
      <c r="K290" s="27">
        <f t="shared" si="51"/>
        <v>27333.33</v>
      </c>
      <c r="L290" s="27">
        <f t="shared" si="51"/>
        <v>27333.370000000003</v>
      </c>
      <c r="M290" s="27">
        <f t="shared" si="51"/>
        <v>27175</v>
      </c>
      <c r="N290" s="27">
        <f t="shared" si="51"/>
        <v>27175</v>
      </c>
      <c r="O290" s="27">
        <f t="shared" si="51"/>
        <v>27175</v>
      </c>
      <c r="P290" s="27">
        <f t="shared" si="51"/>
        <v>27175</v>
      </c>
      <c r="Q290" s="27">
        <f t="shared" si="51"/>
        <v>27175</v>
      </c>
      <c r="R290" s="27">
        <f t="shared" si="51"/>
        <v>27175</v>
      </c>
      <c r="S290" s="27">
        <f t="shared" si="51"/>
        <v>27175</v>
      </c>
      <c r="T290" s="27">
        <f t="shared" si="51"/>
        <v>27175</v>
      </c>
      <c r="U290" s="41">
        <f t="shared" si="51"/>
        <v>27175</v>
      </c>
      <c r="V290" s="27">
        <f t="shared" si="51"/>
        <v>326825.03</v>
      </c>
    </row>
    <row r="291" ht="12.75">
      <c r="C291" s="15"/>
    </row>
    <row r="292" spans="1:3" ht="21">
      <c r="A292" s="16"/>
      <c r="B292" s="9" t="s">
        <v>105</v>
      </c>
      <c r="C292" s="45" t="s">
        <v>95</v>
      </c>
    </row>
    <row r="293" ht="12.75">
      <c r="C293" s="4" t="str">
        <f>C287</f>
        <v>Debt Reserve</v>
      </c>
    </row>
    <row r="294" ht="12.75">
      <c r="C294" s="4" t="str">
        <f>C288</f>
        <v>Treasury Fee</v>
      </c>
    </row>
    <row r="295" ht="13.5" thickBot="1">
      <c r="C295" s="4" t="str">
        <f>C289</f>
        <v>Intercept</v>
      </c>
    </row>
    <row r="296" ht="13.5" thickBot="1">
      <c r="C296" s="14" t="s">
        <v>96</v>
      </c>
    </row>
    <row r="297" ht="12.75">
      <c r="C297" s="15"/>
    </row>
    <row r="298" spans="1:3" ht="21">
      <c r="A298" s="16"/>
      <c r="B298" s="18" t="s">
        <v>104</v>
      </c>
      <c r="C298" s="19" t="s">
        <v>97</v>
      </c>
    </row>
    <row r="299" ht="12.75">
      <c r="C299" s="4" t="str">
        <f>C293</f>
        <v>Debt Reserve</v>
      </c>
    </row>
    <row r="300" ht="12.75">
      <c r="C300" s="4" t="str">
        <f>C294</f>
        <v>Treasury Fee</v>
      </c>
    </row>
    <row r="301" ht="13.5" thickBot="1">
      <c r="C301" s="4" t="str">
        <f>C295</f>
        <v>Intercept</v>
      </c>
    </row>
    <row r="302" ht="13.5" thickBot="1">
      <c r="C302" s="14" t="s">
        <v>98</v>
      </c>
    </row>
    <row r="303" ht="12.75">
      <c r="C303" s="15"/>
    </row>
    <row r="304" spans="1:3" ht="21">
      <c r="A304" s="16"/>
      <c r="B304" s="9" t="s">
        <v>105</v>
      </c>
      <c r="C304" s="30" t="s">
        <v>99</v>
      </c>
    </row>
    <row r="305" spans="3:22" ht="12.75">
      <c r="C305" s="4" t="str">
        <f>C299</f>
        <v>Debt Reserve</v>
      </c>
      <c r="J305" s="26">
        <v>793.75</v>
      </c>
      <c r="K305" s="26">
        <v>793.75</v>
      </c>
      <c r="L305" s="26">
        <v>793.75</v>
      </c>
      <c r="M305" s="26">
        <v>793.75</v>
      </c>
      <c r="N305" s="26">
        <v>793.75</v>
      </c>
      <c r="O305" s="26">
        <v>793.75</v>
      </c>
      <c r="P305" s="26">
        <v>776.67</v>
      </c>
      <c r="Q305" s="26">
        <v>776.67</v>
      </c>
      <c r="R305" s="26">
        <v>776.67</v>
      </c>
      <c r="S305" s="26">
        <v>776.67</v>
      </c>
      <c r="T305" s="26">
        <v>776.67</v>
      </c>
      <c r="U305" s="40"/>
      <c r="V305" s="26">
        <f>SUM(J305:U305)</f>
        <v>8645.85</v>
      </c>
    </row>
    <row r="306" spans="3:22" ht="12.75">
      <c r="C306" s="4" t="str">
        <f>C300</f>
        <v>Treasury Fee</v>
      </c>
      <c r="J306" s="52">
        <v>250</v>
      </c>
      <c r="V306" s="26">
        <f>SUM(J306:U306)</f>
        <v>250</v>
      </c>
    </row>
    <row r="307" spans="3:22" ht="13.5" thickBot="1">
      <c r="C307" s="4" t="str">
        <f>C301</f>
        <v>Intercept</v>
      </c>
      <c r="J307" s="26">
        <f aca="true" t="shared" si="52" ref="J307:T307">18333.33+40509.9</f>
        <v>58843.23</v>
      </c>
      <c r="K307" s="26">
        <f t="shared" si="52"/>
        <v>58843.23</v>
      </c>
      <c r="L307" s="26">
        <f t="shared" si="52"/>
        <v>58843.23</v>
      </c>
      <c r="M307" s="26">
        <f t="shared" si="52"/>
        <v>58843.23</v>
      </c>
      <c r="N307" s="26">
        <f t="shared" si="52"/>
        <v>58843.23</v>
      </c>
      <c r="O307" s="26">
        <f t="shared" si="52"/>
        <v>58843.23</v>
      </c>
      <c r="P307" s="26">
        <f t="shared" si="52"/>
        <v>58843.23</v>
      </c>
      <c r="Q307" s="26">
        <f t="shared" si="52"/>
        <v>58843.23</v>
      </c>
      <c r="R307" s="26">
        <f t="shared" si="52"/>
        <v>58843.23</v>
      </c>
      <c r="S307" s="26">
        <f t="shared" si="52"/>
        <v>58843.23</v>
      </c>
      <c r="T307" s="26">
        <f t="shared" si="52"/>
        <v>58843.23</v>
      </c>
      <c r="U307" s="40"/>
      <c r="V307" s="26">
        <f>SUM(J307:U307)</f>
        <v>647275.5299999999</v>
      </c>
    </row>
    <row r="308" spans="3:22" ht="13.5" thickBot="1">
      <c r="C308" s="6" t="s">
        <v>100</v>
      </c>
      <c r="J308" s="27">
        <f aca="true" t="shared" si="53" ref="J308:V308">SUM(J305:J307)</f>
        <v>59886.98</v>
      </c>
      <c r="K308" s="27">
        <f t="shared" si="53"/>
        <v>59636.98</v>
      </c>
      <c r="L308" s="27">
        <f t="shared" si="53"/>
        <v>59636.98</v>
      </c>
      <c r="M308" s="27">
        <f t="shared" si="53"/>
        <v>59636.98</v>
      </c>
      <c r="N308" s="27">
        <f t="shared" si="53"/>
        <v>59636.98</v>
      </c>
      <c r="O308" s="27">
        <f t="shared" si="53"/>
        <v>59636.98</v>
      </c>
      <c r="P308" s="27">
        <f t="shared" si="53"/>
        <v>59619.9</v>
      </c>
      <c r="Q308" s="27">
        <f t="shared" si="53"/>
        <v>59619.9</v>
      </c>
      <c r="R308" s="27">
        <f t="shared" si="53"/>
        <v>59619.9</v>
      </c>
      <c r="S308" s="27">
        <f t="shared" si="53"/>
        <v>59619.9</v>
      </c>
      <c r="T308" s="27">
        <f t="shared" si="53"/>
        <v>59619.9</v>
      </c>
      <c r="U308" s="41">
        <f t="shared" si="53"/>
        <v>0</v>
      </c>
      <c r="V308" s="27">
        <f t="shared" si="53"/>
        <v>656171.3799999999</v>
      </c>
    </row>
    <row r="309" ht="12.75">
      <c r="C309" s="15"/>
    </row>
    <row r="310" spans="1:3" ht="21">
      <c r="A310" s="16">
        <f>+A286+1</f>
        <v>22</v>
      </c>
      <c r="B310" s="33" t="s">
        <v>103</v>
      </c>
      <c r="C310" s="32" t="s">
        <v>101</v>
      </c>
    </row>
    <row r="311" spans="3:22" ht="12.75">
      <c r="C311" s="4" t="str">
        <f>C305</f>
        <v>Debt Reserve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40">
        <v>0</v>
      </c>
      <c r="V311" s="26">
        <f>SUM(J311:U311)</f>
        <v>0</v>
      </c>
    </row>
    <row r="312" spans="3:22" ht="12.75">
      <c r="C312" s="4" t="str">
        <f>C306</f>
        <v>Treasury Fee</v>
      </c>
      <c r="J312" s="52">
        <v>250</v>
      </c>
      <c r="V312" s="26">
        <f>SUM(J312:U312)</f>
        <v>250</v>
      </c>
    </row>
    <row r="313" spans="3:22" ht="13.5" thickBot="1">
      <c r="C313" s="4" t="str">
        <f>C307</f>
        <v>Intercept</v>
      </c>
      <c r="J313" s="26">
        <f>13750+42031.25</f>
        <v>55781.25</v>
      </c>
      <c r="K313" s="26">
        <f aca="true" t="shared" si="54" ref="K313:U313">13750+42031.25</f>
        <v>55781.25</v>
      </c>
      <c r="L313" s="26">
        <f t="shared" si="54"/>
        <v>55781.25</v>
      </c>
      <c r="M313" s="26">
        <f t="shared" si="54"/>
        <v>55781.25</v>
      </c>
      <c r="N313" s="26">
        <f t="shared" si="54"/>
        <v>55781.25</v>
      </c>
      <c r="O313" s="26">
        <f t="shared" si="54"/>
        <v>55781.25</v>
      </c>
      <c r="P313" s="26">
        <f t="shared" si="54"/>
        <v>55781.25</v>
      </c>
      <c r="Q313" s="26">
        <f t="shared" si="54"/>
        <v>55781.25</v>
      </c>
      <c r="R313" s="26">
        <f t="shared" si="54"/>
        <v>55781.25</v>
      </c>
      <c r="S313" s="26">
        <f t="shared" si="54"/>
        <v>55781.25</v>
      </c>
      <c r="T313" s="26">
        <f t="shared" si="54"/>
        <v>55781.25</v>
      </c>
      <c r="U313" s="40">
        <f t="shared" si="54"/>
        <v>55781.25</v>
      </c>
      <c r="V313" s="26">
        <f>SUM(J313:U313)</f>
        <v>669375</v>
      </c>
    </row>
    <row r="314" spans="3:22" ht="13.5" thickBot="1">
      <c r="C314" s="6" t="s">
        <v>102</v>
      </c>
      <c r="J314" s="27">
        <f aca="true" t="shared" si="55" ref="J314:V314">SUM(J311:J313)</f>
        <v>56031.25</v>
      </c>
      <c r="K314" s="27">
        <f t="shared" si="55"/>
        <v>55781.25</v>
      </c>
      <c r="L314" s="27">
        <f t="shared" si="55"/>
        <v>55781.25</v>
      </c>
      <c r="M314" s="27">
        <f t="shared" si="55"/>
        <v>55781.25</v>
      </c>
      <c r="N314" s="27">
        <f t="shared" si="55"/>
        <v>55781.25</v>
      </c>
      <c r="O314" s="27">
        <f t="shared" si="55"/>
        <v>55781.25</v>
      </c>
      <c r="P314" s="27">
        <f t="shared" si="55"/>
        <v>55781.25</v>
      </c>
      <c r="Q314" s="27">
        <f t="shared" si="55"/>
        <v>55781.25</v>
      </c>
      <c r="R314" s="27">
        <f t="shared" si="55"/>
        <v>55781.25</v>
      </c>
      <c r="S314" s="27">
        <f t="shared" si="55"/>
        <v>55781.25</v>
      </c>
      <c r="T314" s="27">
        <f t="shared" si="55"/>
        <v>55781.25</v>
      </c>
      <c r="U314" s="41">
        <f t="shared" si="55"/>
        <v>55781.25</v>
      </c>
      <c r="V314" s="27">
        <f t="shared" si="55"/>
        <v>669625</v>
      </c>
    </row>
    <row r="315" ht="12.75">
      <c r="C315" s="15"/>
    </row>
    <row r="316" spans="1:3" ht="21">
      <c r="A316" s="16">
        <f>+A310+1</f>
        <v>23</v>
      </c>
      <c r="B316" s="17"/>
      <c r="C316" s="5" t="s">
        <v>106</v>
      </c>
    </row>
    <row r="317" spans="3:22" ht="12.75">
      <c r="C317" s="4" t="str">
        <f>C311</f>
        <v>Debt Reserve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40">
        <v>0</v>
      </c>
      <c r="V317" s="26">
        <f>SUM(J317:U317)</f>
        <v>0</v>
      </c>
    </row>
    <row r="318" spans="3:22" ht="12.75">
      <c r="C318" s="4" t="str">
        <f>C312</f>
        <v>Treasury Fee</v>
      </c>
      <c r="J318" s="52">
        <v>250</v>
      </c>
      <c r="V318" s="26">
        <f>SUM(J318:U318)</f>
        <v>250</v>
      </c>
    </row>
    <row r="319" spans="3:22" ht="13.5" thickBot="1">
      <c r="C319" s="4" t="str">
        <f>C313</f>
        <v>Intercept</v>
      </c>
      <c r="J319" s="26">
        <f aca="true" t="shared" si="56" ref="J319:R319">6250+25537.5</f>
        <v>31787.5</v>
      </c>
      <c r="K319" s="26">
        <f t="shared" si="56"/>
        <v>31787.5</v>
      </c>
      <c r="L319" s="26">
        <f t="shared" si="56"/>
        <v>31787.5</v>
      </c>
      <c r="M319" s="26">
        <f t="shared" si="56"/>
        <v>31787.5</v>
      </c>
      <c r="N319" s="26">
        <f t="shared" si="56"/>
        <v>31787.5</v>
      </c>
      <c r="O319" s="26">
        <f t="shared" si="56"/>
        <v>31787.5</v>
      </c>
      <c r="P319" s="26">
        <f t="shared" si="56"/>
        <v>31787.5</v>
      </c>
      <c r="Q319" s="26">
        <f t="shared" si="56"/>
        <v>31787.5</v>
      </c>
      <c r="R319" s="26">
        <f t="shared" si="56"/>
        <v>31787.5</v>
      </c>
      <c r="S319" s="26">
        <f>6666.67+25115.63</f>
        <v>31782.300000000003</v>
      </c>
      <c r="T319" s="26">
        <f>6666.67+25115.63</f>
        <v>31782.300000000003</v>
      </c>
      <c r="U319" s="40">
        <f>6666.67+25115.63</f>
        <v>31782.300000000003</v>
      </c>
      <c r="V319" s="26">
        <f>SUM(J319:U319)</f>
        <v>381434.39999999997</v>
      </c>
    </row>
    <row r="320" spans="3:22" ht="13.5" thickBot="1">
      <c r="C320" s="6" t="s">
        <v>107</v>
      </c>
      <c r="J320" s="27">
        <f aca="true" t="shared" si="57" ref="J320:V320">SUM(J317:J319)</f>
        <v>32037.5</v>
      </c>
      <c r="K320" s="27">
        <f t="shared" si="57"/>
        <v>31787.5</v>
      </c>
      <c r="L320" s="27">
        <f t="shared" si="57"/>
        <v>31787.5</v>
      </c>
      <c r="M320" s="27">
        <f t="shared" si="57"/>
        <v>31787.5</v>
      </c>
      <c r="N320" s="27">
        <f t="shared" si="57"/>
        <v>31787.5</v>
      </c>
      <c r="O320" s="27">
        <f t="shared" si="57"/>
        <v>31787.5</v>
      </c>
      <c r="P320" s="27">
        <f t="shared" si="57"/>
        <v>31787.5</v>
      </c>
      <c r="Q320" s="27">
        <f t="shared" si="57"/>
        <v>31787.5</v>
      </c>
      <c r="R320" s="27">
        <f t="shared" si="57"/>
        <v>31787.5</v>
      </c>
      <c r="S320" s="27">
        <f t="shared" si="57"/>
        <v>31782.300000000003</v>
      </c>
      <c r="T320" s="27">
        <f t="shared" si="57"/>
        <v>31782.300000000003</v>
      </c>
      <c r="U320" s="41">
        <f t="shared" si="57"/>
        <v>31782.300000000003</v>
      </c>
      <c r="V320" s="27">
        <f t="shared" si="57"/>
        <v>381684.39999999997</v>
      </c>
    </row>
    <row r="321" ht="12.75">
      <c r="C321" s="12"/>
    </row>
    <row r="322" spans="1:3" ht="21">
      <c r="A322" s="16"/>
      <c r="B322" s="9" t="s">
        <v>105</v>
      </c>
      <c r="C322" s="10" t="s">
        <v>108</v>
      </c>
    </row>
    <row r="323" ht="12.75">
      <c r="C323" s="4" t="str">
        <f>C317</f>
        <v>Debt Reserve</v>
      </c>
    </row>
    <row r="324" ht="12.75">
      <c r="C324" s="4" t="str">
        <f>C318</f>
        <v>Treasury Fee</v>
      </c>
    </row>
    <row r="325" ht="13.5" thickBot="1">
      <c r="C325" s="4" t="str">
        <f>C319</f>
        <v>Intercept</v>
      </c>
    </row>
    <row r="326" ht="13.5" thickBot="1">
      <c r="C326" s="6" t="s">
        <v>109</v>
      </c>
    </row>
    <row r="327" ht="12.75">
      <c r="C327" s="12"/>
    </row>
    <row r="328" spans="1:3" ht="21">
      <c r="A328" s="16"/>
      <c r="B328" s="9" t="s">
        <v>105</v>
      </c>
      <c r="C328" s="30" t="s">
        <v>110</v>
      </c>
    </row>
    <row r="329" spans="3:22" ht="12.75">
      <c r="C329" s="4" t="str">
        <f>C323</f>
        <v>Debt Reserve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/>
      <c r="Q329" s="26"/>
      <c r="R329" s="26"/>
      <c r="S329" s="26"/>
      <c r="T329" s="26"/>
      <c r="U329" s="40"/>
      <c r="V329" s="26">
        <f>SUM(J329:U329)</f>
        <v>0</v>
      </c>
    </row>
    <row r="330" spans="3:22" ht="12.75">
      <c r="C330" s="4" t="str">
        <f>C324</f>
        <v>Treasury Fee</v>
      </c>
      <c r="J330" s="52">
        <v>250</v>
      </c>
      <c r="V330" s="26">
        <f>SUM(J330:U330)</f>
        <v>250</v>
      </c>
    </row>
    <row r="331" spans="3:22" ht="13.5" thickBot="1">
      <c r="C331" s="4" t="str">
        <f>C325</f>
        <v>Intercept</v>
      </c>
      <c r="J331" s="26">
        <f aca="true" t="shared" si="58" ref="J331:O331">8750+32986.98</f>
        <v>41736.98</v>
      </c>
      <c r="K331" s="26">
        <f t="shared" si="58"/>
        <v>41736.98</v>
      </c>
      <c r="L331" s="26">
        <f t="shared" si="58"/>
        <v>41736.98</v>
      </c>
      <c r="M331" s="26">
        <f t="shared" si="58"/>
        <v>41736.98</v>
      </c>
      <c r="N331" s="26">
        <f t="shared" si="58"/>
        <v>41736.98</v>
      </c>
      <c r="O331" s="26">
        <f t="shared" si="58"/>
        <v>41736.98</v>
      </c>
      <c r="P331" s="26"/>
      <c r="Q331" s="26"/>
      <c r="R331" s="26"/>
      <c r="S331" s="26"/>
      <c r="T331" s="26"/>
      <c r="U331" s="40"/>
      <c r="V331" s="26">
        <f>SUM(J331:U331)</f>
        <v>250421.88000000003</v>
      </c>
    </row>
    <row r="332" spans="3:22" ht="13.5" thickBot="1">
      <c r="C332" s="6" t="s">
        <v>111</v>
      </c>
      <c r="J332" s="27">
        <f aca="true" t="shared" si="59" ref="J332:V332">SUM(J329:J331)</f>
        <v>41986.98</v>
      </c>
      <c r="K332" s="27">
        <f t="shared" si="59"/>
        <v>41736.98</v>
      </c>
      <c r="L332" s="27">
        <f t="shared" si="59"/>
        <v>41736.98</v>
      </c>
      <c r="M332" s="27">
        <f t="shared" si="59"/>
        <v>41736.98</v>
      </c>
      <c r="N332" s="27">
        <f t="shared" si="59"/>
        <v>41736.98</v>
      </c>
      <c r="O332" s="27">
        <f t="shared" si="59"/>
        <v>41736.98</v>
      </c>
      <c r="P332" s="27">
        <f t="shared" si="59"/>
        <v>0</v>
      </c>
      <c r="Q332" s="27">
        <f t="shared" si="59"/>
        <v>0</v>
      </c>
      <c r="R332" s="27">
        <f t="shared" si="59"/>
        <v>0</v>
      </c>
      <c r="S332" s="27">
        <f t="shared" si="59"/>
        <v>0</v>
      </c>
      <c r="T332" s="27">
        <f t="shared" si="59"/>
        <v>0</v>
      </c>
      <c r="U332" s="41">
        <f t="shared" si="59"/>
        <v>0</v>
      </c>
      <c r="V332" s="27">
        <f t="shared" si="59"/>
        <v>250671.88000000003</v>
      </c>
    </row>
    <row r="333" ht="12.75">
      <c r="C333" s="12"/>
    </row>
    <row r="334" spans="1:3" ht="21">
      <c r="A334" s="16">
        <f>+A316+1</f>
        <v>24</v>
      </c>
      <c r="B334" s="17"/>
      <c r="C334" s="5" t="s">
        <v>112</v>
      </c>
    </row>
    <row r="335" spans="3:22" ht="12.75">
      <c r="C335" s="4" t="str">
        <f>C329</f>
        <v>Debt Reserve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40">
        <v>0</v>
      </c>
      <c r="V335" s="26">
        <f>SUM(J335:U335)</f>
        <v>0</v>
      </c>
    </row>
    <row r="336" spans="3:22" ht="12.75">
      <c r="C336" s="4" t="str">
        <f>C330</f>
        <v>Treasury Fee</v>
      </c>
      <c r="J336" s="52">
        <v>250</v>
      </c>
      <c r="V336" s="26">
        <f>SUM(J336:U336)</f>
        <v>250</v>
      </c>
    </row>
    <row r="337" spans="3:22" ht="13.5" thickBot="1">
      <c r="C337" s="4" t="str">
        <f>C331</f>
        <v>Intercept</v>
      </c>
      <c r="J337" s="26">
        <f>19166.67+74228.13</f>
        <v>93394.8</v>
      </c>
      <c r="K337" s="26">
        <f>20416.67+72934.38</f>
        <v>93351.05</v>
      </c>
      <c r="L337" s="26">
        <f aca="true" t="shared" si="60" ref="L337:V337">20416.67+72934.38</f>
        <v>93351.05</v>
      </c>
      <c r="M337" s="26">
        <f t="shared" si="60"/>
        <v>93351.05</v>
      </c>
      <c r="N337" s="26">
        <f t="shared" si="60"/>
        <v>93351.05</v>
      </c>
      <c r="O337" s="26">
        <f t="shared" si="60"/>
        <v>93351.05</v>
      </c>
      <c r="P337" s="26">
        <f t="shared" si="60"/>
        <v>93351.05</v>
      </c>
      <c r="Q337" s="26">
        <f t="shared" si="60"/>
        <v>93351.05</v>
      </c>
      <c r="R337" s="26">
        <f t="shared" si="60"/>
        <v>93351.05</v>
      </c>
      <c r="S337" s="26">
        <f t="shared" si="60"/>
        <v>93351.05</v>
      </c>
      <c r="T337" s="26">
        <f t="shared" si="60"/>
        <v>93351.05</v>
      </c>
      <c r="U337" s="40">
        <f t="shared" si="60"/>
        <v>93351.05</v>
      </c>
      <c r="V337" s="26">
        <f>SUM(J337:U337)</f>
        <v>1120256.3500000003</v>
      </c>
    </row>
    <row r="338" spans="3:22" ht="13.5" thickBot="1">
      <c r="C338" s="6" t="s">
        <v>113</v>
      </c>
      <c r="J338" s="27">
        <f aca="true" t="shared" si="61" ref="J338:V338">SUM(J335:J337)</f>
        <v>93644.8</v>
      </c>
      <c r="K338" s="27">
        <f t="shared" si="61"/>
        <v>93351.05</v>
      </c>
      <c r="L338" s="27">
        <f t="shared" si="61"/>
        <v>93351.05</v>
      </c>
      <c r="M338" s="27">
        <f t="shared" si="61"/>
        <v>93351.05</v>
      </c>
      <c r="N338" s="27">
        <f t="shared" si="61"/>
        <v>93351.05</v>
      </c>
      <c r="O338" s="27">
        <f t="shared" si="61"/>
        <v>93351.05</v>
      </c>
      <c r="P338" s="27">
        <f t="shared" si="61"/>
        <v>93351.05</v>
      </c>
      <c r="Q338" s="27">
        <f t="shared" si="61"/>
        <v>93351.05</v>
      </c>
      <c r="R338" s="27">
        <f t="shared" si="61"/>
        <v>93351.05</v>
      </c>
      <c r="S338" s="27">
        <f t="shared" si="61"/>
        <v>93351.05</v>
      </c>
      <c r="T338" s="27">
        <f t="shared" si="61"/>
        <v>93351.05</v>
      </c>
      <c r="U338" s="41">
        <f t="shared" si="61"/>
        <v>93351.05</v>
      </c>
      <c r="V338" s="27">
        <f t="shared" si="61"/>
        <v>1120506.3500000003</v>
      </c>
    </row>
    <row r="339" ht="12.75">
      <c r="C339" s="12"/>
    </row>
    <row r="340" spans="1:3" ht="21">
      <c r="A340" s="16">
        <f>+A334+1</f>
        <v>25</v>
      </c>
      <c r="B340" s="17"/>
      <c r="C340" s="5" t="s">
        <v>114</v>
      </c>
    </row>
    <row r="341" spans="3:22" ht="12.75">
      <c r="C341" s="4" t="str">
        <f>C335</f>
        <v>Debt Reserve</v>
      </c>
      <c r="J341" s="26">
        <v>512.08</v>
      </c>
      <c r="K341" s="26">
        <v>512.08</v>
      </c>
      <c r="L341" s="26">
        <v>512.08</v>
      </c>
      <c r="M341" s="26">
        <v>512.08</v>
      </c>
      <c r="N341" s="26">
        <v>512.08</v>
      </c>
      <c r="O341" s="26">
        <v>512.08</v>
      </c>
      <c r="P341" s="26">
        <v>512.08</v>
      </c>
      <c r="Q341" s="26">
        <v>512.08</v>
      </c>
      <c r="R341" s="26">
        <v>512.08</v>
      </c>
      <c r="S341" s="26">
        <v>512.08</v>
      </c>
      <c r="T341" s="26">
        <v>512.08</v>
      </c>
      <c r="U341" s="40">
        <v>512.08</v>
      </c>
      <c r="V341" s="26">
        <f>SUM(J341:U341)</f>
        <v>6144.96</v>
      </c>
    </row>
    <row r="342" spans="3:22" ht="12.75">
      <c r="C342" s="4" t="str">
        <f>C336</f>
        <v>Treasury Fee</v>
      </c>
      <c r="J342" s="52">
        <v>250</v>
      </c>
      <c r="V342" s="26">
        <f>SUM(J342:U342)</f>
        <v>250</v>
      </c>
    </row>
    <row r="343" spans="3:22" ht="13.5" thickBot="1">
      <c r="C343" s="4" t="str">
        <f>C337</f>
        <v>Intercept</v>
      </c>
      <c r="J343" s="26">
        <v>28804.69</v>
      </c>
      <c r="K343" s="26">
        <v>28804.69</v>
      </c>
      <c r="L343" s="26">
        <v>28804.69</v>
      </c>
      <c r="M343" s="26">
        <v>28804.69</v>
      </c>
      <c r="N343" s="26">
        <v>28804.69</v>
      </c>
      <c r="O343" s="26">
        <v>28804.69</v>
      </c>
      <c r="P343" s="26">
        <v>28804.69</v>
      </c>
      <c r="Q343" s="26">
        <v>28804.69</v>
      </c>
      <c r="R343" s="26">
        <v>28804.69</v>
      </c>
      <c r="S343" s="26">
        <v>28804.69</v>
      </c>
      <c r="T343" s="26">
        <v>28804.69</v>
      </c>
      <c r="U343" s="40">
        <v>28804.69</v>
      </c>
      <c r="V343" s="26">
        <f>SUM(J343:U343)</f>
        <v>345656.27999999997</v>
      </c>
    </row>
    <row r="344" spans="3:22" ht="13.5" thickBot="1">
      <c r="C344" s="6" t="s">
        <v>26</v>
      </c>
      <c r="J344" s="27">
        <f aca="true" t="shared" si="62" ref="J344:V344">SUM(J341:J343)</f>
        <v>29566.77</v>
      </c>
      <c r="K344" s="27">
        <f t="shared" si="62"/>
        <v>29316.77</v>
      </c>
      <c r="L344" s="27">
        <f t="shared" si="62"/>
        <v>29316.77</v>
      </c>
      <c r="M344" s="27">
        <f t="shared" si="62"/>
        <v>29316.77</v>
      </c>
      <c r="N344" s="27">
        <f t="shared" si="62"/>
        <v>29316.77</v>
      </c>
      <c r="O344" s="27">
        <f t="shared" si="62"/>
        <v>29316.77</v>
      </c>
      <c r="P344" s="27">
        <f t="shared" si="62"/>
        <v>29316.77</v>
      </c>
      <c r="Q344" s="27">
        <f t="shared" si="62"/>
        <v>29316.77</v>
      </c>
      <c r="R344" s="27">
        <f t="shared" si="62"/>
        <v>29316.77</v>
      </c>
      <c r="S344" s="27">
        <f t="shared" si="62"/>
        <v>29316.77</v>
      </c>
      <c r="T344" s="27">
        <f t="shared" si="62"/>
        <v>29316.77</v>
      </c>
      <c r="U344" s="41">
        <f t="shared" si="62"/>
        <v>29316.77</v>
      </c>
      <c r="V344" s="27">
        <f t="shared" si="62"/>
        <v>352051.24</v>
      </c>
    </row>
    <row r="345" ht="12.75">
      <c r="C345" s="12"/>
    </row>
    <row r="346" spans="1:3" ht="21">
      <c r="A346" s="16"/>
      <c r="B346" s="9" t="s">
        <v>105</v>
      </c>
      <c r="C346" s="30" t="s">
        <v>115</v>
      </c>
    </row>
    <row r="347" spans="3:22" ht="12.75">
      <c r="C347" s="4" t="str">
        <f>C341</f>
        <v>Debt Reserve</v>
      </c>
      <c r="J347" s="26">
        <v>1346.25</v>
      </c>
      <c r="K347" s="26">
        <v>1346.25</v>
      </c>
      <c r="L347" s="26">
        <v>1346.25</v>
      </c>
      <c r="M347" s="26">
        <v>1346.25</v>
      </c>
      <c r="N347" s="26"/>
      <c r="O347" s="26"/>
      <c r="P347" s="26"/>
      <c r="Q347" s="26"/>
      <c r="R347" s="26"/>
      <c r="S347" s="26"/>
      <c r="T347" s="26"/>
      <c r="U347" s="40"/>
      <c r="V347" s="26">
        <f>SUM(J347:U347)</f>
        <v>5385</v>
      </c>
    </row>
    <row r="348" spans="3:22" ht="12.75">
      <c r="C348" s="4" t="str">
        <f>C342</f>
        <v>Treasury Fee</v>
      </c>
      <c r="J348" s="52">
        <v>250</v>
      </c>
      <c r="V348" s="26">
        <f>SUM(J348:U348)</f>
        <v>250</v>
      </c>
    </row>
    <row r="349" spans="3:22" ht="13.5" thickBot="1">
      <c r="C349" s="4" t="str">
        <f>C343</f>
        <v>Intercept</v>
      </c>
      <c r="J349" s="26">
        <f>17500+101198.96</f>
        <v>118698.96</v>
      </c>
      <c r="K349" s="26">
        <f>17500+101198.96</f>
        <v>118698.96</v>
      </c>
      <c r="L349" s="26">
        <f>17500+101198.96</f>
        <v>118698.96</v>
      </c>
      <c r="M349" s="26">
        <f>17500+101198.96</f>
        <v>118698.96</v>
      </c>
      <c r="N349" s="26"/>
      <c r="O349" s="26"/>
      <c r="P349" s="26"/>
      <c r="Q349" s="26"/>
      <c r="R349" s="26"/>
      <c r="S349" s="26"/>
      <c r="T349" s="26"/>
      <c r="U349" s="40"/>
      <c r="V349" s="26">
        <f>SUM(J349:U349)</f>
        <v>474795.84</v>
      </c>
    </row>
    <row r="350" spans="3:22" ht="13.5" thickBot="1">
      <c r="C350" s="6" t="s">
        <v>116</v>
      </c>
      <c r="J350" s="27">
        <f aca="true" t="shared" si="63" ref="J350:V350">SUM(J347:J349)</f>
        <v>120295.21</v>
      </c>
      <c r="K350" s="27">
        <f t="shared" si="63"/>
        <v>120045.21</v>
      </c>
      <c r="L350" s="27">
        <f t="shared" si="63"/>
        <v>120045.21</v>
      </c>
      <c r="M350" s="27">
        <f t="shared" si="63"/>
        <v>120045.21</v>
      </c>
      <c r="N350" s="27">
        <f t="shared" si="63"/>
        <v>0</v>
      </c>
      <c r="O350" s="27">
        <f t="shared" si="63"/>
        <v>0</v>
      </c>
      <c r="P350" s="27">
        <f t="shared" si="63"/>
        <v>0</v>
      </c>
      <c r="Q350" s="27">
        <f t="shared" si="63"/>
        <v>0</v>
      </c>
      <c r="R350" s="27">
        <f t="shared" si="63"/>
        <v>0</v>
      </c>
      <c r="S350" s="27">
        <f t="shared" si="63"/>
        <v>0</v>
      </c>
      <c r="T350" s="27">
        <f t="shared" si="63"/>
        <v>0</v>
      </c>
      <c r="U350" s="41">
        <f t="shared" si="63"/>
        <v>0</v>
      </c>
      <c r="V350" s="27">
        <f t="shared" si="63"/>
        <v>480430.84</v>
      </c>
    </row>
    <row r="351" ht="12.75">
      <c r="C351" s="12"/>
    </row>
    <row r="352" spans="1:3" ht="21">
      <c r="A352" s="16"/>
      <c r="B352" s="9" t="s">
        <v>105</v>
      </c>
      <c r="C352" s="30" t="s">
        <v>117</v>
      </c>
    </row>
    <row r="353" spans="3:22" ht="12.75">
      <c r="C353" s="4" t="str">
        <f>C347</f>
        <v>Debt Reserve</v>
      </c>
      <c r="V353"/>
    </row>
    <row r="354" spans="3:22" ht="12.75">
      <c r="C354" s="4" t="str">
        <f>C348</f>
        <v>Treasury Fee</v>
      </c>
      <c r="V354"/>
    </row>
    <row r="355" spans="3:22" ht="13.5" thickBot="1">
      <c r="C355" s="4" t="str">
        <f>C349</f>
        <v>Intercept</v>
      </c>
      <c r="V355"/>
    </row>
    <row r="356" spans="3:22" ht="13.5" thickBot="1">
      <c r="C356" s="6" t="s">
        <v>118</v>
      </c>
      <c r="V356"/>
    </row>
    <row r="357" ht="12.75">
      <c r="C357" s="12"/>
    </row>
    <row r="358" spans="1:3" ht="21">
      <c r="A358" s="16"/>
      <c r="B358" s="9" t="s">
        <v>105</v>
      </c>
      <c r="C358" s="30" t="s">
        <v>119</v>
      </c>
    </row>
    <row r="359" ht="12.75">
      <c r="C359" s="4" t="str">
        <f>C353</f>
        <v>Debt Reserve</v>
      </c>
    </row>
    <row r="360" ht="12.75">
      <c r="C360" s="4" t="str">
        <f>C354</f>
        <v>Treasury Fee</v>
      </c>
    </row>
    <row r="361" ht="13.5" thickBot="1">
      <c r="C361" s="4" t="str">
        <f>C355</f>
        <v>Intercept</v>
      </c>
    </row>
    <row r="362" ht="13.5" thickBot="1">
      <c r="C362" s="6" t="s">
        <v>120</v>
      </c>
    </row>
    <row r="363" ht="12.75">
      <c r="C363" s="12"/>
    </row>
    <row r="364" spans="1:3" ht="21">
      <c r="A364" s="16"/>
      <c r="B364" s="9" t="s">
        <v>105</v>
      </c>
      <c r="C364" s="30" t="s">
        <v>121</v>
      </c>
    </row>
    <row r="365" spans="1:20" ht="12.75">
      <c r="A365" s="20"/>
      <c r="B365" s="20"/>
      <c r="C365" s="4" t="str">
        <f>C359</f>
        <v>Debt Reserve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</row>
    <row r="366" ht="12.75">
      <c r="C366" s="4" t="str">
        <f>C360</f>
        <v>Treasury Fee</v>
      </c>
    </row>
    <row r="367" ht="13.5" thickBot="1">
      <c r="C367" s="4" t="str">
        <f>C361</f>
        <v>Intercept</v>
      </c>
    </row>
    <row r="368" ht="13.5" thickBot="1">
      <c r="C368" s="6" t="s">
        <v>122</v>
      </c>
    </row>
    <row r="369" ht="12.75">
      <c r="C369" s="12"/>
    </row>
    <row r="370" spans="1:3" ht="21">
      <c r="A370" s="16"/>
      <c r="B370" s="9" t="s">
        <v>105</v>
      </c>
      <c r="C370" s="30" t="s">
        <v>123</v>
      </c>
    </row>
    <row r="371" spans="1:20" ht="12.75">
      <c r="A371" s="20"/>
      <c r="B371" s="20"/>
      <c r="C371" s="4" t="str">
        <f>C365</f>
        <v>Debt Reserve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</row>
    <row r="372" ht="12.75">
      <c r="C372" s="4" t="str">
        <f>C366</f>
        <v>Treasury Fee</v>
      </c>
    </row>
    <row r="373" ht="13.5" thickBot="1">
      <c r="C373" s="4" t="str">
        <f>C367</f>
        <v>Intercept</v>
      </c>
    </row>
    <row r="374" ht="13.5" thickBot="1">
      <c r="C374" s="6" t="s">
        <v>96</v>
      </c>
    </row>
    <row r="375" ht="12.75">
      <c r="C375" s="12"/>
    </row>
    <row r="376" spans="1:3" ht="21">
      <c r="A376" s="16">
        <f>A340+1</f>
        <v>26</v>
      </c>
      <c r="B376" s="17"/>
      <c r="C376" s="5" t="s">
        <v>126</v>
      </c>
    </row>
    <row r="377" spans="1:22" ht="12.75">
      <c r="A377" s="20"/>
      <c r="B377" s="20"/>
      <c r="C377" s="4" t="str">
        <f>C371</f>
        <v>Debt Reserve</v>
      </c>
      <c r="J377" s="26">
        <v>603.75</v>
      </c>
      <c r="K377" s="26">
        <v>603.75</v>
      </c>
      <c r="L377" s="26">
        <v>603.75</v>
      </c>
      <c r="M377" s="26">
        <v>591.67</v>
      </c>
      <c r="N377" s="26">
        <v>591.67</v>
      </c>
      <c r="O377" s="26">
        <v>591.67</v>
      </c>
      <c r="P377" s="26">
        <v>591.67</v>
      </c>
      <c r="Q377" s="26">
        <v>591.67</v>
      </c>
      <c r="R377" s="26">
        <v>591.67</v>
      </c>
      <c r="S377" s="26">
        <v>591.67</v>
      </c>
      <c r="T377" s="26">
        <v>591.67</v>
      </c>
      <c r="U377" s="40">
        <v>591.67</v>
      </c>
      <c r="V377" s="26">
        <f>SUM(J377:U377)</f>
        <v>7136.280000000001</v>
      </c>
    </row>
    <row r="378" spans="3:22" ht="12.75">
      <c r="C378" s="4" t="str">
        <f>C372</f>
        <v>Treasury Fee</v>
      </c>
      <c r="J378" s="52">
        <v>250</v>
      </c>
      <c r="V378" s="26">
        <f>SUM(J378:U378)</f>
        <v>250</v>
      </c>
    </row>
    <row r="379" spans="3:22" ht="13.5" thickBot="1">
      <c r="C379" s="4" t="str">
        <f>C373</f>
        <v>Intercept</v>
      </c>
      <c r="J379" s="26">
        <f>12916.67+28566.67</f>
        <v>41483.34</v>
      </c>
      <c r="K379" s="26">
        <f aca="true" t="shared" si="64" ref="K379:U379">12916.67+28566.67</f>
        <v>41483.34</v>
      </c>
      <c r="L379" s="26">
        <f t="shared" si="64"/>
        <v>41483.34</v>
      </c>
      <c r="M379" s="26">
        <f t="shared" si="64"/>
        <v>41483.34</v>
      </c>
      <c r="N379" s="26">
        <f t="shared" si="64"/>
        <v>41483.34</v>
      </c>
      <c r="O379" s="26">
        <f t="shared" si="64"/>
        <v>41483.34</v>
      </c>
      <c r="P379" s="26">
        <f t="shared" si="64"/>
        <v>41483.34</v>
      </c>
      <c r="Q379" s="26">
        <f t="shared" si="64"/>
        <v>41483.34</v>
      </c>
      <c r="R379" s="26">
        <f t="shared" si="64"/>
        <v>41483.34</v>
      </c>
      <c r="S379" s="26">
        <f t="shared" si="64"/>
        <v>41483.34</v>
      </c>
      <c r="T379" s="26">
        <f t="shared" si="64"/>
        <v>41483.34</v>
      </c>
      <c r="U379" s="40">
        <f t="shared" si="64"/>
        <v>41483.34</v>
      </c>
      <c r="V379" s="26">
        <f>SUM(J379:U379)</f>
        <v>497800.07999999984</v>
      </c>
    </row>
    <row r="380" spans="3:22" ht="13.5" thickBot="1">
      <c r="C380" s="6" t="s">
        <v>127</v>
      </c>
      <c r="J380" s="27">
        <f aca="true" t="shared" si="65" ref="J380:V380">SUM(J377:J379)</f>
        <v>42337.09</v>
      </c>
      <c r="K380" s="27">
        <f t="shared" si="65"/>
        <v>42087.09</v>
      </c>
      <c r="L380" s="27">
        <f t="shared" si="65"/>
        <v>42087.09</v>
      </c>
      <c r="M380" s="27">
        <f t="shared" si="65"/>
        <v>42075.009999999995</v>
      </c>
      <c r="N380" s="27">
        <f t="shared" si="65"/>
        <v>42075.009999999995</v>
      </c>
      <c r="O380" s="27">
        <f t="shared" si="65"/>
        <v>42075.009999999995</v>
      </c>
      <c r="P380" s="27">
        <f t="shared" si="65"/>
        <v>42075.009999999995</v>
      </c>
      <c r="Q380" s="27">
        <f t="shared" si="65"/>
        <v>42075.009999999995</v>
      </c>
      <c r="R380" s="27">
        <f t="shared" si="65"/>
        <v>42075.009999999995</v>
      </c>
      <c r="S380" s="27">
        <f t="shared" si="65"/>
        <v>42075.009999999995</v>
      </c>
      <c r="T380" s="27">
        <f t="shared" si="65"/>
        <v>42075.009999999995</v>
      </c>
      <c r="U380" s="41">
        <f t="shared" si="65"/>
        <v>42075.009999999995</v>
      </c>
      <c r="V380" s="27">
        <f t="shared" si="65"/>
        <v>505186.35999999987</v>
      </c>
    </row>
    <row r="381" ht="12.75">
      <c r="C381" s="12"/>
    </row>
    <row r="382" spans="1:3" ht="21">
      <c r="A382" s="16">
        <f>+A376+1</f>
        <v>27</v>
      </c>
      <c r="B382" s="33" t="s">
        <v>103</v>
      </c>
      <c r="C382" s="32" t="s">
        <v>128</v>
      </c>
    </row>
    <row r="383" spans="1:22" ht="12.75">
      <c r="A383" s="20"/>
      <c r="B383" s="20"/>
      <c r="C383" s="4" t="str">
        <f>C377</f>
        <v>Debt Reserve</v>
      </c>
      <c r="J383" s="26">
        <v>1006.25</v>
      </c>
      <c r="K383" s="26">
        <v>1006.25</v>
      </c>
      <c r="L383" s="26">
        <v>1006.25</v>
      </c>
      <c r="M383" s="26">
        <v>1006.25</v>
      </c>
      <c r="N383" s="26">
        <v>1006.25</v>
      </c>
      <c r="O383" s="26">
        <v>1006.25</v>
      </c>
      <c r="P383" s="26">
        <v>986.67</v>
      </c>
      <c r="Q383" s="26">
        <v>986.67</v>
      </c>
      <c r="R383" s="26">
        <v>986.67</v>
      </c>
      <c r="S383" s="26">
        <v>986.67</v>
      </c>
      <c r="T383" s="26">
        <v>986.67</v>
      </c>
      <c r="U383" s="40">
        <v>986.67</v>
      </c>
      <c r="V383" s="26">
        <f>SUM(J383:U383)</f>
        <v>11957.52</v>
      </c>
    </row>
    <row r="384" spans="3:22" ht="12.75">
      <c r="C384" s="4" t="str">
        <f>C378</f>
        <v>Treasury Fee</v>
      </c>
      <c r="J384" s="52">
        <v>250</v>
      </c>
      <c r="V384" s="26">
        <f>SUM(J384:U384)</f>
        <v>250</v>
      </c>
    </row>
    <row r="385" spans="3:22" ht="13.5" thickBot="1">
      <c r="C385" s="4" t="str">
        <f>C379</f>
        <v>Intercept</v>
      </c>
      <c r="J385" s="26">
        <f>19583.33+50375</f>
        <v>69958.33</v>
      </c>
      <c r="K385" s="26">
        <f>19583.33+50375</f>
        <v>69958.33</v>
      </c>
      <c r="L385" s="26">
        <f>19583.33+50375</f>
        <v>69958.33</v>
      </c>
      <c r="M385" s="26">
        <f>19583.33+50375</f>
        <v>69958.33</v>
      </c>
      <c r="N385" s="26">
        <f>19583.33+50375</f>
        <v>69958.33</v>
      </c>
      <c r="O385" s="26">
        <f>20416.67+49518.23</f>
        <v>69934.9</v>
      </c>
      <c r="P385" s="26">
        <f aca="true" t="shared" si="66" ref="P385:V385">20416.67+49518.23</f>
        <v>69934.9</v>
      </c>
      <c r="Q385" s="26">
        <f t="shared" si="66"/>
        <v>69934.9</v>
      </c>
      <c r="R385" s="26">
        <f t="shared" si="66"/>
        <v>69934.9</v>
      </c>
      <c r="S385" s="26">
        <f t="shared" si="66"/>
        <v>69934.9</v>
      </c>
      <c r="T385" s="26">
        <f t="shared" si="66"/>
        <v>69934.9</v>
      </c>
      <c r="U385" s="40">
        <f t="shared" si="66"/>
        <v>69934.9</v>
      </c>
      <c r="V385" s="26">
        <f>SUM(J385:U385)</f>
        <v>839335.9500000002</v>
      </c>
    </row>
    <row r="386" spans="3:22" ht="13.5" thickBot="1">
      <c r="C386" s="6" t="s">
        <v>129</v>
      </c>
      <c r="J386" s="27">
        <f aca="true" t="shared" si="67" ref="J386:V386">SUM(J383:J385)</f>
        <v>71214.58</v>
      </c>
      <c r="K386" s="27">
        <f t="shared" si="67"/>
        <v>70964.58</v>
      </c>
      <c r="L386" s="27">
        <f t="shared" si="67"/>
        <v>70964.58</v>
      </c>
      <c r="M386" s="27">
        <f t="shared" si="67"/>
        <v>70964.58</v>
      </c>
      <c r="N386" s="27">
        <f t="shared" si="67"/>
        <v>70964.58</v>
      </c>
      <c r="O386" s="27">
        <f t="shared" si="67"/>
        <v>70941.15</v>
      </c>
      <c r="P386" s="27">
        <f t="shared" si="67"/>
        <v>70921.56999999999</v>
      </c>
      <c r="Q386" s="27">
        <f t="shared" si="67"/>
        <v>70921.56999999999</v>
      </c>
      <c r="R386" s="27">
        <f t="shared" si="67"/>
        <v>70921.56999999999</v>
      </c>
      <c r="S386" s="27">
        <f t="shared" si="67"/>
        <v>70921.56999999999</v>
      </c>
      <c r="T386" s="27">
        <f t="shared" si="67"/>
        <v>70921.56999999999</v>
      </c>
      <c r="U386" s="41">
        <f t="shared" si="67"/>
        <v>70921.56999999999</v>
      </c>
      <c r="V386" s="27">
        <f t="shared" si="67"/>
        <v>851543.4700000002</v>
      </c>
    </row>
    <row r="387" ht="12.75">
      <c r="C387" s="12"/>
    </row>
    <row r="388" spans="1:3" ht="21">
      <c r="A388" s="16">
        <f>+A382+1</f>
        <v>28</v>
      </c>
      <c r="B388" s="33" t="s">
        <v>103</v>
      </c>
      <c r="C388" s="32" t="s">
        <v>130</v>
      </c>
    </row>
    <row r="389" spans="1:22" ht="12.75">
      <c r="A389" s="20"/>
      <c r="B389" s="20"/>
      <c r="C389" s="4" t="str">
        <f>C383</f>
        <v>Debt Reserve</v>
      </c>
      <c r="J389" s="26">
        <v>938.75</v>
      </c>
      <c r="K389" s="26">
        <v>938.75</v>
      </c>
      <c r="L389" s="26">
        <v>938.75</v>
      </c>
      <c r="M389" s="26">
        <v>938.75</v>
      </c>
      <c r="N389" s="26">
        <v>938.75</v>
      </c>
      <c r="O389" s="26">
        <v>938.75</v>
      </c>
      <c r="P389" s="26">
        <v>938.75</v>
      </c>
      <c r="Q389" s="26">
        <v>938.75</v>
      </c>
      <c r="R389" s="26">
        <v>920.42</v>
      </c>
      <c r="S389" s="26">
        <v>920.42</v>
      </c>
      <c r="T389" s="26">
        <v>920.42</v>
      </c>
      <c r="U389" s="40">
        <v>920.42</v>
      </c>
      <c r="V389" s="26">
        <f>SUM(J389:U389)</f>
        <v>11191.68</v>
      </c>
    </row>
    <row r="390" spans="3:22" ht="12.75">
      <c r="C390" s="4" t="str">
        <f>C384</f>
        <v>Treasury Fee</v>
      </c>
      <c r="J390" s="52">
        <v>250</v>
      </c>
      <c r="V390" s="26">
        <f>SUM(J390:U390)</f>
        <v>250</v>
      </c>
    </row>
    <row r="391" spans="3:22" ht="13.5" thickBot="1">
      <c r="C391" s="4" t="str">
        <f>C385</f>
        <v>Intercept</v>
      </c>
      <c r="J391" s="26">
        <f aca="true" t="shared" si="68" ref="J391:Q391">18333.33+49273.96</f>
        <v>67607.29000000001</v>
      </c>
      <c r="K391" s="26">
        <f t="shared" si="68"/>
        <v>67607.29000000001</v>
      </c>
      <c r="L391" s="26">
        <f t="shared" si="68"/>
        <v>67607.29000000001</v>
      </c>
      <c r="M391" s="26">
        <f t="shared" si="68"/>
        <v>67607.29000000001</v>
      </c>
      <c r="N391" s="26">
        <f t="shared" si="68"/>
        <v>67607.29000000001</v>
      </c>
      <c r="O391" s="26">
        <f t="shared" si="68"/>
        <v>67607.29000000001</v>
      </c>
      <c r="P391" s="26">
        <f t="shared" si="68"/>
        <v>67607.29000000001</v>
      </c>
      <c r="Q391" s="26">
        <f t="shared" si="68"/>
        <v>67607.29000000001</v>
      </c>
      <c r="R391" s="26">
        <f>19166.67+48448.96</f>
        <v>67615.63</v>
      </c>
      <c r="S391" s="26">
        <f>19166.67+48448.96</f>
        <v>67615.63</v>
      </c>
      <c r="T391" s="26">
        <f>19166.67+48448.96</f>
        <v>67615.63</v>
      </c>
      <c r="U391" s="40">
        <f>19166.67+48448.96</f>
        <v>67615.63</v>
      </c>
      <c r="V391" s="26">
        <f>SUM(J391:U391)</f>
        <v>811320.8400000002</v>
      </c>
    </row>
    <row r="392" spans="3:22" ht="13.5" thickBot="1">
      <c r="C392" s="6" t="s">
        <v>131</v>
      </c>
      <c r="J392" s="27">
        <f aca="true" t="shared" si="69" ref="J392:V392">SUM(J389:J391)</f>
        <v>68796.04000000001</v>
      </c>
      <c r="K392" s="27">
        <f t="shared" si="69"/>
        <v>68546.04000000001</v>
      </c>
      <c r="L392" s="27">
        <f t="shared" si="69"/>
        <v>68546.04000000001</v>
      </c>
      <c r="M392" s="27">
        <f t="shared" si="69"/>
        <v>68546.04000000001</v>
      </c>
      <c r="N392" s="27">
        <f t="shared" si="69"/>
        <v>68546.04000000001</v>
      </c>
      <c r="O392" s="27">
        <f t="shared" si="69"/>
        <v>68546.04000000001</v>
      </c>
      <c r="P392" s="27">
        <f t="shared" si="69"/>
        <v>68546.04000000001</v>
      </c>
      <c r="Q392" s="27">
        <f t="shared" si="69"/>
        <v>68546.04000000001</v>
      </c>
      <c r="R392" s="27">
        <f t="shared" si="69"/>
        <v>68536.05</v>
      </c>
      <c r="S392" s="27">
        <f t="shared" si="69"/>
        <v>68536.05</v>
      </c>
      <c r="T392" s="27">
        <f t="shared" si="69"/>
        <v>68536.05</v>
      </c>
      <c r="U392" s="41">
        <f t="shared" si="69"/>
        <v>68536.05</v>
      </c>
      <c r="V392" s="27">
        <f t="shared" si="69"/>
        <v>822762.5200000003</v>
      </c>
    </row>
    <row r="393" ht="12.75">
      <c r="C393" s="12"/>
    </row>
    <row r="394" spans="1:3" ht="21">
      <c r="A394" s="16">
        <f>+A388+1</f>
        <v>29</v>
      </c>
      <c r="B394" s="33" t="s">
        <v>103</v>
      </c>
      <c r="C394" s="32" t="s">
        <v>132</v>
      </c>
    </row>
    <row r="395" spans="1:22" ht="12.75">
      <c r="A395" s="20"/>
      <c r="B395" s="20"/>
      <c r="C395" s="4" t="str">
        <f>C389</f>
        <v>Debt Reserve</v>
      </c>
      <c r="J395" s="26">
        <v>564.58</v>
      </c>
      <c r="K395" s="26">
        <v>564.58</v>
      </c>
      <c r="L395" s="26">
        <v>564.58</v>
      </c>
      <c r="M395" s="26">
        <v>564.58</v>
      </c>
      <c r="N395" s="26">
        <v>564.58</v>
      </c>
      <c r="O395" s="26">
        <v>564.58</v>
      </c>
      <c r="P395" s="26">
        <v>564.58</v>
      </c>
      <c r="Q395" s="26">
        <v>564.58</v>
      </c>
      <c r="R395" s="26">
        <v>564.58</v>
      </c>
      <c r="S395" s="26">
        <v>564.58</v>
      </c>
      <c r="T395" s="26">
        <v>564.58</v>
      </c>
      <c r="U395" s="40">
        <v>553.33</v>
      </c>
      <c r="V395" s="26">
        <f>SUM(J395:U395)</f>
        <v>6763.71</v>
      </c>
    </row>
    <row r="396" spans="3:22" ht="12.75">
      <c r="C396" s="4" t="str">
        <f>C390</f>
        <v>Treasury Fee</v>
      </c>
      <c r="J396" s="52">
        <v>250</v>
      </c>
      <c r="V396" s="26">
        <f>SUM(J396:U396)</f>
        <v>250</v>
      </c>
    </row>
    <row r="397" spans="3:22" ht="13.5" thickBot="1">
      <c r="C397" s="4" t="str">
        <f>C391</f>
        <v>Intercept</v>
      </c>
      <c r="J397" s="26">
        <f>11250+30695.83</f>
        <v>41945.83</v>
      </c>
      <c r="K397" s="26">
        <f aca="true" t="shared" si="70" ref="K397:U397">11250+30695.83</f>
        <v>41945.83</v>
      </c>
      <c r="L397" s="26">
        <f t="shared" si="70"/>
        <v>41945.83</v>
      </c>
      <c r="M397" s="26">
        <f t="shared" si="70"/>
        <v>41945.83</v>
      </c>
      <c r="N397" s="26">
        <f t="shared" si="70"/>
        <v>41945.83</v>
      </c>
      <c r="O397" s="26">
        <f t="shared" si="70"/>
        <v>41945.83</v>
      </c>
      <c r="P397" s="26">
        <f t="shared" si="70"/>
        <v>41945.83</v>
      </c>
      <c r="Q397" s="26">
        <f t="shared" si="70"/>
        <v>41945.83</v>
      </c>
      <c r="R397" s="26">
        <f t="shared" si="70"/>
        <v>41945.83</v>
      </c>
      <c r="S397" s="26">
        <f t="shared" si="70"/>
        <v>41945.83</v>
      </c>
      <c r="T397" s="26">
        <f t="shared" si="70"/>
        <v>41945.83</v>
      </c>
      <c r="U397" s="40">
        <f t="shared" si="70"/>
        <v>41945.83</v>
      </c>
      <c r="V397" s="26">
        <f>SUM(J397:U397)</f>
        <v>503349.96000000014</v>
      </c>
    </row>
    <row r="398" spans="3:22" ht="13.5" thickBot="1">
      <c r="C398" s="6" t="s">
        <v>133</v>
      </c>
      <c r="J398" s="27">
        <f aca="true" t="shared" si="71" ref="J398:V398">SUM(J395:J397)</f>
        <v>42760.41</v>
      </c>
      <c r="K398" s="27">
        <f t="shared" si="71"/>
        <v>42510.41</v>
      </c>
      <c r="L398" s="27">
        <f t="shared" si="71"/>
        <v>42510.41</v>
      </c>
      <c r="M398" s="27">
        <f t="shared" si="71"/>
        <v>42510.41</v>
      </c>
      <c r="N398" s="27">
        <f t="shared" si="71"/>
        <v>42510.41</v>
      </c>
      <c r="O398" s="27">
        <f t="shared" si="71"/>
        <v>42510.41</v>
      </c>
      <c r="P398" s="27">
        <f t="shared" si="71"/>
        <v>42510.41</v>
      </c>
      <c r="Q398" s="27">
        <f t="shared" si="71"/>
        <v>42510.41</v>
      </c>
      <c r="R398" s="27">
        <f t="shared" si="71"/>
        <v>42510.41</v>
      </c>
      <c r="S398" s="27">
        <f t="shared" si="71"/>
        <v>42510.41</v>
      </c>
      <c r="T398" s="27">
        <f t="shared" si="71"/>
        <v>42510.41</v>
      </c>
      <c r="U398" s="41">
        <f t="shared" si="71"/>
        <v>42499.16</v>
      </c>
      <c r="V398" s="27">
        <f t="shared" si="71"/>
        <v>510363.67000000016</v>
      </c>
    </row>
    <row r="399" ht="12.75">
      <c r="C399" s="12"/>
    </row>
    <row r="400" spans="1:3" ht="21">
      <c r="A400" s="16">
        <f>+A394+1</f>
        <v>30</v>
      </c>
      <c r="B400" s="21"/>
      <c r="C400" s="5" t="s">
        <v>135</v>
      </c>
    </row>
    <row r="401" spans="1:22" ht="12.75">
      <c r="A401" s="20"/>
      <c r="B401" s="20"/>
      <c r="C401" s="4" t="str">
        <f>C395</f>
        <v>Debt Reserve</v>
      </c>
      <c r="J401" s="26">
        <v>507.08</v>
      </c>
      <c r="K401" s="26">
        <v>507.08</v>
      </c>
      <c r="L401" s="26">
        <v>507.08</v>
      </c>
      <c r="M401" s="26">
        <v>507.08</v>
      </c>
      <c r="N401" s="26">
        <v>507.08</v>
      </c>
      <c r="O401" s="26">
        <v>507.08</v>
      </c>
      <c r="P401" s="26">
        <v>507.08</v>
      </c>
      <c r="Q401" s="26">
        <v>507.08</v>
      </c>
      <c r="R401" s="26">
        <v>507.08</v>
      </c>
      <c r="S401" s="26">
        <v>507.08</v>
      </c>
      <c r="T401" s="26">
        <v>507.08</v>
      </c>
      <c r="U401" s="40">
        <v>507.08</v>
      </c>
      <c r="V401" s="26">
        <f>SUM(J401:U401)</f>
        <v>6084.96</v>
      </c>
    </row>
    <row r="402" spans="3:22" ht="12.75">
      <c r="C402" s="4" t="str">
        <f>C396</f>
        <v>Treasury Fee</v>
      </c>
      <c r="J402" s="52">
        <v>250</v>
      </c>
      <c r="V402" s="26">
        <f>SUM(J402:U402)</f>
        <v>250</v>
      </c>
    </row>
    <row r="403" spans="3:22" ht="13.5" thickBot="1">
      <c r="C403" s="4" t="str">
        <f>C397</f>
        <v>Intercept</v>
      </c>
      <c r="J403" s="52">
        <f>9583.33+28475.52</f>
        <v>38058.85</v>
      </c>
      <c r="K403" s="52">
        <f aca="true" t="shared" si="72" ref="K403:T403">9583.33+28475.52</f>
        <v>38058.85</v>
      </c>
      <c r="L403" s="52">
        <f t="shared" si="72"/>
        <v>38058.85</v>
      </c>
      <c r="M403" s="52">
        <f t="shared" si="72"/>
        <v>38058.85</v>
      </c>
      <c r="N403" s="52">
        <f t="shared" si="72"/>
        <v>38058.85</v>
      </c>
      <c r="O403" s="52">
        <f t="shared" si="72"/>
        <v>38058.85</v>
      </c>
      <c r="P403" s="52">
        <f t="shared" si="72"/>
        <v>38058.85</v>
      </c>
      <c r="Q403" s="52">
        <f t="shared" si="72"/>
        <v>38058.85</v>
      </c>
      <c r="R403" s="52">
        <f t="shared" si="72"/>
        <v>38058.85</v>
      </c>
      <c r="S403" s="52">
        <f t="shared" si="72"/>
        <v>38058.85</v>
      </c>
      <c r="T403" s="52">
        <f t="shared" si="72"/>
        <v>38058.85</v>
      </c>
      <c r="U403" s="53">
        <f>10000+28092.19</f>
        <v>38092.19</v>
      </c>
      <c r="V403" s="26">
        <f>SUM(J403:U403)</f>
        <v>456739.5399999999</v>
      </c>
    </row>
    <row r="404" spans="3:22" ht="13.5" thickBot="1">
      <c r="C404" s="6" t="s">
        <v>136</v>
      </c>
      <c r="J404" s="27">
        <f aca="true" t="shared" si="73" ref="J404:V404">SUM(J401:J403)</f>
        <v>38815.93</v>
      </c>
      <c r="K404" s="27">
        <f t="shared" si="73"/>
        <v>38565.93</v>
      </c>
      <c r="L404" s="27">
        <f t="shared" si="73"/>
        <v>38565.93</v>
      </c>
      <c r="M404" s="27">
        <f t="shared" si="73"/>
        <v>38565.93</v>
      </c>
      <c r="N404" s="27">
        <f t="shared" si="73"/>
        <v>38565.93</v>
      </c>
      <c r="O404" s="27">
        <f t="shared" si="73"/>
        <v>38565.93</v>
      </c>
      <c r="P404" s="27">
        <f t="shared" si="73"/>
        <v>38565.93</v>
      </c>
      <c r="Q404" s="27">
        <f t="shared" si="73"/>
        <v>38565.93</v>
      </c>
      <c r="R404" s="27">
        <f t="shared" si="73"/>
        <v>38565.93</v>
      </c>
      <c r="S404" s="27">
        <f t="shared" si="73"/>
        <v>38565.93</v>
      </c>
      <c r="T404" s="27">
        <f t="shared" si="73"/>
        <v>38565.93</v>
      </c>
      <c r="U404" s="41">
        <f t="shared" si="73"/>
        <v>38599.270000000004</v>
      </c>
      <c r="V404" s="27">
        <f t="shared" si="73"/>
        <v>463074.49999999994</v>
      </c>
    </row>
    <row r="405" ht="12.75">
      <c r="C405" s="12"/>
    </row>
    <row r="406" spans="1:3" ht="21">
      <c r="A406" s="16">
        <f>+A400+1</f>
        <v>31</v>
      </c>
      <c r="B406" s="21"/>
      <c r="C406" s="5" t="s">
        <v>139</v>
      </c>
    </row>
    <row r="407" spans="1:22" ht="12.75">
      <c r="A407" s="20"/>
      <c r="B407" s="20"/>
      <c r="C407" s="4" t="str">
        <f>C401</f>
        <v>Debt Reserve</v>
      </c>
      <c r="J407" s="26">
        <v>202.92</v>
      </c>
      <c r="K407" s="26">
        <v>202.92</v>
      </c>
      <c r="L407" s="26">
        <v>202.92</v>
      </c>
      <c r="M407" s="26">
        <v>202.92</v>
      </c>
      <c r="N407" s="26">
        <v>202.92</v>
      </c>
      <c r="O407" s="26">
        <v>202.92</v>
      </c>
      <c r="P407" s="26">
        <v>202.92</v>
      </c>
      <c r="Q407" s="26">
        <v>202.92</v>
      </c>
      <c r="R407" s="26">
        <v>202.92</v>
      </c>
      <c r="S407" s="26">
        <v>202.92</v>
      </c>
      <c r="T407" s="26">
        <v>202.92</v>
      </c>
      <c r="U407" s="40">
        <v>202.92</v>
      </c>
      <c r="V407" s="26">
        <f>SUM(J407:U407)</f>
        <v>2435.0400000000004</v>
      </c>
    </row>
    <row r="408" spans="3:22" ht="12.75">
      <c r="C408" s="4" t="str">
        <f>C402</f>
        <v>Treasury Fee</v>
      </c>
      <c r="J408" s="52">
        <v>250</v>
      </c>
      <c r="V408" s="26">
        <f>SUM(J408:U408)</f>
        <v>250</v>
      </c>
    </row>
    <row r="409" spans="3:22" ht="13.5" thickBot="1">
      <c r="C409" s="4" t="str">
        <f>C403</f>
        <v>Intercept</v>
      </c>
      <c r="J409" s="26">
        <v>11304.17</v>
      </c>
      <c r="K409" s="26">
        <v>11304.17</v>
      </c>
      <c r="L409" s="26">
        <v>11304.17</v>
      </c>
      <c r="M409" s="26">
        <v>11304.17</v>
      </c>
      <c r="N409" s="26">
        <v>11304.17</v>
      </c>
      <c r="O409" s="26">
        <v>11304.17</v>
      </c>
      <c r="P409" s="26">
        <v>11304.17</v>
      </c>
      <c r="Q409" s="26">
        <v>11304.17</v>
      </c>
      <c r="R409" s="26">
        <v>11304.17</v>
      </c>
      <c r="S409" s="26">
        <v>11304.17</v>
      </c>
      <c r="T409" s="26">
        <v>11304.17</v>
      </c>
      <c r="U409" s="40">
        <v>11304.17</v>
      </c>
      <c r="V409" s="26">
        <f>SUM(J409:U409)</f>
        <v>135650.04</v>
      </c>
    </row>
    <row r="410" spans="3:22" ht="13.5" thickBot="1">
      <c r="C410" s="6" t="s">
        <v>138</v>
      </c>
      <c r="J410" s="27">
        <f aca="true" t="shared" si="74" ref="J410:V410">SUM(J407:J409)</f>
        <v>11757.09</v>
      </c>
      <c r="K410" s="27">
        <f t="shared" si="74"/>
        <v>11507.09</v>
      </c>
      <c r="L410" s="27">
        <f t="shared" si="74"/>
        <v>11507.09</v>
      </c>
      <c r="M410" s="27">
        <f t="shared" si="74"/>
        <v>11507.09</v>
      </c>
      <c r="N410" s="27">
        <f t="shared" si="74"/>
        <v>11507.09</v>
      </c>
      <c r="O410" s="27">
        <f t="shared" si="74"/>
        <v>11507.09</v>
      </c>
      <c r="P410" s="27">
        <f t="shared" si="74"/>
        <v>11507.09</v>
      </c>
      <c r="Q410" s="27">
        <f t="shared" si="74"/>
        <v>11507.09</v>
      </c>
      <c r="R410" s="27">
        <f t="shared" si="74"/>
        <v>11507.09</v>
      </c>
      <c r="S410" s="27">
        <f t="shared" si="74"/>
        <v>11507.09</v>
      </c>
      <c r="T410" s="27">
        <f t="shared" si="74"/>
        <v>11507.09</v>
      </c>
      <c r="U410" s="41">
        <f t="shared" si="74"/>
        <v>11507.09</v>
      </c>
      <c r="V410" s="27">
        <f t="shared" si="74"/>
        <v>138335.08000000002</v>
      </c>
    </row>
    <row r="411" ht="12.75">
      <c r="C411" s="12"/>
    </row>
    <row r="412" spans="1:3" ht="21">
      <c r="A412" s="16">
        <f>+A406+1</f>
        <v>32</v>
      </c>
      <c r="B412" s="21"/>
      <c r="C412" s="5" t="s">
        <v>140</v>
      </c>
    </row>
    <row r="413" spans="1:22" ht="12.75">
      <c r="A413" s="20"/>
      <c r="B413" s="20"/>
      <c r="C413" s="4" t="str">
        <f>C407</f>
        <v>Debt Reserve</v>
      </c>
      <c r="J413" s="26">
        <v>369.58</v>
      </c>
      <c r="K413" s="26">
        <v>369.58</v>
      </c>
      <c r="L413" s="26">
        <v>369.58</v>
      </c>
      <c r="M413" s="26">
        <v>369.58</v>
      </c>
      <c r="N413" s="26">
        <v>369.58</v>
      </c>
      <c r="O413" s="26">
        <v>369.58</v>
      </c>
      <c r="P413" s="26">
        <v>369.58</v>
      </c>
      <c r="Q413" s="26">
        <v>369.58</v>
      </c>
      <c r="R413" s="26">
        <v>369.58</v>
      </c>
      <c r="S413" s="26">
        <v>369.58</v>
      </c>
      <c r="T413" s="26">
        <v>369.58</v>
      </c>
      <c r="U413" s="40">
        <v>369.58</v>
      </c>
      <c r="V413" s="26">
        <f>SUM(J413:U413)</f>
        <v>4434.96</v>
      </c>
    </row>
    <row r="414" spans="3:22" ht="12.75">
      <c r="C414" s="4" t="str">
        <f>C408</f>
        <v>Treasury Fee</v>
      </c>
      <c r="J414" s="52">
        <v>250</v>
      </c>
      <c r="V414" s="26">
        <f>SUM(J414:U414)</f>
        <v>250</v>
      </c>
    </row>
    <row r="415" spans="3:22" ht="13.5" thickBot="1">
      <c r="C415" s="4" t="str">
        <f>C409</f>
        <v>Intercept</v>
      </c>
      <c r="J415" s="52">
        <f>10416.67+54194.79</f>
        <v>64611.46</v>
      </c>
      <c r="K415" s="52">
        <f>10416.67+54194.79</f>
        <v>64611.46</v>
      </c>
      <c r="L415" s="52">
        <f>10416.67+54194.79</f>
        <v>64611.46</v>
      </c>
      <c r="M415" s="52">
        <f>11250+53556.77</f>
        <v>64806.77</v>
      </c>
      <c r="N415" s="52">
        <f aca="true" t="shared" si="75" ref="N415:V415">11250+53556.77</f>
        <v>64806.77</v>
      </c>
      <c r="O415" s="52">
        <f t="shared" si="75"/>
        <v>64806.77</v>
      </c>
      <c r="P415" s="52">
        <f t="shared" si="75"/>
        <v>64806.77</v>
      </c>
      <c r="Q415" s="52">
        <f t="shared" si="75"/>
        <v>64806.77</v>
      </c>
      <c r="R415" s="52">
        <f t="shared" si="75"/>
        <v>64806.77</v>
      </c>
      <c r="S415" s="52">
        <f t="shared" si="75"/>
        <v>64806.77</v>
      </c>
      <c r="T415" s="52">
        <f t="shared" si="75"/>
        <v>64806.77</v>
      </c>
      <c r="U415" s="53">
        <f t="shared" si="75"/>
        <v>64806.77</v>
      </c>
      <c r="V415" s="26">
        <f>SUM(J415:U415)</f>
        <v>777095.31</v>
      </c>
    </row>
    <row r="416" spans="3:22" ht="13.5" thickBot="1">
      <c r="C416" s="6" t="s">
        <v>141</v>
      </c>
      <c r="J416" s="27">
        <f aca="true" t="shared" si="76" ref="J416:V416">SUM(J413:J415)</f>
        <v>65231.04</v>
      </c>
      <c r="K416" s="27">
        <f t="shared" si="76"/>
        <v>64981.04</v>
      </c>
      <c r="L416" s="27">
        <f t="shared" si="76"/>
        <v>64981.04</v>
      </c>
      <c r="M416" s="27">
        <f t="shared" si="76"/>
        <v>65176.35</v>
      </c>
      <c r="N416" s="27">
        <f t="shared" si="76"/>
        <v>65176.35</v>
      </c>
      <c r="O416" s="27">
        <f t="shared" si="76"/>
        <v>65176.35</v>
      </c>
      <c r="P416" s="27">
        <f t="shared" si="76"/>
        <v>65176.35</v>
      </c>
      <c r="Q416" s="27">
        <f t="shared" si="76"/>
        <v>65176.35</v>
      </c>
      <c r="R416" s="27">
        <f t="shared" si="76"/>
        <v>65176.35</v>
      </c>
      <c r="S416" s="27">
        <f t="shared" si="76"/>
        <v>65176.35</v>
      </c>
      <c r="T416" s="27">
        <f t="shared" si="76"/>
        <v>65176.35</v>
      </c>
      <c r="U416" s="41">
        <f t="shared" si="76"/>
        <v>65176.35</v>
      </c>
      <c r="V416" s="27">
        <f t="shared" si="76"/>
        <v>781780.27</v>
      </c>
    </row>
    <row r="417" ht="12.75">
      <c r="C417" s="12"/>
    </row>
    <row r="418" spans="1:3" ht="21">
      <c r="A418" s="16">
        <f>+A412+1</f>
        <v>33</v>
      </c>
      <c r="B418" s="33" t="s">
        <v>103</v>
      </c>
      <c r="C418" s="32" t="s">
        <v>142</v>
      </c>
    </row>
    <row r="419" spans="1:22" ht="12.75">
      <c r="A419" s="20"/>
      <c r="B419" s="20"/>
      <c r="C419" s="4" t="str">
        <f>C413</f>
        <v>Debt Reserve</v>
      </c>
      <c r="J419" s="26">
        <v>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40">
        <v>0</v>
      </c>
      <c r="V419" s="26">
        <f>SUM(J419:U419)</f>
        <v>0</v>
      </c>
    </row>
    <row r="420" spans="3:22" ht="12.75">
      <c r="C420" s="4" t="str">
        <f>C414</f>
        <v>Treasury Fee</v>
      </c>
      <c r="J420" s="52">
        <v>250</v>
      </c>
      <c r="V420" s="26">
        <f>SUM(J420:U420)</f>
        <v>250</v>
      </c>
    </row>
    <row r="421" spans="3:22" ht="13.5" thickBot="1">
      <c r="C421" s="4" t="str">
        <f>C415</f>
        <v>Intercept</v>
      </c>
      <c r="J421" s="26">
        <f>8750+60826.04</f>
        <v>69576.04000000001</v>
      </c>
      <c r="K421" s="26">
        <f>8750+60826.04</f>
        <v>69576.04000000001</v>
      </c>
      <c r="L421" s="26">
        <f>8750+60826.04</f>
        <v>69576.04000000001</v>
      </c>
      <c r="M421" s="26">
        <f>8750+60826.04</f>
        <v>69576.04000000001</v>
      </c>
      <c r="N421" s="26">
        <f>8750+60826.04</f>
        <v>69576.04000000001</v>
      </c>
      <c r="O421" s="26">
        <v>65555.21</v>
      </c>
      <c r="P421" s="26">
        <v>65555.21</v>
      </c>
      <c r="Q421" s="26">
        <v>65555.21</v>
      </c>
      <c r="R421" s="26">
        <v>65555.21</v>
      </c>
      <c r="S421" s="26">
        <v>65555.21</v>
      </c>
      <c r="T421" s="26">
        <v>65555.21</v>
      </c>
      <c r="U421" s="40">
        <v>65341.67</v>
      </c>
      <c r="V421" s="26">
        <f>SUM(J421:U421)</f>
        <v>806553.13</v>
      </c>
    </row>
    <row r="422" spans="3:22" ht="13.5" thickBot="1">
      <c r="C422" s="6" t="s">
        <v>143</v>
      </c>
      <c r="J422" s="27">
        <f aca="true" t="shared" si="77" ref="J422:V422">SUM(J419:J421)</f>
        <v>69826.04000000001</v>
      </c>
      <c r="K422" s="27">
        <f t="shared" si="77"/>
        <v>69576.04000000001</v>
      </c>
      <c r="L422" s="27">
        <f t="shared" si="77"/>
        <v>69576.04000000001</v>
      </c>
      <c r="M422" s="27">
        <f t="shared" si="77"/>
        <v>69576.04000000001</v>
      </c>
      <c r="N422" s="27">
        <f t="shared" si="77"/>
        <v>69576.04000000001</v>
      </c>
      <c r="O422" s="27">
        <f t="shared" si="77"/>
        <v>65555.21</v>
      </c>
      <c r="P422" s="27">
        <f t="shared" si="77"/>
        <v>65555.21</v>
      </c>
      <c r="Q422" s="27">
        <f t="shared" si="77"/>
        <v>65555.21</v>
      </c>
      <c r="R422" s="27">
        <f t="shared" si="77"/>
        <v>65555.21</v>
      </c>
      <c r="S422" s="27">
        <f t="shared" si="77"/>
        <v>65555.21</v>
      </c>
      <c r="T422" s="27">
        <f t="shared" si="77"/>
        <v>65555.21</v>
      </c>
      <c r="U422" s="41">
        <f t="shared" si="77"/>
        <v>65341.67</v>
      </c>
      <c r="V422" s="27">
        <f t="shared" si="77"/>
        <v>806803.13</v>
      </c>
    </row>
    <row r="423" ht="12.75">
      <c r="C423" s="12"/>
    </row>
    <row r="424" spans="1:3" ht="21">
      <c r="A424" s="16">
        <f>+A418+1</f>
        <v>34</v>
      </c>
      <c r="B424" s="21"/>
      <c r="C424" s="5" t="s">
        <v>144</v>
      </c>
    </row>
    <row r="425" spans="1:22" ht="12.75">
      <c r="A425" s="20"/>
      <c r="B425" s="20"/>
      <c r="C425" s="4" t="str">
        <f>C419</f>
        <v>Debt Reserve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40">
        <v>0</v>
      </c>
      <c r="V425" s="26">
        <f>SUM(J425:U425)</f>
        <v>0</v>
      </c>
    </row>
    <row r="426" spans="3:22" ht="12.75">
      <c r="C426" s="4" t="str">
        <f>C420</f>
        <v>Treasury Fee</v>
      </c>
      <c r="J426" s="52">
        <v>250</v>
      </c>
      <c r="V426" s="26">
        <f>SUM(J426:U426)</f>
        <v>250</v>
      </c>
    </row>
    <row r="427" spans="3:22" ht="13.5" thickBot="1">
      <c r="C427" s="4" t="str">
        <f>C421</f>
        <v>Intercept</v>
      </c>
      <c r="J427" s="26">
        <f>9166.67+48493.23</f>
        <v>57659.9</v>
      </c>
      <c r="K427" s="26">
        <f>9166.67+48493.23</f>
        <v>57659.9</v>
      </c>
      <c r="L427" s="26">
        <f>9166.67+48493.23</f>
        <v>57659.9</v>
      </c>
      <c r="M427" s="26">
        <f>9166.67+48493.23</f>
        <v>57659.9</v>
      </c>
      <c r="N427" s="26">
        <f>9166.67+48493.23</f>
        <v>57659.9</v>
      </c>
      <c r="O427" s="26">
        <f>9583.33+47920.31</f>
        <v>57503.64</v>
      </c>
      <c r="P427" s="26">
        <f aca="true" t="shared" si="78" ref="P427:V427">9583.33+47920.31</f>
        <v>57503.64</v>
      </c>
      <c r="Q427" s="26">
        <f t="shared" si="78"/>
        <v>57503.64</v>
      </c>
      <c r="R427" s="26">
        <f t="shared" si="78"/>
        <v>57503.64</v>
      </c>
      <c r="S427" s="26">
        <f t="shared" si="78"/>
        <v>57503.64</v>
      </c>
      <c r="T427" s="26">
        <f t="shared" si="78"/>
        <v>57503.64</v>
      </c>
      <c r="U427" s="40">
        <f t="shared" si="78"/>
        <v>57503.64</v>
      </c>
      <c r="V427" s="26">
        <f>SUM(J427:U427)</f>
        <v>690824.9800000001</v>
      </c>
    </row>
    <row r="428" spans="3:22" ht="13.5" thickBot="1">
      <c r="C428" s="6" t="s">
        <v>145</v>
      </c>
      <c r="J428" s="27">
        <f aca="true" t="shared" si="79" ref="J428:V428">SUM(J425:J427)</f>
        <v>57909.9</v>
      </c>
      <c r="K428" s="27">
        <f t="shared" si="79"/>
        <v>57659.9</v>
      </c>
      <c r="L428" s="27">
        <f t="shared" si="79"/>
        <v>57659.9</v>
      </c>
      <c r="M428" s="27">
        <f t="shared" si="79"/>
        <v>57659.9</v>
      </c>
      <c r="N428" s="27">
        <f t="shared" si="79"/>
        <v>57659.9</v>
      </c>
      <c r="O428" s="27">
        <f t="shared" si="79"/>
        <v>57503.64</v>
      </c>
      <c r="P428" s="27">
        <f t="shared" si="79"/>
        <v>57503.64</v>
      </c>
      <c r="Q428" s="27">
        <f t="shared" si="79"/>
        <v>57503.64</v>
      </c>
      <c r="R428" s="27">
        <f t="shared" si="79"/>
        <v>57503.64</v>
      </c>
      <c r="S428" s="27">
        <f t="shared" si="79"/>
        <v>57503.64</v>
      </c>
      <c r="T428" s="27">
        <f t="shared" si="79"/>
        <v>57503.64</v>
      </c>
      <c r="U428" s="41">
        <f t="shared" si="79"/>
        <v>57503.64</v>
      </c>
      <c r="V428" s="27">
        <f t="shared" si="79"/>
        <v>691074.9800000001</v>
      </c>
    </row>
    <row r="429" ht="12.75">
      <c r="C429" s="12"/>
    </row>
    <row r="430" spans="1:3" ht="21">
      <c r="A430" s="16">
        <f>+A424+1</f>
        <v>35</v>
      </c>
      <c r="B430" s="21"/>
      <c r="C430" s="5" t="s">
        <v>146</v>
      </c>
    </row>
    <row r="431" spans="1:22" ht="12.75">
      <c r="A431" s="20"/>
      <c r="B431" s="20"/>
      <c r="C431" s="4" t="str">
        <f>C425</f>
        <v>Debt Reserve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40">
        <v>0</v>
      </c>
      <c r="V431" s="26">
        <f>SUM(J431:U431)</f>
        <v>0</v>
      </c>
    </row>
    <row r="432" spans="3:22" ht="12.75">
      <c r="C432" s="4" t="str">
        <f>C426</f>
        <v>Treasury Fee</v>
      </c>
      <c r="J432" s="52">
        <v>250</v>
      </c>
      <c r="V432" s="26">
        <f>SUM(J432:U432)</f>
        <v>250</v>
      </c>
    </row>
    <row r="433" spans="3:22" ht="13.5" thickBot="1">
      <c r="C433" s="4" t="str">
        <f>C427</f>
        <v>Intercept</v>
      </c>
      <c r="J433" s="26">
        <f>8333.33+50750</f>
        <v>59083.33</v>
      </c>
      <c r="K433" s="26">
        <f>8333.33+50750</f>
        <v>59083.33</v>
      </c>
      <c r="L433" s="26">
        <f>8333.33+50750</f>
        <v>59083.33</v>
      </c>
      <c r="M433" s="26">
        <f>8333.33+50750</f>
        <v>59083.33</v>
      </c>
      <c r="N433" s="26">
        <f>8333.33+50750</f>
        <v>59083.33</v>
      </c>
      <c r="O433" s="26">
        <f>8750+50125</f>
        <v>58875</v>
      </c>
      <c r="P433" s="26">
        <f aca="true" t="shared" si="80" ref="P433:V433">8750+50125</f>
        <v>58875</v>
      </c>
      <c r="Q433" s="26">
        <f t="shared" si="80"/>
        <v>58875</v>
      </c>
      <c r="R433" s="26">
        <f t="shared" si="80"/>
        <v>58875</v>
      </c>
      <c r="S433" s="26">
        <f t="shared" si="80"/>
        <v>58875</v>
      </c>
      <c r="T433" s="26">
        <f t="shared" si="80"/>
        <v>58875</v>
      </c>
      <c r="U433" s="40">
        <f t="shared" si="80"/>
        <v>58875</v>
      </c>
      <c r="V433" s="26">
        <f>SUM(J433:U433)</f>
        <v>707541.65</v>
      </c>
    </row>
    <row r="434" spans="3:22" ht="13.5" thickBot="1">
      <c r="C434" s="6" t="s">
        <v>147</v>
      </c>
      <c r="J434" s="27">
        <f aca="true" t="shared" si="81" ref="J434:V434">SUM(J431:J433)</f>
        <v>59333.33</v>
      </c>
      <c r="K434" s="27">
        <f t="shared" si="81"/>
        <v>59083.33</v>
      </c>
      <c r="L434" s="27">
        <f t="shared" si="81"/>
        <v>59083.33</v>
      </c>
      <c r="M434" s="27">
        <f t="shared" si="81"/>
        <v>59083.33</v>
      </c>
      <c r="N434" s="27">
        <f t="shared" si="81"/>
        <v>59083.33</v>
      </c>
      <c r="O434" s="27">
        <f t="shared" si="81"/>
        <v>58875</v>
      </c>
      <c r="P434" s="27">
        <f t="shared" si="81"/>
        <v>58875</v>
      </c>
      <c r="Q434" s="27">
        <f t="shared" si="81"/>
        <v>58875</v>
      </c>
      <c r="R434" s="27">
        <f t="shared" si="81"/>
        <v>58875</v>
      </c>
      <c r="S434" s="27">
        <f t="shared" si="81"/>
        <v>58875</v>
      </c>
      <c r="T434" s="27">
        <f t="shared" si="81"/>
        <v>58875</v>
      </c>
      <c r="U434" s="41">
        <f t="shared" si="81"/>
        <v>58875</v>
      </c>
      <c r="V434" s="27">
        <f t="shared" si="81"/>
        <v>707791.65</v>
      </c>
    </row>
    <row r="435" ht="12.75">
      <c r="C435" s="12"/>
    </row>
    <row r="436" spans="1:3" ht="21">
      <c r="A436" s="16">
        <f>+A430+1</f>
        <v>36</v>
      </c>
      <c r="B436" s="21"/>
      <c r="C436" s="5" t="s">
        <v>148</v>
      </c>
    </row>
    <row r="437" spans="1:22" ht="12.75">
      <c r="A437" s="20"/>
      <c r="B437" s="20"/>
      <c r="C437" s="4" t="str">
        <f>C431</f>
        <v>Debt Reserve</v>
      </c>
      <c r="J437" s="26">
        <v>407.5</v>
      </c>
      <c r="K437" s="26">
        <v>407.5</v>
      </c>
      <c r="L437" s="26">
        <v>407.5</v>
      </c>
      <c r="M437" s="26">
        <v>407.5</v>
      </c>
      <c r="N437" s="26">
        <v>401.25</v>
      </c>
      <c r="O437" s="26">
        <v>401.25</v>
      </c>
      <c r="P437" s="26">
        <v>401.25</v>
      </c>
      <c r="Q437" s="26">
        <v>401.25</v>
      </c>
      <c r="R437" s="26">
        <v>401.25</v>
      </c>
      <c r="S437" s="26">
        <v>401.25</v>
      </c>
      <c r="T437" s="26">
        <v>401.25</v>
      </c>
      <c r="U437" s="40">
        <v>401.25</v>
      </c>
      <c r="V437" s="26">
        <f>SUM(J437:U437)</f>
        <v>4840</v>
      </c>
    </row>
    <row r="438" spans="3:22" ht="12.75">
      <c r="C438" s="4" t="str">
        <f>C432</f>
        <v>Treasury Fee</v>
      </c>
      <c r="J438" s="52">
        <v>250</v>
      </c>
      <c r="V438" s="26">
        <f>SUM(J438:U438)</f>
        <v>250</v>
      </c>
    </row>
    <row r="439" spans="3:22" ht="13.5" thickBot="1">
      <c r="C439" s="4" t="str">
        <f>C433</f>
        <v>Intercept</v>
      </c>
      <c r="J439" s="26">
        <f>9166.67+27683.75</f>
        <v>36850.42</v>
      </c>
      <c r="K439" s="26">
        <f>9166.67+27683.75</f>
        <v>36850.42</v>
      </c>
      <c r="L439" s="26">
        <f>9166.67+27683.75</f>
        <v>36850.42</v>
      </c>
      <c r="M439" s="26">
        <f>9166.63+27683.75</f>
        <v>36850.38</v>
      </c>
      <c r="N439" s="52">
        <f>10000+27047.3</f>
        <v>37047.3</v>
      </c>
      <c r="O439" s="52">
        <f aca="true" t="shared" si="82" ref="O439:V439">10000+27047.3</f>
        <v>37047.3</v>
      </c>
      <c r="P439" s="52">
        <f t="shared" si="82"/>
        <v>37047.3</v>
      </c>
      <c r="Q439" s="52">
        <f t="shared" si="82"/>
        <v>37047.3</v>
      </c>
      <c r="R439" s="52">
        <f t="shared" si="82"/>
        <v>37047.3</v>
      </c>
      <c r="S439" s="52">
        <f>10000+27047.25</f>
        <v>37047.25</v>
      </c>
      <c r="T439" s="52">
        <f t="shared" si="82"/>
        <v>37047.3</v>
      </c>
      <c r="U439" s="53">
        <f t="shared" si="82"/>
        <v>37047.3</v>
      </c>
      <c r="V439" s="26">
        <f>SUM(J439:U439)</f>
        <v>443779.98999999993</v>
      </c>
    </row>
    <row r="440" spans="3:22" ht="13.5" thickBot="1">
      <c r="C440" s="6" t="s">
        <v>109</v>
      </c>
      <c r="J440" s="27">
        <f aca="true" t="shared" si="83" ref="J440:V440">SUM(J437:J439)</f>
        <v>37507.92</v>
      </c>
      <c r="K440" s="27">
        <f t="shared" si="83"/>
        <v>37257.92</v>
      </c>
      <c r="L440" s="27">
        <f t="shared" si="83"/>
        <v>37257.92</v>
      </c>
      <c r="M440" s="27">
        <f t="shared" si="83"/>
        <v>37257.88</v>
      </c>
      <c r="N440" s="27">
        <f t="shared" si="83"/>
        <v>37448.55</v>
      </c>
      <c r="O440" s="27">
        <f t="shared" si="83"/>
        <v>37448.55</v>
      </c>
      <c r="P440" s="27">
        <f t="shared" si="83"/>
        <v>37448.55</v>
      </c>
      <c r="Q440" s="27">
        <f t="shared" si="83"/>
        <v>37448.55</v>
      </c>
      <c r="R440" s="27">
        <f t="shared" si="83"/>
        <v>37448.55</v>
      </c>
      <c r="S440" s="27">
        <f t="shared" si="83"/>
        <v>37448.5</v>
      </c>
      <c r="T440" s="27">
        <f t="shared" si="83"/>
        <v>37448.55</v>
      </c>
      <c r="U440" s="41">
        <f t="shared" si="83"/>
        <v>37448.55</v>
      </c>
      <c r="V440" s="27">
        <f t="shared" si="83"/>
        <v>448869.98999999993</v>
      </c>
    </row>
    <row r="441" ht="12.75">
      <c r="C441" s="12"/>
    </row>
    <row r="442" spans="1:3" ht="21">
      <c r="A442" s="16">
        <f>+A436+1</f>
        <v>37</v>
      </c>
      <c r="B442" s="21"/>
      <c r="C442" s="5" t="s">
        <v>149</v>
      </c>
    </row>
    <row r="443" spans="1:22" ht="12.75">
      <c r="A443" s="20"/>
      <c r="B443" s="20"/>
      <c r="C443" s="4" t="str">
        <f>C437</f>
        <v>Debt Reserve</v>
      </c>
      <c r="J443" s="26">
        <v>209.58</v>
      </c>
      <c r="K443" s="26">
        <v>209.58</v>
      </c>
      <c r="L443" s="26">
        <v>209.58</v>
      </c>
      <c r="M443" s="26">
        <v>209.58</v>
      </c>
      <c r="N443" s="26">
        <v>209.58</v>
      </c>
      <c r="O443" s="26">
        <v>209.58</v>
      </c>
      <c r="P443" s="26">
        <v>209.58</v>
      </c>
      <c r="Q443" s="26">
        <v>209.58</v>
      </c>
      <c r="R443" s="26">
        <v>209.58</v>
      </c>
      <c r="S443" s="26">
        <v>209.58</v>
      </c>
      <c r="T443" s="26">
        <v>209.58</v>
      </c>
      <c r="U443" s="40">
        <v>209.58</v>
      </c>
      <c r="V443" s="26">
        <f>SUM(J443:U443)</f>
        <v>2514.9599999999996</v>
      </c>
    </row>
    <row r="444" spans="3:22" ht="12.75">
      <c r="C444" s="4" t="str">
        <f>C438</f>
        <v>Treasury Fee</v>
      </c>
      <c r="J444" s="52">
        <v>250</v>
      </c>
      <c r="V444" s="26">
        <f>SUM(J444:U444)</f>
        <v>250</v>
      </c>
    </row>
    <row r="445" spans="3:22" ht="13.5" thickBot="1">
      <c r="C445" s="4" t="str">
        <f>C439</f>
        <v>Intercept</v>
      </c>
      <c r="J445" s="26">
        <f aca="true" t="shared" si="84" ref="J445:Q445">4166.67+26589.06</f>
        <v>30755.730000000003</v>
      </c>
      <c r="K445" s="26">
        <f t="shared" si="84"/>
        <v>30755.730000000003</v>
      </c>
      <c r="L445" s="26">
        <f t="shared" si="84"/>
        <v>30755.730000000003</v>
      </c>
      <c r="M445" s="26">
        <f t="shared" si="84"/>
        <v>30755.730000000003</v>
      </c>
      <c r="N445" s="26">
        <f t="shared" si="84"/>
        <v>30755.730000000003</v>
      </c>
      <c r="O445" s="26">
        <f t="shared" si="84"/>
        <v>30755.730000000003</v>
      </c>
      <c r="P445" s="26">
        <f t="shared" si="84"/>
        <v>30755.730000000003</v>
      </c>
      <c r="Q445" s="26">
        <f t="shared" si="84"/>
        <v>30755.730000000003</v>
      </c>
      <c r="R445" s="26">
        <f>4583.33+26276.56</f>
        <v>30859.89</v>
      </c>
      <c r="S445" s="26">
        <f>4583.33+26276.56</f>
        <v>30859.89</v>
      </c>
      <c r="T445" s="26">
        <f>4583.33+26276.56</f>
        <v>30859.89</v>
      </c>
      <c r="U445" s="40">
        <f>4583.33+26276.56</f>
        <v>30859.89</v>
      </c>
      <c r="V445" s="26">
        <f>SUM(J445:U445)</f>
        <v>369485.4000000001</v>
      </c>
    </row>
    <row r="446" spans="3:22" ht="13.5" thickBot="1">
      <c r="C446" s="6" t="s">
        <v>120</v>
      </c>
      <c r="J446" s="27">
        <f aca="true" t="shared" si="85" ref="J446:V446">SUM(J443:J445)</f>
        <v>31215.310000000005</v>
      </c>
      <c r="K446" s="27">
        <f t="shared" si="85"/>
        <v>30965.310000000005</v>
      </c>
      <c r="L446" s="27">
        <f t="shared" si="85"/>
        <v>30965.310000000005</v>
      </c>
      <c r="M446" s="27">
        <f t="shared" si="85"/>
        <v>30965.310000000005</v>
      </c>
      <c r="N446" s="27">
        <f t="shared" si="85"/>
        <v>30965.310000000005</v>
      </c>
      <c r="O446" s="27">
        <f t="shared" si="85"/>
        <v>30965.310000000005</v>
      </c>
      <c r="P446" s="27">
        <f t="shared" si="85"/>
        <v>30965.310000000005</v>
      </c>
      <c r="Q446" s="27">
        <f t="shared" si="85"/>
        <v>30965.310000000005</v>
      </c>
      <c r="R446" s="27">
        <f t="shared" si="85"/>
        <v>31069.47</v>
      </c>
      <c r="S446" s="27">
        <f t="shared" si="85"/>
        <v>31069.47</v>
      </c>
      <c r="T446" s="27">
        <f t="shared" si="85"/>
        <v>31069.47</v>
      </c>
      <c r="U446" s="41">
        <f t="shared" si="85"/>
        <v>31069.47</v>
      </c>
      <c r="V446" s="27">
        <f t="shared" si="85"/>
        <v>372250.3600000001</v>
      </c>
    </row>
    <row r="447" ht="12.75">
      <c r="C447" s="12"/>
    </row>
    <row r="448" spans="1:3" ht="21">
      <c r="A448" s="16"/>
      <c r="B448" s="43" t="s">
        <v>105</v>
      </c>
      <c r="C448" s="30" t="s">
        <v>150</v>
      </c>
    </row>
    <row r="449" spans="1:20" ht="12.75">
      <c r="A449" s="20"/>
      <c r="B449" s="20"/>
      <c r="C449" s="4" t="str">
        <f>C443</f>
        <v>Debt Reserve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</row>
    <row r="450" ht="12.75">
      <c r="C450" s="4" t="str">
        <f>C444</f>
        <v>Treasury Fee</v>
      </c>
    </row>
    <row r="451" ht="13.5" thickBot="1">
      <c r="C451" s="4" t="str">
        <f>C445</f>
        <v>Intercept</v>
      </c>
    </row>
    <row r="452" ht="13.5" thickBot="1">
      <c r="C452" s="6" t="s">
        <v>151</v>
      </c>
    </row>
    <row r="453" ht="12.75">
      <c r="C453" s="12"/>
    </row>
    <row r="454" spans="1:3" ht="21">
      <c r="A454" s="16"/>
      <c r="B454" s="43" t="s">
        <v>105</v>
      </c>
      <c r="C454" s="30" t="s">
        <v>152</v>
      </c>
    </row>
    <row r="455" spans="1:22" ht="12.75">
      <c r="A455" s="20"/>
      <c r="B455" s="20"/>
      <c r="C455" s="4" t="str">
        <f>C449</f>
        <v>Debt Reserve</v>
      </c>
      <c r="V455"/>
    </row>
    <row r="456" spans="3:22" ht="12.75">
      <c r="C456" s="4" t="str">
        <f>C450</f>
        <v>Treasury Fee</v>
      </c>
      <c r="V456"/>
    </row>
    <row r="457" spans="3:22" ht="13.5" thickBot="1">
      <c r="C457" s="4" t="str">
        <f>C451</f>
        <v>Intercept</v>
      </c>
      <c r="V457"/>
    </row>
    <row r="458" spans="3:22" ht="13.5" thickBot="1">
      <c r="C458" s="6" t="s">
        <v>75</v>
      </c>
      <c r="V458"/>
    </row>
    <row r="459" ht="12.75">
      <c r="C459" s="12"/>
    </row>
    <row r="460" spans="1:3" ht="21">
      <c r="A460" s="16">
        <f>+A442+1</f>
        <v>38</v>
      </c>
      <c r="B460" s="21"/>
      <c r="C460" s="5" t="s">
        <v>153</v>
      </c>
    </row>
    <row r="461" spans="1:22" ht="12.75">
      <c r="A461" s="20"/>
      <c r="B461" s="20"/>
      <c r="C461" s="4" t="str">
        <f>C455</f>
        <v>Debt Reserve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40">
        <v>0</v>
      </c>
      <c r="V461" s="26">
        <f>SUM(J461:U461)</f>
        <v>0</v>
      </c>
    </row>
    <row r="462" spans="3:22" ht="12.75">
      <c r="C462" s="4" t="str">
        <f>C456</f>
        <v>Treasury Fee</v>
      </c>
      <c r="J462" s="52">
        <v>250</v>
      </c>
      <c r="V462" s="26">
        <f>SUM(J462:U462)</f>
        <v>250</v>
      </c>
    </row>
    <row r="463" spans="3:22" ht="13.5" thickBot="1">
      <c r="C463" s="4" t="str">
        <f>C457</f>
        <v>Intercept</v>
      </c>
      <c r="J463" s="26">
        <f aca="true" t="shared" si="86" ref="J463:Q463">11250+11457.29</f>
        <v>22707.29</v>
      </c>
      <c r="K463" s="26">
        <f t="shared" si="86"/>
        <v>22707.29</v>
      </c>
      <c r="L463" s="26">
        <f t="shared" si="86"/>
        <v>22707.29</v>
      </c>
      <c r="M463" s="26">
        <f t="shared" si="86"/>
        <v>22707.29</v>
      </c>
      <c r="N463" s="26">
        <f t="shared" si="86"/>
        <v>22707.29</v>
      </c>
      <c r="O463" s="26">
        <f t="shared" si="86"/>
        <v>22707.29</v>
      </c>
      <c r="P463" s="26">
        <f t="shared" si="86"/>
        <v>22707.29</v>
      </c>
      <c r="Q463" s="26">
        <f t="shared" si="86"/>
        <v>22707.29</v>
      </c>
      <c r="R463" s="26">
        <f>11666.67+11007.29</f>
        <v>22673.96</v>
      </c>
      <c r="S463" s="26">
        <f>11666.67+11007.29</f>
        <v>22673.96</v>
      </c>
      <c r="T463" s="26">
        <f>11666.67+11007.29</f>
        <v>22673.96</v>
      </c>
      <c r="U463" s="40">
        <f>11666.67+11007.29</f>
        <v>22673.96</v>
      </c>
      <c r="V463" s="26">
        <f>SUM(J463:U463)</f>
        <v>272354.16000000003</v>
      </c>
    </row>
    <row r="464" spans="3:22" ht="13.5" thickBot="1">
      <c r="C464" s="6" t="s">
        <v>154</v>
      </c>
      <c r="J464" s="27">
        <f aca="true" t="shared" si="87" ref="J464:V464">SUM(J461:J463)</f>
        <v>22957.29</v>
      </c>
      <c r="K464" s="27">
        <f t="shared" si="87"/>
        <v>22707.29</v>
      </c>
      <c r="L464" s="27">
        <f t="shared" si="87"/>
        <v>22707.29</v>
      </c>
      <c r="M464" s="27">
        <f t="shared" si="87"/>
        <v>22707.29</v>
      </c>
      <c r="N464" s="27">
        <f t="shared" si="87"/>
        <v>22707.29</v>
      </c>
      <c r="O464" s="27">
        <f t="shared" si="87"/>
        <v>22707.29</v>
      </c>
      <c r="P464" s="27">
        <f t="shared" si="87"/>
        <v>22707.29</v>
      </c>
      <c r="Q464" s="27">
        <f t="shared" si="87"/>
        <v>22707.29</v>
      </c>
      <c r="R464" s="27">
        <f t="shared" si="87"/>
        <v>22673.96</v>
      </c>
      <c r="S464" s="27">
        <f t="shared" si="87"/>
        <v>22673.96</v>
      </c>
      <c r="T464" s="27">
        <f t="shared" si="87"/>
        <v>22673.96</v>
      </c>
      <c r="U464" s="41">
        <f t="shared" si="87"/>
        <v>22673.96</v>
      </c>
      <c r="V464" s="27">
        <f t="shared" si="87"/>
        <v>272604.16000000003</v>
      </c>
    </row>
    <row r="465" ht="12.75">
      <c r="C465" s="12"/>
    </row>
    <row r="466" spans="1:3" ht="21">
      <c r="A466" s="16"/>
      <c r="B466" s="43" t="s">
        <v>105</v>
      </c>
      <c r="C466" s="30" t="s">
        <v>155</v>
      </c>
    </row>
    <row r="467" spans="1:20" ht="12.75">
      <c r="A467" s="20"/>
      <c r="B467" s="20"/>
      <c r="C467" s="4" t="str">
        <f>C461</f>
        <v>Debt Reserve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</row>
    <row r="468" ht="12.75">
      <c r="C468" s="4" t="str">
        <f>C462</f>
        <v>Treasury Fee</v>
      </c>
    </row>
    <row r="469" ht="13.5" thickBot="1">
      <c r="C469" s="4" t="str">
        <f>C463</f>
        <v>Intercept</v>
      </c>
    </row>
    <row r="470" ht="13.5" thickBot="1">
      <c r="C470" s="6" t="s">
        <v>156</v>
      </c>
    </row>
    <row r="471" ht="12.75">
      <c r="C471" s="12"/>
    </row>
    <row r="472" spans="1:3" ht="21">
      <c r="A472" s="16"/>
      <c r="B472" s="43" t="s">
        <v>105</v>
      </c>
      <c r="C472" s="30" t="s">
        <v>180</v>
      </c>
    </row>
    <row r="473" spans="1:20" ht="12.75">
      <c r="A473" s="20"/>
      <c r="B473" s="20"/>
      <c r="C473" s="4" t="str">
        <f>C467</f>
        <v>Debt Reserve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</row>
    <row r="474" ht="12.75">
      <c r="C474" s="4" t="str">
        <f>C468</f>
        <v>Treasury Fee</v>
      </c>
    </row>
    <row r="475" ht="13.5" thickBot="1">
      <c r="C475" s="4" t="str">
        <f>C469</f>
        <v>Intercept</v>
      </c>
    </row>
    <row r="476" ht="13.5" thickBot="1">
      <c r="C476" s="6" t="s">
        <v>159</v>
      </c>
    </row>
    <row r="477" ht="12.75">
      <c r="C477" s="12"/>
    </row>
    <row r="478" spans="1:3" ht="21">
      <c r="A478" s="16"/>
      <c r="B478" s="43" t="s">
        <v>105</v>
      </c>
      <c r="C478" s="30" t="s">
        <v>160</v>
      </c>
    </row>
    <row r="479" spans="1:20" ht="12.75">
      <c r="A479" s="20"/>
      <c r="B479" s="20"/>
      <c r="C479" s="4" t="str">
        <f>C473</f>
        <v>Debt Reserve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</row>
    <row r="480" ht="12.75">
      <c r="C480" s="4" t="str">
        <f>C474</f>
        <v>Treasury Fee</v>
      </c>
    </row>
    <row r="481" ht="13.5" thickBot="1">
      <c r="C481" s="4" t="str">
        <f>C475</f>
        <v>Intercept</v>
      </c>
    </row>
    <row r="482" ht="13.5" thickBot="1">
      <c r="C482" s="6" t="s">
        <v>161</v>
      </c>
    </row>
    <row r="483" ht="12.75">
      <c r="C483" s="12"/>
    </row>
    <row r="484" spans="1:3" ht="21">
      <c r="A484" s="16"/>
      <c r="B484" s="43" t="s">
        <v>105</v>
      </c>
      <c r="C484" s="30" t="s">
        <v>162</v>
      </c>
    </row>
    <row r="485" spans="1:22" ht="12.75">
      <c r="A485" s="20"/>
      <c r="B485" s="20"/>
      <c r="C485" s="4" t="str">
        <f>C479</f>
        <v>Debt Reserve</v>
      </c>
      <c r="J485" s="26">
        <v>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/>
      <c r="U485" s="40"/>
      <c r="V485" s="26">
        <f>SUM(J485:U485)</f>
        <v>0</v>
      </c>
    </row>
    <row r="486" spans="3:22" ht="12.75">
      <c r="C486" s="4" t="str">
        <f>C480</f>
        <v>Treasury Fee</v>
      </c>
      <c r="J486" s="52">
        <v>250</v>
      </c>
      <c r="V486" s="26">
        <f>SUM(J486:U486)</f>
        <v>250</v>
      </c>
    </row>
    <row r="487" spans="3:22" ht="13.5" thickBot="1">
      <c r="C487" s="4" t="str">
        <f>C481</f>
        <v>Intercept</v>
      </c>
      <c r="J487" s="26">
        <f aca="true" t="shared" si="88" ref="J487:S487">11250+39962.5</f>
        <v>51212.5</v>
      </c>
      <c r="K487" s="26">
        <f t="shared" si="88"/>
        <v>51212.5</v>
      </c>
      <c r="L487" s="26">
        <f t="shared" si="88"/>
        <v>51212.5</v>
      </c>
      <c r="M487" s="26">
        <f t="shared" si="88"/>
        <v>51212.5</v>
      </c>
      <c r="N487" s="26">
        <f t="shared" si="88"/>
        <v>51212.5</v>
      </c>
      <c r="O487" s="26">
        <f t="shared" si="88"/>
        <v>51212.5</v>
      </c>
      <c r="P487" s="26">
        <f t="shared" si="88"/>
        <v>51212.5</v>
      </c>
      <c r="Q487" s="26">
        <f t="shared" si="88"/>
        <v>51212.5</v>
      </c>
      <c r="R487" s="26">
        <f t="shared" si="88"/>
        <v>51212.5</v>
      </c>
      <c r="S487" s="26">
        <f t="shared" si="88"/>
        <v>51212.5</v>
      </c>
      <c r="T487" s="26"/>
      <c r="U487" s="40"/>
      <c r="V487" s="26">
        <f>SUM(J487:U487)</f>
        <v>512125</v>
      </c>
    </row>
    <row r="488" spans="3:22" ht="13.5" thickBot="1">
      <c r="C488" s="6" t="s">
        <v>163</v>
      </c>
      <c r="J488" s="27">
        <f aca="true" t="shared" si="89" ref="J488:V488">SUM(J485:J487)</f>
        <v>51462.5</v>
      </c>
      <c r="K488" s="27">
        <f t="shared" si="89"/>
        <v>51212.5</v>
      </c>
      <c r="L488" s="27">
        <f t="shared" si="89"/>
        <v>51212.5</v>
      </c>
      <c r="M488" s="27">
        <f t="shared" si="89"/>
        <v>51212.5</v>
      </c>
      <c r="N488" s="27">
        <f t="shared" si="89"/>
        <v>51212.5</v>
      </c>
      <c r="O488" s="27">
        <f t="shared" si="89"/>
        <v>51212.5</v>
      </c>
      <c r="P488" s="27">
        <f t="shared" si="89"/>
        <v>51212.5</v>
      </c>
      <c r="Q488" s="27">
        <f t="shared" si="89"/>
        <v>51212.5</v>
      </c>
      <c r="R488" s="27">
        <f t="shared" si="89"/>
        <v>51212.5</v>
      </c>
      <c r="S488" s="27">
        <f t="shared" si="89"/>
        <v>51212.5</v>
      </c>
      <c r="T488" s="27">
        <f t="shared" si="89"/>
        <v>0</v>
      </c>
      <c r="U488" s="41">
        <f t="shared" si="89"/>
        <v>0</v>
      </c>
      <c r="V488" s="27">
        <f t="shared" si="89"/>
        <v>512375</v>
      </c>
    </row>
    <row r="489" ht="12.75">
      <c r="C489" s="12"/>
    </row>
    <row r="490" spans="1:3" ht="21">
      <c r="A490" s="16">
        <f>+A460+1</f>
        <v>39</v>
      </c>
      <c r="B490" s="21"/>
      <c r="C490" s="5" t="s">
        <v>164</v>
      </c>
    </row>
    <row r="491" spans="1:22" ht="12.75">
      <c r="A491" s="20"/>
      <c r="B491" s="20"/>
      <c r="C491" s="4" t="str">
        <f>C485</f>
        <v>Debt Reserve</v>
      </c>
      <c r="J491" s="26">
        <v>732.08</v>
      </c>
      <c r="K491" s="26">
        <v>732.08</v>
      </c>
      <c r="L491" s="26">
        <v>732.08</v>
      </c>
      <c r="M491" s="26">
        <v>732.08</v>
      </c>
      <c r="N491" s="26">
        <v>732.08</v>
      </c>
      <c r="O491" s="26">
        <v>732.08</v>
      </c>
      <c r="P491" s="26">
        <v>732.08</v>
      </c>
      <c r="Q491" s="26">
        <v>732.08</v>
      </c>
      <c r="R491" s="26">
        <v>732.08</v>
      </c>
      <c r="S491" s="26">
        <v>732.08</v>
      </c>
      <c r="T491" s="26">
        <v>732.08</v>
      </c>
      <c r="U491" s="40">
        <v>732.08</v>
      </c>
      <c r="V491" s="26">
        <f>SUM(J491:U491)</f>
        <v>8784.960000000001</v>
      </c>
    </row>
    <row r="492" spans="3:22" ht="12.75">
      <c r="C492" s="4" t="str">
        <f>C486</f>
        <v>Treasury Fee</v>
      </c>
      <c r="J492" s="52">
        <v>250</v>
      </c>
      <c r="V492" s="26">
        <f>SUM(J492:U492)</f>
        <v>250</v>
      </c>
    </row>
    <row r="493" spans="3:22" ht="13.5" thickBot="1">
      <c r="C493" s="4" t="str">
        <f>C487</f>
        <v>Intercept</v>
      </c>
      <c r="J493" s="26">
        <f>21666.67+31805.21</f>
        <v>53471.88</v>
      </c>
      <c r="K493" s="26">
        <f>21666.67+31805.21</f>
        <v>53471.88</v>
      </c>
      <c r="L493" s="26">
        <f>21666.67+31805.21</f>
        <v>53471.88</v>
      </c>
      <c r="M493" s="26">
        <f>21666.67+31805.21</f>
        <v>53471.88</v>
      </c>
      <c r="N493" s="26">
        <f>21666.67+31805.21</f>
        <v>53471.88</v>
      </c>
      <c r="O493" s="26">
        <f>21666.65+31805.2</f>
        <v>53471.850000000006</v>
      </c>
      <c r="P493" s="26">
        <f>21666.67+31561.46</f>
        <v>53228.13</v>
      </c>
      <c r="Q493" s="26">
        <f>21666.67+31561.46</f>
        <v>53228.13</v>
      </c>
      <c r="R493" s="26">
        <f>21666.67+31561.46</f>
        <v>53228.13</v>
      </c>
      <c r="S493" s="26">
        <f>21666.67+31561.46</f>
        <v>53228.13</v>
      </c>
      <c r="T493" s="26">
        <f>21666.67+31561.46</f>
        <v>53228.13</v>
      </c>
      <c r="U493" s="40">
        <f>21666.65+31561.45</f>
        <v>53228.100000000006</v>
      </c>
      <c r="V493" s="26">
        <f>SUM(J493:U493)</f>
        <v>640200</v>
      </c>
    </row>
    <row r="494" spans="3:22" ht="13.5" thickBot="1">
      <c r="C494" s="6" t="s">
        <v>165</v>
      </c>
      <c r="J494" s="27">
        <f aca="true" t="shared" si="90" ref="J494:V494">SUM(J491:J493)</f>
        <v>54453.96</v>
      </c>
      <c r="K494" s="27">
        <f t="shared" si="90"/>
        <v>54203.96</v>
      </c>
      <c r="L494" s="27">
        <f t="shared" si="90"/>
        <v>54203.96</v>
      </c>
      <c r="M494" s="27">
        <f t="shared" si="90"/>
        <v>54203.96</v>
      </c>
      <c r="N494" s="27">
        <f t="shared" si="90"/>
        <v>54203.96</v>
      </c>
      <c r="O494" s="27">
        <f t="shared" si="90"/>
        <v>54203.93000000001</v>
      </c>
      <c r="P494" s="27">
        <f t="shared" si="90"/>
        <v>53960.21</v>
      </c>
      <c r="Q494" s="27">
        <f t="shared" si="90"/>
        <v>53960.21</v>
      </c>
      <c r="R494" s="27">
        <f t="shared" si="90"/>
        <v>53960.21</v>
      </c>
      <c r="S494" s="27">
        <f t="shared" si="90"/>
        <v>53960.21</v>
      </c>
      <c r="T494" s="27">
        <f t="shared" si="90"/>
        <v>53960.21</v>
      </c>
      <c r="U494" s="41">
        <f t="shared" si="90"/>
        <v>53960.18000000001</v>
      </c>
      <c r="V494" s="27">
        <f t="shared" si="90"/>
        <v>649234.96</v>
      </c>
    </row>
    <row r="495" ht="12.75">
      <c r="C495" s="12"/>
    </row>
    <row r="496" spans="1:3" ht="21">
      <c r="A496" s="16">
        <f>+A490+1</f>
        <v>40</v>
      </c>
      <c r="B496" s="21"/>
      <c r="C496" s="5" t="s">
        <v>166</v>
      </c>
    </row>
    <row r="497" spans="1:22" ht="12.75">
      <c r="A497" s="20"/>
      <c r="B497" s="20"/>
      <c r="C497" s="4" t="str">
        <f>C491</f>
        <v>Debt Reserve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40">
        <v>0</v>
      </c>
      <c r="V497" s="26">
        <f>SUM(J497:U497)</f>
        <v>0</v>
      </c>
    </row>
    <row r="498" spans="3:22" ht="12.75">
      <c r="C498" s="4" t="str">
        <f>C492</f>
        <v>Treasury Fee</v>
      </c>
      <c r="J498" s="52">
        <v>250</v>
      </c>
      <c r="V498" s="26">
        <f>SUM(J498:U498)</f>
        <v>250</v>
      </c>
    </row>
    <row r="499" spans="3:22" ht="13.5" thickBot="1">
      <c r="C499" s="4" t="str">
        <f>C493</f>
        <v>Intercept</v>
      </c>
      <c r="J499" s="26">
        <f>8750+41669.69</f>
        <v>50419.69</v>
      </c>
      <c r="K499" s="26">
        <f>8750+41669.69</f>
        <v>50419.69</v>
      </c>
      <c r="L499" s="26">
        <f>8750+41669.68</f>
        <v>50419.68</v>
      </c>
      <c r="M499" s="26">
        <f>7500+41300</f>
        <v>48800</v>
      </c>
      <c r="N499" s="26">
        <f aca="true" t="shared" si="91" ref="N499:V499">7500+41300</f>
        <v>48800</v>
      </c>
      <c r="O499" s="26">
        <f t="shared" si="91"/>
        <v>48800</v>
      </c>
      <c r="P499" s="26">
        <f t="shared" si="91"/>
        <v>48800</v>
      </c>
      <c r="Q499" s="26">
        <f t="shared" si="91"/>
        <v>48800</v>
      </c>
      <c r="R499" s="26">
        <f t="shared" si="91"/>
        <v>48800</v>
      </c>
      <c r="S499" s="26">
        <f t="shared" si="91"/>
        <v>48800</v>
      </c>
      <c r="T499" s="26">
        <f t="shared" si="91"/>
        <v>48800</v>
      </c>
      <c r="U499" s="40">
        <f t="shared" si="91"/>
        <v>48800</v>
      </c>
      <c r="V499" s="26">
        <f>SUM(J499:U499)</f>
        <v>590459.06</v>
      </c>
    </row>
    <row r="500" spans="3:22" ht="13.5" thickBot="1">
      <c r="C500" s="6" t="s">
        <v>167</v>
      </c>
      <c r="J500" s="27">
        <f aca="true" t="shared" si="92" ref="J500:V500">SUM(J497:J499)</f>
        <v>50669.69</v>
      </c>
      <c r="K500" s="27">
        <f t="shared" si="92"/>
        <v>50419.69</v>
      </c>
      <c r="L500" s="27">
        <f t="shared" si="92"/>
        <v>50419.68</v>
      </c>
      <c r="M500" s="27">
        <f t="shared" si="92"/>
        <v>48800</v>
      </c>
      <c r="N500" s="27">
        <f t="shared" si="92"/>
        <v>48800</v>
      </c>
      <c r="O500" s="27">
        <f t="shared" si="92"/>
        <v>48800</v>
      </c>
      <c r="P500" s="27">
        <f t="shared" si="92"/>
        <v>48800</v>
      </c>
      <c r="Q500" s="27">
        <f t="shared" si="92"/>
        <v>48800</v>
      </c>
      <c r="R500" s="27">
        <f t="shared" si="92"/>
        <v>48800</v>
      </c>
      <c r="S500" s="27">
        <f t="shared" si="92"/>
        <v>48800</v>
      </c>
      <c r="T500" s="27">
        <f t="shared" si="92"/>
        <v>48800</v>
      </c>
      <c r="U500" s="41">
        <f t="shared" si="92"/>
        <v>48800</v>
      </c>
      <c r="V500" s="27">
        <f t="shared" si="92"/>
        <v>590709.06</v>
      </c>
    </row>
    <row r="501" ht="12.75">
      <c r="C501" s="12"/>
    </row>
    <row r="502" spans="1:3" ht="21">
      <c r="A502" s="16"/>
      <c r="B502" s="43" t="s">
        <v>105</v>
      </c>
      <c r="C502" s="30" t="s">
        <v>168</v>
      </c>
    </row>
    <row r="503" spans="1:3" ht="12.75">
      <c r="A503" s="20"/>
      <c r="B503" s="20"/>
      <c r="C503" s="4" t="str">
        <f>C497</f>
        <v>Debt Reserve</v>
      </c>
    </row>
    <row r="504" ht="12.75">
      <c r="C504" s="4" t="str">
        <f>C498</f>
        <v>Treasury Fee</v>
      </c>
    </row>
    <row r="505" ht="13.5" thickBot="1">
      <c r="C505" s="4" t="str">
        <f>C499</f>
        <v>Intercept</v>
      </c>
    </row>
    <row r="506" ht="13.5" thickBot="1">
      <c r="C506" s="6" t="s">
        <v>169</v>
      </c>
    </row>
    <row r="507" ht="12.75">
      <c r="C507" s="12"/>
    </row>
    <row r="508" spans="1:3" ht="21">
      <c r="A508" s="16"/>
      <c r="B508" s="43" t="s">
        <v>105</v>
      </c>
      <c r="C508" s="30" t="s">
        <v>170</v>
      </c>
    </row>
    <row r="509" spans="1:22" ht="12.75">
      <c r="A509" s="20"/>
      <c r="B509" s="20"/>
      <c r="C509" s="4" t="str">
        <f>C503</f>
        <v>Debt Reserve</v>
      </c>
      <c r="J509" s="26">
        <v>0</v>
      </c>
      <c r="K509" s="26">
        <v>0</v>
      </c>
      <c r="L509" s="26">
        <v>0</v>
      </c>
      <c r="M509" s="26">
        <v>0</v>
      </c>
      <c r="N509" s="26"/>
      <c r="O509" s="26"/>
      <c r="P509" s="26"/>
      <c r="Q509" s="26"/>
      <c r="R509" s="26"/>
      <c r="S509" s="26"/>
      <c r="T509" s="26"/>
      <c r="U509" s="40"/>
      <c r="V509" s="26">
        <f>SUM(J509:U509)</f>
        <v>0</v>
      </c>
    </row>
    <row r="510" spans="3:22" ht="12.75">
      <c r="C510" s="4" t="str">
        <f>C504</f>
        <v>Treasury Fee</v>
      </c>
      <c r="J510" s="52">
        <v>250</v>
      </c>
      <c r="V510" s="26">
        <f>SUM(J510:U510)</f>
        <v>250</v>
      </c>
    </row>
    <row r="511" spans="3:22" ht="13.5" thickBot="1">
      <c r="C511" s="4" t="str">
        <f>C505</f>
        <v>Intercept</v>
      </c>
      <c r="J511" s="26">
        <f>25416.67+95000</f>
        <v>120416.67</v>
      </c>
      <c r="K511" s="26">
        <f>25416.67+95000</f>
        <v>120416.67</v>
      </c>
      <c r="L511" s="26">
        <f>25416.67+95000</f>
        <v>120416.67</v>
      </c>
      <c r="M511" s="26">
        <f>25416.67+95000</f>
        <v>120416.67</v>
      </c>
      <c r="N511" s="26"/>
      <c r="O511" s="26"/>
      <c r="P511" s="26"/>
      <c r="Q511" s="26"/>
      <c r="R511" s="26"/>
      <c r="S511" s="26"/>
      <c r="T511" s="26"/>
      <c r="U511" s="40"/>
      <c r="V511" s="26">
        <f>SUM(J511:U511)</f>
        <v>481666.68</v>
      </c>
    </row>
    <row r="512" spans="3:22" ht="13.5" thickBot="1">
      <c r="C512" s="6" t="s">
        <v>116</v>
      </c>
      <c r="J512" s="27">
        <f aca="true" t="shared" si="93" ref="J512:V512">SUM(J509:J511)</f>
        <v>120666.67</v>
      </c>
      <c r="K512" s="27">
        <f t="shared" si="93"/>
        <v>120416.67</v>
      </c>
      <c r="L512" s="27">
        <f t="shared" si="93"/>
        <v>120416.67</v>
      </c>
      <c r="M512" s="27">
        <f t="shared" si="93"/>
        <v>120416.67</v>
      </c>
      <c r="N512" s="27">
        <f t="shared" si="93"/>
        <v>0</v>
      </c>
      <c r="O512" s="27">
        <f t="shared" si="93"/>
        <v>0</v>
      </c>
      <c r="P512" s="27">
        <f t="shared" si="93"/>
        <v>0</v>
      </c>
      <c r="Q512" s="27">
        <f t="shared" si="93"/>
        <v>0</v>
      </c>
      <c r="R512" s="27">
        <f t="shared" si="93"/>
        <v>0</v>
      </c>
      <c r="S512" s="27">
        <f t="shared" si="93"/>
        <v>0</v>
      </c>
      <c r="T512" s="27">
        <f t="shared" si="93"/>
        <v>0</v>
      </c>
      <c r="U512" s="41">
        <f t="shared" si="93"/>
        <v>0</v>
      </c>
      <c r="V512" s="27">
        <f t="shared" si="93"/>
        <v>481916.68</v>
      </c>
    </row>
    <row r="513" ht="12.75">
      <c r="C513" s="12"/>
    </row>
    <row r="514" spans="1:3" ht="21">
      <c r="A514" s="16">
        <f>A496+1</f>
        <v>41</v>
      </c>
      <c r="B514" s="21"/>
      <c r="C514" s="5" t="s">
        <v>171</v>
      </c>
    </row>
    <row r="515" spans="1:22" ht="12.75">
      <c r="A515" s="20"/>
      <c r="B515" s="20"/>
      <c r="C515" s="4" t="str">
        <f>C509</f>
        <v>Debt Reserve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40">
        <v>0</v>
      </c>
      <c r="V515" s="26">
        <f>SUM(J515:U515)</f>
        <v>0</v>
      </c>
    </row>
    <row r="516" spans="3:22" ht="12.75">
      <c r="C516" s="4" t="str">
        <f>C510</f>
        <v>Treasury Fee</v>
      </c>
      <c r="J516" s="52">
        <v>250</v>
      </c>
      <c r="V516" s="26">
        <f>SUM(J516:U516)</f>
        <v>250</v>
      </c>
    </row>
    <row r="517" spans="3:22" ht="13.5" thickBot="1">
      <c r="C517" s="4" t="str">
        <f>C511</f>
        <v>Intercept</v>
      </c>
      <c r="J517" s="26">
        <f>9583.33+30166.67</f>
        <v>39750</v>
      </c>
      <c r="K517" s="26">
        <f>9583.33+30166.67</f>
        <v>39750</v>
      </c>
      <c r="L517" s="26">
        <f>9583.33+30166.67</f>
        <v>39750</v>
      </c>
      <c r="M517" s="26">
        <f>9583.37+30166.65</f>
        <v>39750.020000000004</v>
      </c>
      <c r="N517" s="52">
        <f>10000+29687.5</f>
        <v>39687.5</v>
      </c>
      <c r="O517" s="52">
        <f aca="true" t="shared" si="94" ref="O517:V517">10000+29687.5</f>
        <v>39687.5</v>
      </c>
      <c r="P517" s="52">
        <f t="shared" si="94"/>
        <v>39687.5</v>
      </c>
      <c r="Q517" s="52">
        <f t="shared" si="94"/>
        <v>39687.5</v>
      </c>
      <c r="R517" s="52">
        <f t="shared" si="94"/>
        <v>39687.5</v>
      </c>
      <c r="S517" s="52">
        <f t="shared" si="94"/>
        <v>39687.5</v>
      </c>
      <c r="T517" s="52">
        <f t="shared" si="94"/>
        <v>39687.5</v>
      </c>
      <c r="U517" s="53">
        <f t="shared" si="94"/>
        <v>39687.5</v>
      </c>
      <c r="V517" s="26">
        <f>SUM(J517:U517)</f>
        <v>476500.02</v>
      </c>
    </row>
    <row r="518" spans="3:22" ht="13.5" thickBot="1">
      <c r="C518" s="6" t="s">
        <v>172</v>
      </c>
      <c r="J518" s="27">
        <f aca="true" t="shared" si="95" ref="J518:V518">SUM(J515:J517)</f>
        <v>40000</v>
      </c>
      <c r="K518" s="27">
        <f t="shared" si="95"/>
        <v>39750</v>
      </c>
      <c r="L518" s="27">
        <f t="shared" si="95"/>
        <v>39750</v>
      </c>
      <c r="M518" s="27">
        <f t="shared" si="95"/>
        <v>39750.020000000004</v>
      </c>
      <c r="N518" s="27">
        <f t="shared" si="95"/>
        <v>39687.5</v>
      </c>
      <c r="O518" s="27">
        <f t="shared" si="95"/>
        <v>39687.5</v>
      </c>
      <c r="P518" s="27">
        <f t="shared" si="95"/>
        <v>39687.5</v>
      </c>
      <c r="Q518" s="27">
        <f t="shared" si="95"/>
        <v>39687.5</v>
      </c>
      <c r="R518" s="27">
        <f t="shared" si="95"/>
        <v>39687.5</v>
      </c>
      <c r="S518" s="27">
        <f t="shared" si="95"/>
        <v>39687.5</v>
      </c>
      <c r="T518" s="27">
        <f t="shared" si="95"/>
        <v>39687.5</v>
      </c>
      <c r="U518" s="41">
        <f t="shared" si="95"/>
        <v>39687.5</v>
      </c>
      <c r="V518" s="27">
        <f t="shared" si="95"/>
        <v>476750.02</v>
      </c>
    </row>
    <row r="519" ht="12.75">
      <c r="C519" s="12"/>
    </row>
    <row r="520" spans="1:3" ht="21">
      <c r="A520" s="16">
        <f>+A514+1</f>
        <v>42</v>
      </c>
      <c r="B520" s="33" t="s">
        <v>103</v>
      </c>
      <c r="C520" s="32" t="s">
        <v>173</v>
      </c>
    </row>
    <row r="521" spans="1:22" ht="12.75">
      <c r="A521" s="20"/>
      <c r="B521" s="20"/>
      <c r="C521" s="4" t="str">
        <f>C515</f>
        <v>Debt Reserve</v>
      </c>
      <c r="J521" s="26">
        <v>1430</v>
      </c>
      <c r="K521" s="26">
        <v>1430</v>
      </c>
      <c r="L521" s="26">
        <v>1430</v>
      </c>
      <c r="M521" s="26">
        <v>1430</v>
      </c>
      <c r="N521" s="26">
        <v>1430</v>
      </c>
      <c r="O521" s="26">
        <v>1430</v>
      </c>
      <c r="P521" s="26">
        <v>1430</v>
      </c>
      <c r="Q521" s="26">
        <v>1430</v>
      </c>
      <c r="R521" s="26">
        <v>1389.17</v>
      </c>
      <c r="S521" s="26">
        <v>1389.17</v>
      </c>
      <c r="T521" s="26">
        <v>1389.17</v>
      </c>
      <c r="U521" s="40">
        <v>1389.17</v>
      </c>
      <c r="V521" s="26">
        <f>SUM(J521:U521)</f>
        <v>16996.68</v>
      </c>
    </row>
    <row r="522" spans="3:22" ht="12.75">
      <c r="C522" s="4" t="str">
        <f>C516</f>
        <v>Treasury Fee</v>
      </c>
      <c r="J522" s="52">
        <v>250</v>
      </c>
      <c r="V522" s="26">
        <f>SUM(J522:U522)</f>
        <v>250</v>
      </c>
    </row>
    <row r="523" spans="3:22" ht="13.5" thickBot="1">
      <c r="C523" s="4" t="str">
        <f>C517</f>
        <v>Intercept</v>
      </c>
      <c r="J523" s="26">
        <f aca="true" t="shared" si="96" ref="J523:T523">42083.33+61182.29</f>
        <v>103265.62</v>
      </c>
      <c r="K523" s="26">
        <f t="shared" si="96"/>
        <v>103265.62</v>
      </c>
      <c r="L523" s="26">
        <f t="shared" si="96"/>
        <v>103265.62</v>
      </c>
      <c r="M523" s="26">
        <f t="shared" si="96"/>
        <v>103265.62</v>
      </c>
      <c r="N523" s="26">
        <f t="shared" si="96"/>
        <v>103265.62</v>
      </c>
      <c r="O523" s="26">
        <f t="shared" si="96"/>
        <v>103265.62</v>
      </c>
      <c r="P523" s="26">
        <f t="shared" si="96"/>
        <v>103265.62</v>
      </c>
      <c r="Q523" s="26">
        <f t="shared" si="96"/>
        <v>103265.62</v>
      </c>
      <c r="R523" s="26">
        <f t="shared" si="96"/>
        <v>103265.62</v>
      </c>
      <c r="S523" s="26">
        <f t="shared" si="96"/>
        <v>103265.62</v>
      </c>
      <c r="T523" s="26">
        <f t="shared" si="96"/>
        <v>103265.62</v>
      </c>
      <c r="U523" s="40">
        <f>43333.33+59919.79</f>
        <v>103253.12</v>
      </c>
      <c r="V523" s="26">
        <f>SUM(J523:U523)</f>
        <v>1239174.94</v>
      </c>
    </row>
    <row r="524" spans="3:22" ht="13.5" thickBot="1">
      <c r="C524" s="6" t="s">
        <v>129</v>
      </c>
      <c r="J524" s="27">
        <f aca="true" t="shared" si="97" ref="J524:V524">SUM(J521:J523)</f>
        <v>104945.62</v>
      </c>
      <c r="K524" s="27">
        <f t="shared" si="97"/>
        <v>104695.62</v>
      </c>
      <c r="L524" s="27">
        <f t="shared" si="97"/>
        <v>104695.62</v>
      </c>
      <c r="M524" s="27">
        <f t="shared" si="97"/>
        <v>104695.62</v>
      </c>
      <c r="N524" s="27">
        <f t="shared" si="97"/>
        <v>104695.62</v>
      </c>
      <c r="O524" s="27">
        <f t="shared" si="97"/>
        <v>104695.62</v>
      </c>
      <c r="P524" s="27">
        <f t="shared" si="97"/>
        <v>104695.62</v>
      </c>
      <c r="Q524" s="27">
        <f t="shared" si="97"/>
        <v>104695.62</v>
      </c>
      <c r="R524" s="27">
        <f t="shared" si="97"/>
        <v>104654.79</v>
      </c>
      <c r="S524" s="27">
        <f t="shared" si="97"/>
        <v>104654.79</v>
      </c>
      <c r="T524" s="27">
        <f t="shared" si="97"/>
        <v>104654.79</v>
      </c>
      <c r="U524" s="41">
        <f t="shared" si="97"/>
        <v>104642.29</v>
      </c>
      <c r="V524" s="27">
        <f t="shared" si="97"/>
        <v>1256421.6199999999</v>
      </c>
    </row>
    <row r="525" ht="12.75">
      <c r="C525" s="12"/>
    </row>
    <row r="526" spans="1:3" ht="21">
      <c r="A526" s="16">
        <f>+A520+1</f>
        <v>43</v>
      </c>
      <c r="B526" s="21"/>
      <c r="C526" s="5" t="s">
        <v>174</v>
      </c>
    </row>
    <row r="527" spans="1:22" ht="12.75">
      <c r="A527" s="20"/>
      <c r="B527" s="20"/>
      <c r="C527" s="4" t="str">
        <f>C521</f>
        <v>Debt Reserve</v>
      </c>
      <c r="J527" s="26">
        <v>617.08</v>
      </c>
      <c r="K527" s="26">
        <v>617.08</v>
      </c>
      <c r="L527" s="26">
        <v>617.08</v>
      </c>
      <c r="M527" s="26">
        <v>617.08</v>
      </c>
      <c r="N527" s="26">
        <v>617.08</v>
      </c>
      <c r="O527" s="26">
        <v>617.08</v>
      </c>
      <c r="P527" s="26">
        <v>617.08</v>
      </c>
      <c r="Q527" s="26">
        <v>617.08</v>
      </c>
      <c r="R527" s="26">
        <v>617.12</v>
      </c>
      <c r="S527" s="26">
        <v>605.42</v>
      </c>
      <c r="T527" s="26">
        <v>605.42</v>
      </c>
      <c r="U527" s="40">
        <v>605.42</v>
      </c>
      <c r="V527" s="26">
        <f>SUM(J527:U527)</f>
        <v>7370.02</v>
      </c>
    </row>
    <row r="528" spans="3:22" ht="12.75">
      <c r="C528" s="4" t="str">
        <f>C522</f>
        <v>Treasury Fee</v>
      </c>
      <c r="J528" s="52">
        <v>250</v>
      </c>
      <c r="V528" s="26">
        <f>SUM(J528:U528)</f>
        <v>250</v>
      </c>
    </row>
    <row r="529" spans="3:22" ht="13.5" thickBot="1">
      <c r="C529" s="4" t="str">
        <f>C523</f>
        <v>Intercept</v>
      </c>
      <c r="J529" s="26">
        <f aca="true" t="shared" si="98" ref="J529:P529">11666.67+26847.5</f>
        <v>38514.17</v>
      </c>
      <c r="K529" s="26">
        <f t="shared" si="98"/>
        <v>38514.17</v>
      </c>
      <c r="L529" s="26">
        <f t="shared" si="98"/>
        <v>38514.17</v>
      </c>
      <c r="M529" s="26">
        <f t="shared" si="98"/>
        <v>38514.17</v>
      </c>
      <c r="N529" s="26">
        <f t="shared" si="98"/>
        <v>38514.17</v>
      </c>
      <c r="O529" s="26">
        <f t="shared" si="98"/>
        <v>38514.17</v>
      </c>
      <c r="P529" s="26">
        <f t="shared" si="98"/>
        <v>38514.17</v>
      </c>
      <c r="Q529" s="26">
        <f>11666.63+26847.5</f>
        <v>38514.13</v>
      </c>
      <c r="R529" s="26">
        <f>12083.33+26575.08</f>
        <v>38658.41</v>
      </c>
      <c r="S529" s="26">
        <f>12083.33+26575.08</f>
        <v>38658.41</v>
      </c>
      <c r="T529" s="26">
        <f>12083.33+26575.08</f>
        <v>38658.41</v>
      </c>
      <c r="U529" s="40">
        <f>12083.33+26575.08</f>
        <v>38658.41</v>
      </c>
      <c r="V529" s="26">
        <f>SUM(J529:U529)</f>
        <v>462746.9600000001</v>
      </c>
    </row>
    <row r="530" spans="3:22" ht="13.5" thickBot="1">
      <c r="C530" s="6" t="s">
        <v>175</v>
      </c>
      <c r="J530" s="27">
        <f aca="true" t="shared" si="99" ref="J530:V530">SUM(J527:J529)</f>
        <v>39381.25</v>
      </c>
      <c r="K530" s="27">
        <f t="shared" si="99"/>
        <v>39131.25</v>
      </c>
      <c r="L530" s="27">
        <f t="shared" si="99"/>
        <v>39131.25</v>
      </c>
      <c r="M530" s="27">
        <f t="shared" si="99"/>
        <v>39131.25</v>
      </c>
      <c r="N530" s="27">
        <f t="shared" si="99"/>
        <v>39131.25</v>
      </c>
      <c r="O530" s="27">
        <f t="shared" si="99"/>
        <v>39131.25</v>
      </c>
      <c r="P530" s="27">
        <f t="shared" si="99"/>
        <v>39131.25</v>
      </c>
      <c r="Q530" s="27">
        <f t="shared" si="99"/>
        <v>39131.21</v>
      </c>
      <c r="R530" s="27">
        <f t="shared" si="99"/>
        <v>39275.530000000006</v>
      </c>
      <c r="S530" s="27">
        <f t="shared" si="99"/>
        <v>39263.83</v>
      </c>
      <c r="T530" s="27">
        <f t="shared" si="99"/>
        <v>39263.83</v>
      </c>
      <c r="U530" s="41">
        <f t="shared" si="99"/>
        <v>39263.83</v>
      </c>
      <c r="V530" s="27">
        <f t="shared" si="99"/>
        <v>470366.9800000001</v>
      </c>
    </row>
    <row r="531" ht="12.75">
      <c r="C531" s="12"/>
    </row>
    <row r="532" spans="1:3" ht="21">
      <c r="A532" s="16">
        <f>+A526+1</f>
        <v>44</v>
      </c>
      <c r="B532" s="21"/>
      <c r="C532" s="5" t="s">
        <v>176</v>
      </c>
    </row>
    <row r="533" spans="1:22" ht="12.75">
      <c r="A533" s="20"/>
      <c r="B533" s="20"/>
      <c r="C533" s="4" t="str">
        <f>C527</f>
        <v>Debt Reserve</v>
      </c>
      <c r="J533" s="26">
        <v>490.71</v>
      </c>
      <c r="K533" s="26">
        <v>490.71</v>
      </c>
      <c r="L533" s="26">
        <v>490.71</v>
      </c>
      <c r="M533" s="26">
        <v>490.71</v>
      </c>
      <c r="N533" s="26">
        <v>490.71</v>
      </c>
      <c r="O533" s="26">
        <v>490.71</v>
      </c>
      <c r="P533" s="26">
        <v>490.7</v>
      </c>
      <c r="Q533" s="26">
        <v>471.75</v>
      </c>
      <c r="R533" s="26">
        <v>471.75</v>
      </c>
      <c r="S533" s="26">
        <v>471.75</v>
      </c>
      <c r="T533" s="26">
        <v>471.75</v>
      </c>
      <c r="U533" s="40">
        <v>471.75</v>
      </c>
      <c r="V533" s="26">
        <f>SUM(J533:U533)</f>
        <v>5793.709999999999</v>
      </c>
    </row>
    <row r="534" spans="3:22" ht="12.75">
      <c r="C534" s="4" t="str">
        <f>C528</f>
        <v>Treasury Fee</v>
      </c>
      <c r="J534" s="52">
        <v>250</v>
      </c>
      <c r="V534" s="26">
        <f>SUM(J534:U534)</f>
        <v>250</v>
      </c>
    </row>
    <row r="535" spans="3:22" ht="13.5" thickBot="1">
      <c r="C535" s="4" t="str">
        <f>C529</f>
        <v>Intercept</v>
      </c>
      <c r="J535" s="26">
        <f>18962.85+15751.77</f>
        <v>34714.619999999995</v>
      </c>
      <c r="K535" s="26">
        <f>18962.85+15751.78</f>
        <v>34714.63</v>
      </c>
      <c r="L535" s="26">
        <f>18962.85+15751.78</f>
        <v>34714.63</v>
      </c>
      <c r="M535" s="26">
        <f>18962.85+15751.78</f>
        <v>34714.63</v>
      </c>
      <c r="N535" s="26">
        <f>18962.85+15751.77</f>
        <v>34714.619999999995</v>
      </c>
      <c r="O535" s="26">
        <f>18962.85+15751.77</f>
        <v>34714.619999999995</v>
      </c>
      <c r="P535" s="26">
        <f>18962.84+15751.77</f>
        <v>34714.61</v>
      </c>
      <c r="Q535" s="52">
        <f>19590.52+15143.07</f>
        <v>34733.59</v>
      </c>
      <c r="R535" s="52">
        <f>19590.52+15143.07</f>
        <v>34733.59</v>
      </c>
      <c r="S535" s="52">
        <f>19590.52+15143.07</f>
        <v>34733.59</v>
      </c>
      <c r="T535" s="52">
        <f>19590.52+15143.07</f>
        <v>34733.59</v>
      </c>
      <c r="U535" s="53">
        <f>19590.52+15143.06</f>
        <v>34733.58</v>
      </c>
      <c r="V535" s="26">
        <f>SUM(J535:U535)</f>
        <v>416670.2999999999</v>
      </c>
    </row>
    <row r="536" spans="3:22" ht="13.5" thickBot="1">
      <c r="C536" s="6" t="s">
        <v>177</v>
      </c>
      <c r="J536" s="27">
        <f aca="true" t="shared" si="100" ref="J536:V536">SUM(J533:J535)</f>
        <v>35455.329999999994</v>
      </c>
      <c r="K536" s="27">
        <f t="shared" si="100"/>
        <v>35205.34</v>
      </c>
      <c r="L536" s="27">
        <f t="shared" si="100"/>
        <v>35205.34</v>
      </c>
      <c r="M536" s="27">
        <f t="shared" si="100"/>
        <v>35205.34</v>
      </c>
      <c r="N536" s="27">
        <f t="shared" si="100"/>
        <v>35205.329999999994</v>
      </c>
      <c r="O536" s="27">
        <f t="shared" si="100"/>
        <v>35205.329999999994</v>
      </c>
      <c r="P536" s="27">
        <f t="shared" si="100"/>
        <v>35205.31</v>
      </c>
      <c r="Q536" s="27">
        <f t="shared" si="100"/>
        <v>35205.34</v>
      </c>
      <c r="R536" s="27">
        <f t="shared" si="100"/>
        <v>35205.34</v>
      </c>
      <c r="S536" s="27">
        <f t="shared" si="100"/>
        <v>35205.34</v>
      </c>
      <c r="T536" s="27">
        <f t="shared" si="100"/>
        <v>35205.34</v>
      </c>
      <c r="U536" s="41">
        <f t="shared" si="100"/>
        <v>35205.33</v>
      </c>
      <c r="V536" s="27">
        <f t="shared" si="100"/>
        <v>422714.0099999999</v>
      </c>
    </row>
    <row r="537" ht="12.75">
      <c r="C537" s="12"/>
    </row>
    <row r="538" spans="1:3" ht="21">
      <c r="A538" s="16">
        <f>+A532+1</f>
        <v>45</v>
      </c>
      <c r="B538" s="21"/>
      <c r="C538" s="5" t="s">
        <v>178</v>
      </c>
    </row>
    <row r="539" spans="1:22" ht="12.75">
      <c r="A539" s="20"/>
      <c r="B539" s="20"/>
      <c r="C539" s="4" t="str">
        <f>C533</f>
        <v>Debt Reserve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40">
        <v>0</v>
      </c>
      <c r="V539" s="26">
        <f>SUM(J539:U539)</f>
        <v>0</v>
      </c>
    </row>
    <row r="540" spans="3:22" ht="12.75">
      <c r="C540" s="4" t="str">
        <f>C534</f>
        <v>Treasury Fee</v>
      </c>
      <c r="J540" s="52">
        <v>250</v>
      </c>
      <c r="V540" s="26">
        <f>SUM(J540:U540)</f>
        <v>250</v>
      </c>
    </row>
    <row r="541" spans="3:22" ht="13.5" thickBot="1">
      <c r="C541" s="4" t="str">
        <f>C535</f>
        <v>Intercept</v>
      </c>
      <c r="J541" s="26">
        <f>36709.38+6250</f>
        <v>42959.38</v>
      </c>
      <c r="K541" s="26">
        <f aca="true" t="shared" si="101" ref="K541:U541">36709.38+6250</f>
        <v>42959.38</v>
      </c>
      <c r="L541" s="26">
        <f t="shared" si="101"/>
        <v>42959.38</v>
      </c>
      <c r="M541" s="26">
        <f t="shared" si="101"/>
        <v>42959.38</v>
      </c>
      <c r="N541" s="26">
        <f t="shared" si="101"/>
        <v>42959.38</v>
      </c>
      <c r="O541" s="26">
        <f t="shared" si="101"/>
        <v>42959.38</v>
      </c>
      <c r="P541" s="26">
        <f t="shared" si="101"/>
        <v>42959.38</v>
      </c>
      <c r="Q541" s="26">
        <f t="shared" si="101"/>
        <v>42959.38</v>
      </c>
      <c r="R541" s="26">
        <f t="shared" si="101"/>
        <v>42959.38</v>
      </c>
      <c r="S541" s="26">
        <f t="shared" si="101"/>
        <v>42959.38</v>
      </c>
      <c r="T541" s="26">
        <f t="shared" si="101"/>
        <v>42959.38</v>
      </c>
      <c r="U541" s="40">
        <f t="shared" si="101"/>
        <v>42959.38</v>
      </c>
      <c r="V541" s="26">
        <f>SUM(J541:U541)</f>
        <v>515512.56</v>
      </c>
    </row>
    <row r="542" spans="3:22" ht="13.5" thickBot="1">
      <c r="C542" s="6" t="s">
        <v>124</v>
      </c>
      <c r="J542" s="27">
        <f aca="true" t="shared" si="102" ref="J542:V542">SUM(J539:J541)</f>
        <v>43209.38</v>
      </c>
      <c r="K542" s="27">
        <f t="shared" si="102"/>
        <v>42959.38</v>
      </c>
      <c r="L542" s="27">
        <f t="shared" si="102"/>
        <v>42959.38</v>
      </c>
      <c r="M542" s="27">
        <f t="shared" si="102"/>
        <v>42959.38</v>
      </c>
      <c r="N542" s="27">
        <f t="shared" si="102"/>
        <v>42959.38</v>
      </c>
      <c r="O542" s="27">
        <f t="shared" si="102"/>
        <v>42959.38</v>
      </c>
      <c r="P542" s="27">
        <f t="shared" si="102"/>
        <v>42959.38</v>
      </c>
      <c r="Q542" s="27">
        <f t="shared" si="102"/>
        <v>42959.38</v>
      </c>
      <c r="R542" s="27">
        <f t="shared" si="102"/>
        <v>42959.38</v>
      </c>
      <c r="S542" s="27">
        <f t="shared" si="102"/>
        <v>42959.38</v>
      </c>
      <c r="T542" s="27">
        <f t="shared" si="102"/>
        <v>42959.38</v>
      </c>
      <c r="U542" s="41">
        <f t="shared" si="102"/>
        <v>42959.38</v>
      </c>
      <c r="V542" s="27">
        <f t="shared" si="102"/>
        <v>515762.56</v>
      </c>
    </row>
    <row r="543" ht="12.75">
      <c r="C543" s="12"/>
    </row>
    <row r="544" spans="1:3" ht="21">
      <c r="A544" s="16"/>
      <c r="B544" s="43" t="s">
        <v>105</v>
      </c>
      <c r="C544" s="30" t="s">
        <v>181</v>
      </c>
    </row>
    <row r="545" spans="1:20" ht="12.75">
      <c r="A545" s="20"/>
      <c r="B545" s="20"/>
      <c r="C545" s="4" t="str">
        <f>C539</f>
        <v>Debt Reserve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</row>
    <row r="546" ht="12.75">
      <c r="C546" s="4" t="str">
        <f>C540</f>
        <v>Treasury Fee</v>
      </c>
    </row>
    <row r="547" ht="13.5" thickBot="1">
      <c r="C547" s="4" t="str">
        <f>C541</f>
        <v>Intercept</v>
      </c>
    </row>
    <row r="548" ht="13.5" thickBot="1">
      <c r="C548" s="6" t="s">
        <v>159</v>
      </c>
    </row>
    <row r="549" ht="12.75">
      <c r="C549" s="12"/>
    </row>
    <row r="550" spans="1:3" ht="21">
      <c r="A550" s="16">
        <f>+A538+1</f>
        <v>46</v>
      </c>
      <c r="B550" s="46" t="s">
        <v>103</v>
      </c>
      <c r="C550" s="37" t="s">
        <v>179</v>
      </c>
    </row>
    <row r="551" spans="1:22" ht="12.75">
      <c r="A551" s="20"/>
      <c r="B551" s="20"/>
      <c r="C551" s="4" t="str">
        <f>C545</f>
        <v>Debt Reserve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40">
        <v>0</v>
      </c>
      <c r="V551" s="26">
        <f>SUM(J551:U551)</f>
        <v>0</v>
      </c>
    </row>
    <row r="552" spans="3:22" ht="12.75">
      <c r="C552" s="4" t="str">
        <f>C546</f>
        <v>Treasury Fee</v>
      </c>
      <c r="J552" s="52">
        <v>250</v>
      </c>
      <c r="V552" s="26">
        <f>SUM(J552:U552)</f>
        <v>250</v>
      </c>
    </row>
    <row r="553" spans="3:22" ht="13.5" thickBot="1">
      <c r="C553" s="4" t="str">
        <f>C547</f>
        <v>Intercept</v>
      </c>
      <c r="J553" s="26">
        <v>70843.13</v>
      </c>
      <c r="K553" s="26">
        <v>70843.13</v>
      </c>
      <c r="L553" s="26">
        <v>70843.13</v>
      </c>
      <c r="M553" s="26">
        <v>70843.13</v>
      </c>
      <c r="N553" s="26">
        <v>70843.13</v>
      </c>
      <c r="O553" s="26">
        <v>70843.13</v>
      </c>
      <c r="P553" s="26">
        <v>70843.13</v>
      </c>
      <c r="Q553" s="26">
        <v>70843.13</v>
      </c>
      <c r="R553" s="26">
        <v>70843.13</v>
      </c>
      <c r="S553" s="26">
        <v>70843.13</v>
      </c>
      <c r="T553" s="26">
        <v>70843.13</v>
      </c>
      <c r="U553" s="40">
        <v>70843.13</v>
      </c>
      <c r="V553" s="26">
        <f>SUM(J553:U553)</f>
        <v>850117.56</v>
      </c>
    </row>
    <row r="554" spans="3:22" ht="13.5" thickBot="1">
      <c r="C554" s="6" t="s">
        <v>102</v>
      </c>
      <c r="J554" s="27">
        <f aca="true" t="shared" si="103" ref="J554:V554">SUM(J551:J553)</f>
        <v>71093.13</v>
      </c>
      <c r="K554" s="27">
        <f t="shared" si="103"/>
        <v>70843.13</v>
      </c>
      <c r="L554" s="27">
        <f t="shared" si="103"/>
        <v>70843.13</v>
      </c>
      <c r="M554" s="27">
        <f t="shared" si="103"/>
        <v>70843.13</v>
      </c>
      <c r="N554" s="27">
        <f t="shared" si="103"/>
        <v>70843.13</v>
      </c>
      <c r="O554" s="27">
        <f t="shared" si="103"/>
        <v>70843.13</v>
      </c>
      <c r="P554" s="27">
        <f t="shared" si="103"/>
        <v>70843.13</v>
      </c>
      <c r="Q554" s="27">
        <f t="shared" si="103"/>
        <v>70843.13</v>
      </c>
      <c r="R554" s="27">
        <f t="shared" si="103"/>
        <v>70843.13</v>
      </c>
      <c r="S554" s="27">
        <f t="shared" si="103"/>
        <v>70843.13</v>
      </c>
      <c r="T554" s="27">
        <f t="shared" si="103"/>
        <v>70843.13</v>
      </c>
      <c r="U554" s="41">
        <f t="shared" si="103"/>
        <v>70843.13</v>
      </c>
      <c r="V554" s="27">
        <f t="shared" si="103"/>
        <v>850367.56</v>
      </c>
    </row>
    <row r="555" ht="12.75">
      <c r="C555" s="12"/>
    </row>
    <row r="556" spans="1:3" ht="21">
      <c r="A556" s="16"/>
      <c r="B556" s="43" t="s">
        <v>105</v>
      </c>
      <c r="C556" s="30" t="s">
        <v>182</v>
      </c>
    </row>
    <row r="557" spans="1:22" ht="12.75">
      <c r="A557" s="20"/>
      <c r="B557" s="20"/>
      <c r="C557" s="4" t="str">
        <f>C551</f>
        <v>Debt Reserve</v>
      </c>
      <c r="J557" s="26">
        <v>0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/>
      <c r="T557" s="26"/>
      <c r="U557" s="40"/>
      <c r="V557" s="26">
        <f>SUM(J557:U557)</f>
        <v>0</v>
      </c>
    </row>
    <row r="558" spans="3:22" ht="12.75">
      <c r="C558" s="4" t="str">
        <f>C552</f>
        <v>Treasury Fee</v>
      </c>
      <c r="J558" s="52">
        <v>250</v>
      </c>
      <c r="V558" s="26">
        <f>SUM(J558:U558)</f>
        <v>250</v>
      </c>
    </row>
    <row r="559" spans="3:22" ht="13.5" thickBot="1">
      <c r="C559" s="4" t="str">
        <f>C553</f>
        <v>Intercept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/>
      <c r="T559" s="26"/>
      <c r="U559" s="40"/>
      <c r="V559" s="26">
        <f>SUM(J559:U559)</f>
        <v>0</v>
      </c>
    </row>
    <row r="560" spans="3:22" ht="13.5" thickBot="1">
      <c r="C560" s="6" t="s">
        <v>183</v>
      </c>
      <c r="J560" s="27">
        <f aca="true" t="shared" si="104" ref="J560:V560">SUM(J557:J559)</f>
        <v>250</v>
      </c>
      <c r="K560" s="27">
        <f t="shared" si="104"/>
        <v>0</v>
      </c>
      <c r="L560" s="27">
        <f t="shared" si="104"/>
        <v>0</v>
      </c>
      <c r="M560" s="27">
        <f t="shared" si="104"/>
        <v>0</v>
      </c>
      <c r="N560" s="27">
        <f t="shared" si="104"/>
        <v>0</v>
      </c>
      <c r="O560" s="27">
        <f t="shared" si="104"/>
        <v>0</v>
      </c>
      <c r="P560" s="27">
        <f t="shared" si="104"/>
        <v>0</v>
      </c>
      <c r="Q560" s="27">
        <f t="shared" si="104"/>
        <v>0</v>
      </c>
      <c r="R560" s="27">
        <f t="shared" si="104"/>
        <v>0</v>
      </c>
      <c r="S560" s="27">
        <f t="shared" si="104"/>
        <v>0</v>
      </c>
      <c r="T560" s="27">
        <f t="shared" si="104"/>
        <v>0</v>
      </c>
      <c r="U560" s="41">
        <f t="shared" si="104"/>
        <v>0</v>
      </c>
      <c r="V560" s="27">
        <f t="shared" si="104"/>
        <v>250</v>
      </c>
    </row>
    <row r="561" ht="12.75">
      <c r="C561" s="12"/>
    </row>
    <row r="562" spans="1:3" ht="21">
      <c r="A562" s="16">
        <f>+A550+1</f>
        <v>47</v>
      </c>
      <c r="B562" s="21"/>
      <c r="C562" s="5" t="s">
        <v>184</v>
      </c>
    </row>
    <row r="563" spans="1:22" ht="12.75">
      <c r="A563" s="20"/>
      <c r="B563" s="20"/>
      <c r="C563" s="4" t="str">
        <f>C557</f>
        <v>Debt Reserve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40">
        <v>0</v>
      </c>
      <c r="V563" s="26">
        <f>SUM(J563:U563)</f>
        <v>0</v>
      </c>
    </row>
    <row r="564" spans="3:22" ht="12.75">
      <c r="C564" s="4" t="str">
        <f>C558</f>
        <v>Treasury Fee</v>
      </c>
      <c r="J564" s="52">
        <v>250</v>
      </c>
      <c r="V564" s="26">
        <f>SUM(J564:U564)</f>
        <v>250</v>
      </c>
    </row>
    <row r="565" spans="3:22" ht="13.5" thickBot="1">
      <c r="C565" s="4" t="str">
        <f>C559</f>
        <v>Intercept</v>
      </c>
      <c r="J565" s="26">
        <f>16250+182802.61</f>
        <v>199052.61</v>
      </c>
      <c r="K565" s="26">
        <f>16250+182802.61</f>
        <v>199052.61</v>
      </c>
      <c r="L565" s="26">
        <f>17500+181766.67</f>
        <v>199266.67</v>
      </c>
      <c r="M565" s="26">
        <f aca="true" t="shared" si="105" ref="M565:V565">17500+181766.67</f>
        <v>199266.67</v>
      </c>
      <c r="N565" s="26">
        <f t="shared" si="105"/>
        <v>199266.67</v>
      </c>
      <c r="O565" s="26">
        <f t="shared" si="105"/>
        <v>199266.67</v>
      </c>
      <c r="P565" s="26">
        <f t="shared" si="105"/>
        <v>199266.67</v>
      </c>
      <c r="Q565" s="26">
        <f t="shared" si="105"/>
        <v>199266.67</v>
      </c>
      <c r="R565" s="26">
        <f t="shared" si="105"/>
        <v>199266.67</v>
      </c>
      <c r="S565" s="26">
        <f t="shared" si="105"/>
        <v>199266.67</v>
      </c>
      <c r="T565" s="26">
        <f t="shared" si="105"/>
        <v>199266.67</v>
      </c>
      <c r="U565" s="40">
        <f t="shared" si="105"/>
        <v>199266.67</v>
      </c>
      <c r="V565" s="26">
        <f>SUM(J565:U565)</f>
        <v>2390771.92</v>
      </c>
    </row>
    <row r="566" spans="3:22" ht="13.5" thickBot="1">
      <c r="C566" s="6" t="s">
        <v>185</v>
      </c>
      <c r="J566" s="27">
        <f aca="true" t="shared" si="106" ref="J566:V566">SUM(J563:J565)</f>
        <v>199302.61</v>
      </c>
      <c r="K566" s="27">
        <f t="shared" si="106"/>
        <v>199052.61</v>
      </c>
      <c r="L566" s="27">
        <f t="shared" si="106"/>
        <v>199266.67</v>
      </c>
      <c r="M566" s="27">
        <f t="shared" si="106"/>
        <v>199266.67</v>
      </c>
      <c r="N566" s="27">
        <f t="shared" si="106"/>
        <v>199266.67</v>
      </c>
      <c r="O566" s="27">
        <f t="shared" si="106"/>
        <v>199266.67</v>
      </c>
      <c r="P566" s="27">
        <f t="shared" si="106"/>
        <v>199266.67</v>
      </c>
      <c r="Q566" s="27">
        <f t="shared" si="106"/>
        <v>199266.67</v>
      </c>
      <c r="R566" s="27">
        <f t="shared" si="106"/>
        <v>199266.67</v>
      </c>
      <c r="S566" s="27">
        <f t="shared" si="106"/>
        <v>199266.67</v>
      </c>
      <c r="T566" s="27">
        <f t="shared" si="106"/>
        <v>199266.67</v>
      </c>
      <c r="U566" s="41">
        <f t="shared" si="106"/>
        <v>199266.67</v>
      </c>
      <c r="V566" s="27">
        <f t="shared" si="106"/>
        <v>2391021.92</v>
      </c>
    </row>
    <row r="567" ht="12.75">
      <c r="C567" s="12"/>
    </row>
    <row r="568" spans="1:3" ht="21">
      <c r="A568" s="16"/>
      <c r="B568" s="43" t="s">
        <v>105</v>
      </c>
      <c r="C568" s="30" t="s">
        <v>186</v>
      </c>
    </row>
    <row r="569" spans="1:22" ht="12.75">
      <c r="A569" s="20"/>
      <c r="B569" s="20"/>
      <c r="C569" s="4" t="str">
        <f>C563</f>
        <v>Debt Reserve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/>
      <c r="Q569" s="26"/>
      <c r="R569" s="26"/>
      <c r="S569" s="26"/>
      <c r="T569" s="26"/>
      <c r="U569" s="40"/>
      <c r="V569" s="26">
        <f>SUM(J569:U569)</f>
        <v>0</v>
      </c>
    </row>
    <row r="570" spans="3:22" ht="12.75">
      <c r="C570" s="4" t="str">
        <f>C564</f>
        <v>Treasury Fee</v>
      </c>
      <c r="J570" s="52">
        <v>250</v>
      </c>
      <c r="V570" s="26">
        <f>SUM(J570:U570)</f>
        <v>250</v>
      </c>
    </row>
    <row r="571" spans="3:22" ht="13.5" thickBot="1">
      <c r="C571" s="4" t="str">
        <f>C565</f>
        <v>Intercept</v>
      </c>
      <c r="J571" s="26">
        <f aca="true" t="shared" si="107" ref="J571:O571">5000+22592.71</f>
        <v>27592.71</v>
      </c>
      <c r="K571" s="26">
        <f t="shared" si="107"/>
        <v>27592.71</v>
      </c>
      <c r="L571" s="26">
        <f t="shared" si="107"/>
        <v>27592.71</v>
      </c>
      <c r="M571" s="26">
        <f>5000+22592.7</f>
        <v>27592.7</v>
      </c>
      <c r="N571" s="26">
        <f t="shared" si="107"/>
        <v>27592.71</v>
      </c>
      <c r="O571" s="26">
        <f t="shared" si="107"/>
        <v>27592.71</v>
      </c>
      <c r="P571" s="26"/>
      <c r="Q571" s="26"/>
      <c r="R571" s="26"/>
      <c r="S571" s="26"/>
      <c r="T571" s="26"/>
      <c r="U571" s="40"/>
      <c r="V571" s="26">
        <f>SUM(J571:U571)</f>
        <v>165556.25</v>
      </c>
    </row>
    <row r="572" spans="3:22" ht="13.5" thickBot="1">
      <c r="C572" s="6" t="s">
        <v>187</v>
      </c>
      <c r="J572" s="27">
        <f aca="true" t="shared" si="108" ref="J572:V572">SUM(J569:J571)</f>
        <v>27842.71</v>
      </c>
      <c r="K572" s="27">
        <f t="shared" si="108"/>
        <v>27592.71</v>
      </c>
      <c r="L572" s="27">
        <f t="shared" si="108"/>
        <v>27592.71</v>
      </c>
      <c r="M572" s="27">
        <f t="shared" si="108"/>
        <v>27592.7</v>
      </c>
      <c r="N572" s="27">
        <f t="shared" si="108"/>
        <v>27592.71</v>
      </c>
      <c r="O572" s="27">
        <f t="shared" si="108"/>
        <v>27592.71</v>
      </c>
      <c r="P572" s="27">
        <f t="shared" si="108"/>
        <v>0</v>
      </c>
      <c r="Q572" s="27">
        <f t="shared" si="108"/>
        <v>0</v>
      </c>
      <c r="R572" s="27">
        <f t="shared" si="108"/>
        <v>0</v>
      </c>
      <c r="S572" s="27">
        <f t="shared" si="108"/>
        <v>0</v>
      </c>
      <c r="T572" s="27">
        <f t="shared" si="108"/>
        <v>0</v>
      </c>
      <c r="U572" s="41">
        <f t="shared" si="108"/>
        <v>0</v>
      </c>
      <c r="V572" s="27">
        <f t="shared" si="108"/>
        <v>165806.25</v>
      </c>
    </row>
    <row r="573" ht="12.75">
      <c r="C573" s="12"/>
    </row>
    <row r="574" spans="1:3" ht="21">
      <c r="A574" s="16">
        <f>+A562+1</f>
        <v>48</v>
      </c>
      <c r="B574" s="21"/>
      <c r="C574" s="5" t="s">
        <v>188</v>
      </c>
    </row>
    <row r="575" spans="1:22" ht="12.75">
      <c r="A575" s="20"/>
      <c r="B575" s="20"/>
      <c r="C575" s="4" t="str">
        <f>C569</f>
        <v>Debt Reserve</v>
      </c>
      <c r="J575" s="26">
        <v>1244.58</v>
      </c>
      <c r="K575" s="26">
        <v>1244.58</v>
      </c>
      <c r="L575" s="26">
        <v>1244.58</v>
      </c>
      <c r="M575" s="26">
        <v>1244.58</v>
      </c>
      <c r="N575" s="26">
        <v>1244.58</v>
      </c>
      <c r="O575" s="26">
        <v>1244.58</v>
      </c>
      <c r="P575" s="26">
        <v>1244.58</v>
      </c>
      <c r="Q575" s="26">
        <v>1221.25</v>
      </c>
      <c r="R575" s="26">
        <v>1221.25</v>
      </c>
      <c r="S575" s="26">
        <v>1221.25</v>
      </c>
      <c r="T575" s="26">
        <v>1221.25</v>
      </c>
      <c r="U575" s="40">
        <v>1221.25</v>
      </c>
      <c r="V575" s="26">
        <f>SUM(J575:U575)</f>
        <v>14818.31</v>
      </c>
    </row>
    <row r="576" spans="3:22" ht="12.75">
      <c r="C576" s="4" t="str">
        <f>C570</f>
        <v>Treasury Fee</v>
      </c>
      <c r="J576" s="52">
        <v>250</v>
      </c>
      <c r="V576" s="26">
        <f>SUM(J576:U576)</f>
        <v>250</v>
      </c>
    </row>
    <row r="577" spans="3:22" ht="13.5" thickBot="1">
      <c r="C577" s="4" t="str">
        <f>C571</f>
        <v>Intercept</v>
      </c>
      <c r="J577" s="26">
        <f>25416.67+64494.27</f>
        <v>89910.94</v>
      </c>
      <c r="K577" s="26">
        <f>25416.67+64494.27</f>
        <v>89910.94</v>
      </c>
      <c r="L577" s="26">
        <f>25416.67+64494.27</f>
        <v>89910.94</v>
      </c>
      <c r="M577" s="26">
        <f>25416.67+64494.27</f>
        <v>89910.94</v>
      </c>
      <c r="N577" s="26">
        <f>25416.67+64494.27</f>
        <v>89910.94</v>
      </c>
      <c r="O577" s="26">
        <f>25416.63+64494.28</f>
        <v>89910.91</v>
      </c>
      <c r="P577" s="26">
        <f>26250+63677.09</f>
        <v>89927.09</v>
      </c>
      <c r="Q577" s="26">
        <f>26250+63677.09</f>
        <v>89927.09</v>
      </c>
      <c r="R577" s="26">
        <f>26250+63677.09</f>
        <v>89927.09</v>
      </c>
      <c r="S577" s="26">
        <f>26250+63677.09</f>
        <v>89927.09</v>
      </c>
      <c r="T577" s="26">
        <f>26250+63677.09</f>
        <v>89927.09</v>
      </c>
      <c r="U577" s="40">
        <f>26250+63677.06</f>
        <v>89927.06</v>
      </c>
      <c r="V577" s="26">
        <f>SUM(J577:U577)</f>
        <v>1079028.1199999999</v>
      </c>
    </row>
    <row r="578" spans="3:22" ht="13.5" thickBot="1">
      <c r="C578" s="6" t="s">
        <v>189</v>
      </c>
      <c r="J578" s="27">
        <f aca="true" t="shared" si="109" ref="J578:V578">SUM(J575:J577)</f>
        <v>91405.52</v>
      </c>
      <c r="K578" s="27">
        <f t="shared" si="109"/>
        <v>91155.52</v>
      </c>
      <c r="L578" s="27">
        <f t="shared" si="109"/>
        <v>91155.52</v>
      </c>
      <c r="M578" s="27">
        <f t="shared" si="109"/>
        <v>91155.52</v>
      </c>
      <c r="N578" s="27">
        <f t="shared" si="109"/>
        <v>91155.52</v>
      </c>
      <c r="O578" s="27">
        <f t="shared" si="109"/>
        <v>91155.49</v>
      </c>
      <c r="P578" s="27">
        <f t="shared" si="109"/>
        <v>91171.67</v>
      </c>
      <c r="Q578" s="27">
        <f t="shared" si="109"/>
        <v>91148.34</v>
      </c>
      <c r="R578" s="27">
        <f t="shared" si="109"/>
        <v>91148.34</v>
      </c>
      <c r="S578" s="27">
        <f t="shared" si="109"/>
        <v>91148.34</v>
      </c>
      <c r="T578" s="27">
        <f t="shared" si="109"/>
        <v>91148.34</v>
      </c>
      <c r="U578" s="41">
        <f t="shared" si="109"/>
        <v>91148.31</v>
      </c>
      <c r="V578" s="27">
        <f t="shared" si="109"/>
        <v>1094096.43</v>
      </c>
    </row>
    <row r="579" ht="12.75">
      <c r="C579" s="12"/>
    </row>
    <row r="580" spans="1:3" ht="21">
      <c r="A580" s="16">
        <f>+A574+1</f>
        <v>49</v>
      </c>
      <c r="B580" s="21"/>
      <c r="C580" s="5" t="s">
        <v>190</v>
      </c>
    </row>
    <row r="581" spans="1:22" ht="12.75">
      <c r="A581" s="20"/>
      <c r="B581" s="20"/>
      <c r="C581" s="4" t="str">
        <f>C575</f>
        <v>Debt Reserve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40">
        <v>0</v>
      </c>
      <c r="V581" s="26">
        <f>SUM(J581:U581)</f>
        <v>0</v>
      </c>
    </row>
    <row r="582" spans="3:22" ht="12.75">
      <c r="C582" s="4" t="str">
        <f>C576</f>
        <v>Treasury Fee</v>
      </c>
      <c r="J582" s="52">
        <v>250</v>
      </c>
      <c r="V582" s="26">
        <f>SUM(J582:U582)</f>
        <v>250</v>
      </c>
    </row>
    <row r="583" spans="3:22" ht="13.5" thickBot="1">
      <c r="C583" s="4" t="str">
        <f>C577</f>
        <v>Intercept</v>
      </c>
      <c r="J583" s="26">
        <f>17460.5+21864.01</f>
        <v>39324.509999999995</v>
      </c>
      <c r="K583" s="52">
        <f>17809.7+21514.82</f>
        <v>39324.520000000004</v>
      </c>
      <c r="L583" s="52">
        <f>17809.7+21514.82</f>
        <v>39324.520000000004</v>
      </c>
      <c r="M583" s="52">
        <f>17809.7+21514.82</f>
        <v>39324.520000000004</v>
      </c>
      <c r="N583" s="52">
        <f>17809.7+21514.82</f>
        <v>39324.520000000004</v>
      </c>
      <c r="O583" s="52">
        <f>17809.7+21514.82</f>
        <v>39324.520000000004</v>
      </c>
      <c r="P583" s="52">
        <f>17809.7+21514.84</f>
        <v>39324.54</v>
      </c>
      <c r="Q583" s="52">
        <f>18165.9+21158.63</f>
        <v>39324.53</v>
      </c>
      <c r="R583" s="52">
        <f>18165.9+21158.63</f>
        <v>39324.53</v>
      </c>
      <c r="S583" s="52">
        <f>18165.9+21158.63</f>
        <v>39324.53</v>
      </c>
      <c r="T583" s="52">
        <f>18165.9+21158.63</f>
        <v>39324.53</v>
      </c>
      <c r="U583" s="53">
        <f>18165.9+21158.63</f>
        <v>39324.53</v>
      </c>
      <c r="V583" s="26">
        <f>SUM(J583:U583)</f>
        <v>471894.30000000016</v>
      </c>
    </row>
    <row r="584" spans="3:22" ht="13.5" thickBot="1">
      <c r="C584" s="6" t="s">
        <v>191</v>
      </c>
      <c r="J584" s="27">
        <f aca="true" t="shared" si="110" ref="J584:V584">SUM(J581:J583)</f>
        <v>39574.509999999995</v>
      </c>
      <c r="K584" s="27">
        <f t="shared" si="110"/>
        <v>39324.520000000004</v>
      </c>
      <c r="L584" s="27">
        <f t="shared" si="110"/>
        <v>39324.520000000004</v>
      </c>
      <c r="M584" s="27">
        <f t="shared" si="110"/>
        <v>39324.520000000004</v>
      </c>
      <c r="N584" s="27">
        <f t="shared" si="110"/>
        <v>39324.520000000004</v>
      </c>
      <c r="O584" s="27">
        <f t="shared" si="110"/>
        <v>39324.520000000004</v>
      </c>
      <c r="P584" s="27">
        <f t="shared" si="110"/>
        <v>39324.54</v>
      </c>
      <c r="Q584" s="27">
        <f t="shared" si="110"/>
        <v>39324.53</v>
      </c>
      <c r="R584" s="27">
        <f t="shared" si="110"/>
        <v>39324.53</v>
      </c>
      <c r="S584" s="27">
        <f t="shared" si="110"/>
        <v>39324.53</v>
      </c>
      <c r="T584" s="27">
        <f t="shared" si="110"/>
        <v>39324.53</v>
      </c>
      <c r="U584" s="41">
        <f t="shared" si="110"/>
        <v>39324.53</v>
      </c>
      <c r="V584" s="27">
        <f t="shared" si="110"/>
        <v>472144.30000000016</v>
      </c>
    </row>
    <row r="585" ht="12.75">
      <c r="C585" s="12"/>
    </row>
    <row r="586" spans="1:3" ht="21">
      <c r="A586" s="16">
        <f>+A580+1</f>
        <v>50</v>
      </c>
      <c r="B586" s="21"/>
      <c r="C586" s="5" t="s">
        <v>192</v>
      </c>
    </row>
    <row r="587" spans="1:22" ht="12.75">
      <c r="A587" s="20"/>
      <c r="B587" s="20"/>
      <c r="C587" s="4" t="str">
        <f>C581</f>
        <v>Debt Reserve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40">
        <v>0</v>
      </c>
      <c r="V587" s="26">
        <f>SUM(J587:U587)</f>
        <v>0</v>
      </c>
    </row>
    <row r="588" spans="3:22" ht="12.75">
      <c r="C588" s="4" t="str">
        <f>C582</f>
        <v>Treasury Fee</v>
      </c>
      <c r="J588" s="52">
        <v>250</v>
      </c>
      <c r="V588" s="26">
        <f>SUM(J588:U588)</f>
        <v>250</v>
      </c>
    </row>
    <row r="589" spans="3:22" ht="13.5" thickBot="1">
      <c r="C589" s="4" t="str">
        <f>C583</f>
        <v>Intercept</v>
      </c>
      <c r="J589" s="26">
        <f>4166.67+17432.5</f>
        <v>21599.17</v>
      </c>
      <c r="K589" s="26">
        <f>4166.67+17432.5</f>
        <v>21599.17</v>
      </c>
      <c r="L589" s="26">
        <f>4166.67+17432.5</f>
        <v>21599.17</v>
      </c>
      <c r="M589" s="26">
        <f>4166.63+17432.5</f>
        <v>21599.13</v>
      </c>
      <c r="N589" s="52">
        <f>4166.67+17195</f>
        <v>21361.67</v>
      </c>
      <c r="O589" s="52">
        <f aca="true" t="shared" si="111" ref="O589:V589">4166.67+17195</f>
        <v>21361.67</v>
      </c>
      <c r="P589" s="52">
        <f t="shared" si="111"/>
        <v>21361.67</v>
      </c>
      <c r="Q589" s="52">
        <f t="shared" si="111"/>
        <v>21361.67</v>
      </c>
      <c r="R589" s="52">
        <f t="shared" si="111"/>
        <v>21361.67</v>
      </c>
      <c r="S589" s="52">
        <f t="shared" si="111"/>
        <v>21361.67</v>
      </c>
      <c r="T589" s="52">
        <f t="shared" si="111"/>
        <v>21361.67</v>
      </c>
      <c r="U589" s="53">
        <f t="shared" si="111"/>
        <v>21361.67</v>
      </c>
      <c r="V589" s="26">
        <f>SUM(J589:U589)</f>
        <v>257289.99999999994</v>
      </c>
    </row>
    <row r="590" spans="3:22" ht="13.5" thickBot="1">
      <c r="C590" s="6" t="s">
        <v>193</v>
      </c>
      <c r="J590" s="27">
        <f aca="true" t="shared" si="112" ref="J590:V590">SUM(J587:J589)</f>
        <v>21849.17</v>
      </c>
      <c r="K590" s="27">
        <f t="shared" si="112"/>
        <v>21599.17</v>
      </c>
      <c r="L590" s="27">
        <f t="shared" si="112"/>
        <v>21599.17</v>
      </c>
      <c r="M590" s="27">
        <f t="shared" si="112"/>
        <v>21599.13</v>
      </c>
      <c r="N590" s="27">
        <f t="shared" si="112"/>
        <v>21361.67</v>
      </c>
      <c r="O590" s="27">
        <f t="shared" si="112"/>
        <v>21361.67</v>
      </c>
      <c r="P590" s="27">
        <f t="shared" si="112"/>
        <v>21361.67</v>
      </c>
      <c r="Q590" s="27">
        <f t="shared" si="112"/>
        <v>21361.67</v>
      </c>
      <c r="R590" s="27">
        <f t="shared" si="112"/>
        <v>21361.67</v>
      </c>
      <c r="S590" s="27">
        <f t="shared" si="112"/>
        <v>21361.67</v>
      </c>
      <c r="T590" s="27">
        <f t="shared" si="112"/>
        <v>21361.67</v>
      </c>
      <c r="U590" s="41">
        <f t="shared" si="112"/>
        <v>21361.67</v>
      </c>
      <c r="V590" s="27">
        <f t="shared" si="112"/>
        <v>257539.99999999994</v>
      </c>
    </row>
    <row r="591" ht="12.75">
      <c r="C591" s="12"/>
    </row>
    <row r="592" spans="1:3" ht="21">
      <c r="A592" s="16">
        <f>+A586+1</f>
        <v>51</v>
      </c>
      <c r="B592" s="21"/>
      <c r="C592" s="5" t="s">
        <v>194</v>
      </c>
    </row>
    <row r="593" spans="1:22" ht="12.75">
      <c r="A593" s="20"/>
      <c r="B593" s="20"/>
      <c r="C593" s="4" t="str">
        <f>C587</f>
        <v>Debt Reserve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40">
        <v>0</v>
      </c>
      <c r="V593" s="26">
        <f>SUM(J593:U593)</f>
        <v>0</v>
      </c>
    </row>
    <row r="594" spans="3:22" ht="12.75">
      <c r="C594" s="4" t="str">
        <f>C588</f>
        <v>Treasury Fee</v>
      </c>
      <c r="J594" s="52">
        <v>250</v>
      </c>
      <c r="V594" s="26">
        <f>SUM(J594:U594)</f>
        <v>250</v>
      </c>
    </row>
    <row r="595" spans="3:22" ht="13.5" thickBot="1">
      <c r="C595" s="4" t="str">
        <f>C589</f>
        <v>Intercept</v>
      </c>
      <c r="J595" s="26">
        <v>126257.29</v>
      </c>
      <c r="K595" s="26">
        <v>126257.29</v>
      </c>
      <c r="L595" s="26">
        <v>126257.29</v>
      </c>
      <c r="M595" s="26">
        <v>126257.29</v>
      </c>
      <c r="N595" s="26">
        <v>126257.29</v>
      </c>
      <c r="O595" s="26">
        <v>126257.29</v>
      </c>
      <c r="P595" s="26">
        <v>126257.29</v>
      </c>
      <c r="Q595" s="26">
        <v>126257.29</v>
      </c>
      <c r="R595" s="26">
        <v>126257.29</v>
      </c>
      <c r="S595" s="26">
        <v>126257.29</v>
      </c>
      <c r="T595" s="52">
        <f>31250+126257.29</f>
        <v>157507.28999999998</v>
      </c>
      <c r="U595" s="53">
        <f>31250+126257.29</f>
        <v>157507.28999999998</v>
      </c>
      <c r="V595" s="26">
        <f>SUM(J595:U595)</f>
        <v>1577587.4800000002</v>
      </c>
    </row>
    <row r="596" spans="3:22" ht="13.5" thickBot="1">
      <c r="C596" s="6" t="s">
        <v>161</v>
      </c>
      <c r="J596" s="27">
        <f aca="true" t="shared" si="113" ref="J596:V596">SUM(J593:J595)</f>
        <v>126507.29</v>
      </c>
      <c r="K596" s="27">
        <f t="shared" si="113"/>
        <v>126257.29</v>
      </c>
      <c r="L596" s="27">
        <f t="shared" si="113"/>
        <v>126257.29</v>
      </c>
      <c r="M596" s="27">
        <f t="shared" si="113"/>
        <v>126257.29</v>
      </c>
      <c r="N596" s="27">
        <f t="shared" si="113"/>
        <v>126257.29</v>
      </c>
      <c r="O596" s="27">
        <f t="shared" si="113"/>
        <v>126257.29</v>
      </c>
      <c r="P596" s="27">
        <f t="shared" si="113"/>
        <v>126257.29</v>
      </c>
      <c r="Q596" s="27">
        <f t="shared" si="113"/>
        <v>126257.29</v>
      </c>
      <c r="R596" s="27">
        <f t="shared" si="113"/>
        <v>126257.29</v>
      </c>
      <c r="S596" s="27">
        <f t="shared" si="113"/>
        <v>126257.29</v>
      </c>
      <c r="T596" s="27">
        <f t="shared" si="113"/>
        <v>157507.28999999998</v>
      </c>
      <c r="U596" s="41">
        <f t="shared" si="113"/>
        <v>157507.28999999998</v>
      </c>
      <c r="V596" s="27">
        <f t="shared" si="113"/>
        <v>1577837.4800000002</v>
      </c>
    </row>
    <row r="597" ht="12.75">
      <c r="C597" s="12"/>
    </row>
    <row r="598" spans="1:3" ht="21">
      <c r="A598" s="16">
        <f>+A592+1</f>
        <v>52</v>
      </c>
      <c r="B598" s="21"/>
      <c r="C598" s="5" t="s">
        <v>195</v>
      </c>
    </row>
    <row r="599" spans="1:22" ht="12.75">
      <c r="A599" s="20"/>
      <c r="B599" s="20"/>
      <c r="C599" s="4" t="str">
        <f>C593</f>
        <v>Debt Reserve</v>
      </c>
      <c r="J599" s="26">
        <v>358.33</v>
      </c>
      <c r="K599" s="26">
        <v>358.33</v>
      </c>
      <c r="L599" s="26">
        <v>358.33</v>
      </c>
      <c r="M599" s="26">
        <v>1445</v>
      </c>
      <c r="N599" s="26">
        <v>1445</v>
      </c>
      <c r="O599" s="26">
        <v>1445</v>
      </c>
      <c r="P599" s="26">
        <v>1445</v>
      </c>
      <c r="Q599" s="26">
        <v>1445</v>
      </c>
      <c r="R599" s="26">
        <v>1445</v>
      </c>
      <c r="S599" s="26">
        <v>1445</v>
      </c>
      <c r="T599" s="26">
        <v>1445</v>
      </c>
      <c r="U599" s="40">
        <v>1445</v>
      </c>
      <c r="V599" s="26">
        <f>SUM(J599:U599)</f>
        <v>14079.99</v>
      </c>
    </row>
    <row r="600" spans="3:22" ht="12.75">
      <c r="C600" s="4" t="str">
        <f>C594</f>
        <v>Treasury Fee</v>
      </c>
      <c r="J600" s="52">
        <v>250</v>
      </c>
      <c r="V600" s="26">
        <f>SUM(J600:U600)</f>
        <v>250</v>
      </c>
    </row>
    <row r="601" spans="3:22" ht="13.5" thickBot="1">
      <c r="C601" s="4" t="str">
        <f>C595</f>
        <v>Intercept</v>
      </c>
      <c r="J601" s="26">
        <f>39166.67+67554.17</f>
        <v>106720.84</v>
      </c>
      <c r="K601" s="26">
        <f>51666.67+66770.83</f>
        <v>118437.5</v>
      </c>
      <c r="L601" s="26">
        <f>51666.67+66770.83</f>
        <v>118437.5</v>
      </c>
      <c r="M601" s="26">
        <f>51666.67+66479.17</f>
        <v>118145.84</v>
      </c>
      <c r="N601" s="26">
        <f aca="true" t="shared" si="114" ref="N601:V601">51666.67+66479.17</f>
        <v>118145.84</v>
      </c>
      <c r="O601" s="26">
        <f t="shared" si="114"/>
        <v>118145.84</v>
      </c>
      <c r="P601" s="26">
        <f t="shared" si="114"/>
        <v>118145.84</v>
      </c>
      <c r="Q601" s="26">
        <f t="shared" si="114"/>
        <v>118145.84</v>
      </c>
      <c r="R601" s="26">
        <f t="shared" si="114"/>
        <v>118145.84</v>
      </c>
      <c r="S601" s="26">
        <f t="shared" si="114"/>
        <v>118145.84</v>
      </c>
      <c r="T601" s="26">
        <f t="shared" si="114"/>
        <v>118145.84</v>
      </c>
      <c r="U601" s="40">
        <f t="shared" si="114"/>
        <v>118145.84</v>
      </c>
      <c r="V601" s="26">
        <f>SUM(J601:U601)</f>
        <v>1406908.4000000001</v>
      </c>
    </row>
    <row r="602" spans="3:22" ht="13.5" thickBot="1">
      <c r="C602" s="6" t="s">
        <v>22</v>
      </c>
      <c r="J602" s="27">
        <f aca="true" t="shared" si="115" ref="J602:V602">SUM(J599:J601)</f>
        <v>107329.17</v>
      </c>
      <c r="K602" s="27">
        <f t="shared" si="115"/>
        <v>118795.83</v>
      </c>
      <c r="L602" s="27">
        <f t="shared" si="115"/>
        <v>118795.83</v>
      </c>
      <c r="M602" s="27">
        <f t="shared" si="115"/>
        <v>119590.84</v>
      </c>
      <c r="N602" s="27">
        <f t="shared" si="115"/>
        <v>119590.84</v>
      </c>
      <c r="O602" s="27">
        <f t="shared" si="115"/>
        <v>119590.84</v>
      </c>
      <c r="P602" s="27">
        <f t="shared" si="115"/>
        <v>119590.84</v>
      </c>
      <c r="Q602" s="27">
        <f t="shared" si="115"/>
        <v>119590.84</v>
      </c>
      <c r="R602" s="27">
        <f t="shared" si="115"/>
        <v>119590.84</v>
      </c>
      <c r="S602" s="27">
        <f t="shared" si="115"/>
        <v>119590.84</v>
      </c>
      <c r="T602" s="27">
        <f t="shared" si="115"/>
        <v>119590.84</v>
      </c>
      <c r="U602" s="41">
        <f t="shared" si="115"/>
        <v>119590.84</v>
      </c>
      <c r="V602" s="27">
        <f t="shared" si="115"/>
        <v>1421238.3900000001</v>
      </c>
    </row>
    <row r="603" ht="12.75">
      <c r="C603" s="12"/>
    </row>
    <row r="604" spans="1:3" ht="21">
      <c r="A604" s="16">
        <f>+A598+1</f>
        <v>53</v>
      </c>
      <c r="B604" s="21"/>
      <c r="C604" s="5" t="s">
        <v>200</v>
      </c>
    </row>
    <row r="605" spans="1:22" ht="12.75">
      <c r="A605" s="20"/>
      <c r="B605" s="20"/>
      <c r="C605" s="4" t="str">
        <f>C599</f>
        <v>Debt Reserve</v>
      </c>
      <c r="J605" s="26">
        <v>1832.5</v>
      </c>
      <c r="K605" s="26">
        <v>1832.5</v>
      </c>
      <c r="L605" s="26">
        <v>1832.5</v>
      </c>
      <c r="M605" s="26">
        <v>1832.5</v>
      </c>
      <c r="N605" s="26">
        <v>1799.58</v>
      </c>
      <c r="O605" s="26">
        <v>1799.58</v>
      </c>
      <c r="P605" s="26">
        <v>1799.58</v>
      </c>
      <c r="Q605" s="26">
        <v>1799.58</v>
      </c>
      <c r="R605" s="26">
        <v>1799.58</v>
      </c>
      <c r="S605" s="26">
        <v>1799.58</v>
      </c>
      <c r="T605" s="26">
        <v>1799.58</v>
      </c>
      <c r="U605" s="40">
        <v>1799.58</v>
      </c>
      <c r="V605" s="26">
        <f>SUM(J605:U605)</f>
        <v>21726.64</v>
      </c>
    </row>
    <row r="606" spans="3:22" ht="12.75">
      <c r="C606" s="4" t="str">
        <f>C600</f>
        <v>Treasury Fee</v>
      </c>
      <c r="J606" s="52">
        <v>250</v>
      </c>
      <c r="V606" s="26">
        <f>SUM(J606:U606)</f>
        <v>250</v>
      </c>
    </row>
    <row r="607" spans="3:22" ht="13.5" thickBot="1">
      <c r="C607" s="4" t="str">
        <f>C601</f>
        <v>Intercept</v>
      </c>
      <c r="J607" s="26">
        <f>32916.67+75436.46</f>
        <v>108353.13</v>
      </c>
      <c r="K607" s="26">
        <f>32916.67+75436.46</f>
        <v>108353.13</v>
      </c>
      <c r="L607" s="26">
        <f>32916.67+75436.46</f>
        <v>108353.13</v>
      </c>
      <c r="M607" s="26">
        <f>32916.63+75436.45</f>
        <v>108353.07999999999</v>
      </c>
      <c r="N607" s="52">
        <f>34166.67+74778.13</f>
        <v>108944.8</v>
      </c>
      <c r="O607" s="52">
        <f aca="true" t="shared" si="116" ref="O607:V607">34166.67+74778.13</f>
        <v>108944.8</v>
      </c>
      <c r="P607" s="52">
        <f t="shared" si="116"/>
        <v>108944.8</v>
      </c>
      <c r="Q607" s="52">
        <f t="shared" si="116"/>
        <v>108944.8</v>
      </c>
      <c r="R607" s="52">
        <f t="shared" si="116"/>
        <v>108944.8</v>
      </c>
      <c r="S607" s="52">
        <f>34166.67+74778.1</f>
        <v>108944.77</v>
      </c>
      <c r="T607" s="52">
        <f t="shared" si="116"/>
        <v>108944.8</v>
      </c>
      <c r="U607" s="53">
        <f t="shared" si="116"/>
        <v>108944.8</v>
      </c>
      <c r="V607" s="26">
        <f>SUM(J607:U607)</f>
        <v>1304970.8400000003</v>
      </c>
    </row>
    <row r="608" spans="3:22" ht="13.5" thickBot="1">
      <c r="C608" s="6" t="s">
        <v>120</v>
      </c>
      <c r="J608" s="27">
        <f aca="true" t="shared" si="117" ref="J608:V608">SUM(J605:J607)</f>
        <v>110435.63</v>
      </c>
      <c r="K608" s="27">
        <f t="shared" si="117"/>
        <v>110185.63</v>
      </c>
      <c r="L608" s="27">
        <f t="shared" si="117"/>
        <v>110185.63</v>
      </c>
      <c r="M608" s="27">
        <f t="shared" si="117"/>
        <v>110185.57999999999</v>
      </c>
      <c r="N608" s="27">
        <f t="shared" si="117"/>
        <v>110744.38</v>
      </c>
      <c r="O608" s="27">
        <f t="shared" si="117"/>
        <v>110744.38</v>
      </c>
      <c r="P608" s="27">
        <f t="shared" si="117"/>
        <v>110744.38</v>
      </c>
      <c r="Q608" s="27">
        <f t="shared" si="117"/>
        <v>110744.38</v>
      </c>
      <c r="R608" s="27">
        <f t="shared" si="117"/>
        <v>110744.38</v>
      </c>
      <c r="S608" s="27">
        <f t="shared" si="117"/>
        <v>110744.35</v>
      </c>
      <c r="T608" s="27">
        <f t="shared" si="117"/>
        <v>110744.38</v>
      </c>
      <c r="U608" s="41">
        <f t="shared" si="117"/>
        <v>110744.38</v>
      </c>
      <c r="V608" s="27">
        <f t="shared" si="117"/>
        <v>1326947.4800000002</v>
      </c>
    </row>
    <row r="609" ht="12.75">
      <c r="C609" s="12"/>
    </row>
    <row r="610" spans="1:3" ht="15.75">
      <c r="A610" s="16">
        <f>+A604+1</f>
        <v>54</v>
      </c>
      <c r="C610" s="5" t="s">
        <v>207</v>
      </c>
    </row>
    <row r="611" spans="3:22" ht="12.75">
      <c r="C611" s="4" t="s">
        <v>3</v>
      </c>
      <c r="J611" s="26">
        <v>3042.92</v>
      </c>
      <c r="K611" s="26">
        <v>3042.92</v>
      </c>
      <c r="L611" s="26">
        <v>3042.92</v>
      </c>
      <c r="M611" s="26">
        <v>3042.92</v>
      </c>
      <c r="N611" s="26">
        <v>3042.92</v>
      </c>
      <c r="O611" s="26">
        <v>3042.92</v>
      </c>
      <c r="P611" s="26">
        <v>2968.75</v>
      </c>
      <c r="Q611" s="26">
        <v>2968.75</v>
      </c>
      <c r="R611" s="26">
        <v>2968.75</v>
      </c>
      <c r="S611" s="26">
        <v>2968.75</v>
      </c>
      <c r="T611" s="26">
        <v>2968.75</v>
      </c>
      <c r="U611" s="40">
        <v>2968.75</v>
      </c>
      <c r="V611" s="26">
        <f>SUM(J611:U611)</f>
        <v>36070.020000000004</v>
      </c>
    </row>
    <row r="612" spans="3:22" ht="12.75">
      <c r="C612" s="4" t="s">
        <v>4</v>
      </c>
      <c r="J612" s="52">
        <v>250</v>
      </c>
      <c r="V612" s="26">
        <f>SUM(J612:U612)</f>
        <v>250</v>
      </c>
    </row>
    <row r="613" spans="3:22" ht="13.5" thickBot="1">
      <c r="C613" s="4" t="s">
        <v>5</v>
      </c>
      <c r="J613" s="26">
        <f>74166.67+125831.25</f>
        <v>199997.91999999998</v>
      </c>
      <c r="K613" s="26">
        <f>74166.67+125831.25</f>
        <v>199997.91999999998</v>
      </c>
      <c r="L613" s="26">
        <f>74166.67+125831.25</f>
        <v>199997.91999999998</v>
      </c>
      <c r="M613" s="26">
        <f>74166.67+125831.25</f>
        <v>199997.91999999998</v>
      </c>
      <c r="N613" s="26">
        <f>74166.63+125831.25</f>
        <v>199997.88</v>
      </c>
      <c r="O613" s="26">
        <f>75833.33+124347.92</f>
        <v>200181.25</v>
      </c>
      <c r="P613" s="26">
        <f aca="true" t="shared" si="118" ref="P613:V613">75833.33+124347.92</f>
        <v>200181.25</v>
      </c>
      <c r="Q613" s="26">
        <f t="shared" si="118"/>
        <v>200181.25</v>
      </c>
      <c r="R613" s="26">
        <f t="shared" si="118"/>
        <v>200181.25</v>
      </c>
      <c r="S613" s="26">
        <f t="shared" si="118"/>
        <v>200181.25</v>
      </c>
      <c r="T613" s="26">
        <f>75833.33+124347.9</f>
        <v>200181.22999999998</v>
      </c>
      <c r="U613" s="40">
        <f t="shared" si="118"/>
        <v>200181.25</v>
      </c>
      <c r="V613" s="26">
        <f>SUM(J613:U613)</f>
        <v>2401258.29</v>
      </c>
    </row>
    <row r="614" spans="3:22" ht="13.5" thickBot="1">
      <c r="C614" s="6" t="s">
        <v>208</v>
      </c>
      <c r="J614" s="27">
        <f aca="true" t="shared" si="119" ref="J614:V614">SUM(J611:J613)</f>
        <v>203290.84</v>
      </c>
      <c r="K614" s="27">
        <f t="shared" si="119"/>
        <v>203040.84</v>
      </c>
      <c r="L614" s="27">
        <f t="shared" si="119"/>
        <v>203040.84</v>
      </c>
      <c r="M614" s="27">
        <f t="shared" si="119"/>
        <v>203040.84</v>
      </c>
      <c r="N614" s="27">
        <f t="shared" si="119"/>
        <v>203040.80000000002</v>
      </c>
      <c r="O614" s="27">
        <f t="shared" si="119"/>
        <v>203224.17</v>
      </c>
      <c r="P614" s="27">
        <f t="shared" si="119"/>
        <v>203150</v>
      </c>
      <c r="Q614" s="27">
        <f t="shared" si="119"/>
        <v>203150</v>
      </c>
      <c r="R614" s="27">
        <f t="shared" si="119"/>
        <v>203150</v>
      </c>
      <c r="S614" s="27">
        <f t="shared" si="119"/>
        <v>203150</v>
      </c>
      <c r="T614" s="27">
        <f t="shared" si="119"/>
        <v>203149.97999999998</v>
      </c>
      <c r="U614" s="41">
        <f t="shared" si="119"/>
        <v>203150</v>
      </c>
      <c r="V614" s="27">
        <f t="shared" si="119"/>
        <v>2437578.31</v>
      </c>
    </row>
    <row r="615" ht="12.75">
      <c r="C615" s="12"/>
    </row>
    <row r="616" spans="1:3" ht="15.75">
      <c r="A616" s="16">
        <f>+A610+1</f>
        <v>55</v>
      </c>
      <c r="C616" s="5" t="s">
        <v>201</v>
      </c>
    </row>
    <row r="617" spans="3:22" ht="12.75">
      <c r="C617" s="4" t="s">
        <v>3</v>
      </c>
      <c r="J617" s="26">
        <v>478.34</v>
      </c>
      <c r="K617" s="26">
        <v>478.34</v>
      </c>
      <c r="L617" s="26">
        <v>478.34</v>
      </c>
      <c r="M617" s="26">
        <v>478.34</v>
      </c>
      <c r="N617" s="26">
        <v>478.33</v>
      </c>
      <c r="O617" s="26">
        <v>478.33</v>
      </c>
      <c r="P617" s="26">
        <v>478.33</v>
      </c>
      <c r="Q617" s="26">
        <v>478.33</v>
      </c>
      <c r="R617" s="26">
        <v>478.33</v>
      </c>
      <c r="S617" s="26">
        <v>478.33</v>
      </c>
      <c r="T617" s="26">
        <v>478.33</v>
      </c>
      <c r="U617" s="40">
        <v>478.33</v>
      </c>
      <c r="V617" s="26">
        <f>SUM(J617:U617)</f>
        <v>5740</v>
      </c>
    </row>
    <row r="618" spans="3:22" ht="12.75">
      <c r="C618" s="4" t="s">
        <v>4</v>
      </c>
      <c r="J618" s="52">
        <v>250</v>
      </c>
      <c r="V618" s="26">
        <f>SUM(J618:U618)</f>
        <v>250</v>
      </c>
    </row>
    <row r="619" spans="3:22" ht="13.5" thickBot="1">
      <c r="C619" s="4" t="s">
        <v>5</v>
      </c>
      <c r="J619" s="26">
        <v>0</v>
      </c>
      <c r="K619" s="52">
        <f>9166.67+19097.92</f>
        <v>28264.589999999997</v>
      </c>
      <c r="L619" s="52">
        <f aca="true" t="shared" si="120" ref="L619:V619">9166.67+19097.92</f>
        <v>28264.589999999997</v>
      </c>
      <c r="M619" s="52">
        <f t="shared" si="120"/>
        <v>28264.589999999997</v>
      </c>
      <c r="N619" s="52">
        <f t="shared" si="120"/>
        <v>28264.589999999997</v>
      </c>
      <c r="O619" s="52">
        <f t="shared" si="120"/>
        <v>28264.589999999997</v>
      </c>
      <c r="P619" s="52">
        <f t="shared" si="120"/>
        <v>28264.589999999997</v>
      </c>
      <c r="Q619" s="52">
        <f t="shared" si="120"/>
        <v>28264.589999999997</v>
      </c>
      <c r="R619" s="52">
        <f t="shared" si="120"/>
        <v>28264.589999999997</v>
      </c>
      <c r="S619" s="52">
        <f t="shared" si="120"/>
        <v>28264.589999999997</v>
      </c>
      <c r="T619" s="52">
        <f t="shared" si="120"/>
        <v>28264.589999999997</v>
      </c>
      <c r="U619" s="53">
        <f t="shared" si="120"/>
        <v>28264.589999999997</v>
      </c>
      <c r="V619" s="26">
        <f>SUM(J619:U619)</f>
        <v>310910.49</v>
      </c>
    </row>
    <row r="620" spans="3:22" ht="13.5" thickBot="1">
      <c r="C620" s="6" t="s">
        <v>202</v>
      </c>
      <c r="J620" s="27">
        <f aca="true" t="shared" si="121" ref="J620:V620">SUM(J617:J619)</f>
        <v>728.3399999999999</v>
      </c>
      <c r="K620" s="27">
        <f t="shared" si="121"/>
        <v>28742.929999999997</v>
      </c>
      <c r="L620" s="27">
        <f t="shared" si="121"/>
        <v>28742.929999999997</v>
      </c>
      <c r="M620" s="27">
        <f t="shared" si="121"/>
        <v>28742.929999999997</v>
      </c>
      <c r="N620" s="27">
        <f t="shared" si="121"/>
        <v>28742.92</v>
      </c>
      <c r="O620" s="27">
        <f t="shared" si="121"/>
        <v>28742.92</v>
      </c>
      <c r="P620" s="27">
        <f t="shared" si="121"/>
        <v>28742.92</v>
      </c>
      <c r="Q620" s="27">
        <f t="shared" si="121"/>
        <v>28742.92</v>
      </c>
      <c r="R620" s="27">
        <f t="shared" si="121"/>
        <v>28742.92</v>
      </c>
      <c r="S620" s="27">
        <f t="shared" si="121"/>
        <v>28742.92</v>
      </c>
      <c r="T620" s="27">
        <f t="shared" si="121"/>
        <v>28742.92</v>
      </c>
      <c r="U620" s="41">
        <f t="shared" si="121"/>
        <v>28742.92</v>
      </c>
      <c r="V620" s="27">
        <f t="shared" si="121"/>
        <v>316900.49</v>
      </c>
    </row>
    <row r="621" ht="12.75">
      <c r="C621" s="12"/>
    </row>
    <row r="622" spans="1:3" ht="15.75">
      <c r="A622" s="16">
        <f>+A616+1</f>
        <v>56</v>
      </c>
      <c r="C622" s="5" t="s">
        <v>203</v>
      </c>
    </row>
    <row r="623" spans="3:22" ht="12.75">
      <c r="C623" s="4" t="s">
        <v>3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40">
        <v>0</v>
      </c>
      <c r="V623" s="26">
        <f>SUM(J623:U623)</f>
        <v>0</v>
      </c>
    </row>
    <row r="624" spans="3:22" ht="12.75">
      <c r="C624" s="4" t="s">
        <v>4</v>
      </c>
      <c r="J624" s="52">
        <v>250</v>
      </c>
      <c r="V624" s="26">
        <f>SUM(J624:U624)</f>
        <v>250</v>
      </c>
    </row>
    <row r="625" spans="3:22" ht="13.5" thickBot="1">
      <c r="C625" s="4" t="s">
        <v>5</v>
      </c>
      <c r="J625" s="26">
        <f>27727.27+63826.73</f>
        <v>91554</v>
      </c>
      <c r="K625" s="26">
        <f>27727.27+63826.73</f>
        <v>91554</v>
      </c>
      <c r="L625" s="26">
        <f>27727.27+63826.73</f>
        <v>91554</v>
      </c>
      <c r="M625" s="26">
        <f>27727.3+63826.7</f>
        <v>91554</v>
      </c>
      <c r="N625" s="52">
        <f>36250+62873.86</f>
        <v>99123.86</v>
      </c>
      <c r="O625" s="52">
        <f aca="true" t="shared" si="122" ref="O625:V625">36250+62873.86</f>
        <v>99123.86</v>
      </c>
      <c r="P625" s="52">
        <f t="shared" si="122"/>
        <v>99123.86</v>
      </c>
      <c r="Q625" s="52">
        <f t="shared" si="122"/>
        <v>99123.86</v>
      </c>
      <c r="R625" s="52">
        <f t="shared" si="122"/>
        <v>99123.86</v>
      </c>
      <c r="S625" s="52">
        <f>36250+62873.83</f>
        <v>99123.83</v>
      </c>
      <c r="T625" s="52">
        <f t="shared" si="122"/>
        <v>99123.86</v>
      </c>
      <c r="U625" s="53">
        <f t="shared" si="122"/>
        <v>99123.86</v>
      </c>
      <c r="V625" s="26">
        <f>SUM(J625:U625)</f>
        <v>1159206.85</v>
      </c>
    </row>
    <row r="626" spans="3:22" ht="13.5" thickBot="1">
      <c r="C626" s="6" t="s">
        <v>156</v>
      </c>
      <c r="J626" s="27">
        <f aca="true" t="shared" si="123" ref="J626:V626">SUM(J623:J625)</f>
        <v>91804</v>
      </c>
      <c r="K626" s="27">
        <f t="shared" si="123"/>
        <v>91554</v>
      </c>
      <c r="L626" s="27">
        <f t="shared" si="123"/>
        <v>91554</v>
      </c>
      <c r="M626" s="27">
        <f t="shared" si="123"/>
        <v>91554</v>
      </c>
      <c r="N626" s="27">
        <f t="shared" si="123"/>
        <v>99123.86</v>
      </c>
      <c r="O626" s="27">
        <f t="shared" si="123"/>
        <v>99123.86</v>
      </c>
      <c r="P626" s="27">
        <f t="shared" si="123"/>
        <v>99123.86</v>
      </c>
      <c r="Q626" s="27">
        <f t="shared" si="123"/>
        <v>99123.86</v>
      </c>
      <c r="R626" s="27">
        <f t="shared" si="123"/>
        <v>99123.86</v>
      </c>
      <c r="S626" s="27">
        <f t="shared" si="123"/>
        <v>99123.83</v>
      </c>
      <c r="T626" s="27">
        <f t="shared" si="123"/>
        <v>99123.86</v>
      </c>
      <c r="U626" s="41">
        <f t="shared" si="123"/>
        <v>99123.86</v>
      </c>
      <c r="V626" s="27">
        <f t="shared" si="123"/>
        <v>1159456.85</v>
      </c>
    </row>
    <row r="627" ht="12.75">
      <c r="C627" s="12"/>
    </row>
    <row r="628" spans="1:3" ht="15.75">
      <c r="A628" s="16">
        <f>+A622+1</f>
        <v>57</v>
      </c>
      <c r="C628" s="5" t="s">
        <v>204</v>
      </c>
    </row>
    <row r="629" spans="3:22" ht="12.75">
      <c r="C629" s="4" t="s">
        <v>3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40">
        <v>0</v>
      </c>
      <c r="V629" s="26">
        <f>SUM(J629:U629)</f>
        <v>0</v>
      </c>
    </row>
    <row r="630" spans="3:22" ht="12.75">
      <c r="C630" s="4" t="s">
        <v>4</v>
      </c>
      <c r="J630" s="52">
        <v>250</v>
      </c>
      <c r="V630" s="26">
        <f>SUM(J630:U630)</f>
        <v>250</v>
      </c>
    </row>
    <row r="631" spans="3:22" ht="13.5" thickBot="1">
      <c r="C631" s="4" t="s">
        <v>5</v>
      </c>
      <c r="J631" s="26">
        <f>15454.55+58701.56</f>
        <v>74156.11</v>
      </c>
      <c r="K631" s="26">
        <f>15454.55+58701.56</f>
        <v>74156.11</v>
      </c>
      <c r="L631" s="26">
        <f>15454.55+58701.56</f>
        <v>74156.11</v>
      </c>
      <c r="M631" s="26">
        <f>15454.55+58701.56</f>
        <v>74156.11</v>
      </c>
      <c r="N631" s="26">
        <f>15833.33+58134.9</f>
        <v>73968.23</v>
      </c>
      <c r="O631" s="26">
        <f aca="true" t="shared" si="124" ref="O631:V631">15833.33+58134.9</f>
        <v>73968.23</v>
      </c>
      <c r="P631" s="26">
        <f t="shared" si="124"/>
        <v>73968.23</v>
      </c>
      <c r="Q631" s="26">
        <f t="shared" si="124"/>
        <v>73968.23</v>
      </c>
      <c r="R631" s="26">
        <f t="shared" si="124"/>
        <v>73968.23</v>
      </c>
      <c r="S631" s="26">
        <f t="shared" si="124"/>
        <v>73968.23</v>
      </c>
      <c r="T631" s="26">
        <f t="shared" si="124"/>
        <v>73968.23</v>
      </c>
      <c r="U631" s="40">
        <f t="shared" si="124"/>
        <v>73968.23</v>
      </c>
      <c r="V631" s="26">
        <f>SUM(J631:U631)</f>
        <v>888370.2799999999</v>
      </c>
    </row>
    <row r="632" spans="3:22" ht="13.5" thickBot="1">
      <c r="C632" s="6" t="s">
        <v>159</v>
      </c>
      <c r="J632" s="27">
        <f aca="true" t="shared" si="125" ref="J632:V632">SUM(J629:J631)</f>
        <v>74406.11</v>
      </c>
      <c r="K632" s="27">
        <f t="shared" si="125"/>
        <v>74156.11</v>
      </c>
      <c r="L632" s="27">
        <f t="shared" si="125"/>
        <v>74156.11</v>
      </c>
      <c r="M632" s="27">
        <f t="shared" si="125"/>
        <v>74156.11</v>
      </c>
      <c r="N632" s="27">
        <f t="shared" si="125"/>
        <v>73968.23</v>
      </c>
      <c r="O632" s="27">
        <f t="shared" si="125"/>
        <v>73968.23</v>
      </c>
      <c r="P632" s="27">
        <f t="shared" si="125"/>
        <v>73968.23</v>
      </c>
      <c r="Q632" s="27">
        <f t="shared" si="125"/>
        <v>73968.23</v>
      </c>
      <c r="R632" s="27">
        <f t="shared" si="125"/>
        <v>73968.23</v>
      </c>
      <c r="S632" s="27">
        <f t="shared" si="125"/>
        <v>73968.23</v>
      </c>
      <c r="T632" s="27">
        <f t="shared" si="125"/>
        <v>73968.23</v>
      </c>
      <c r="U632" s="41">
        <f t="shared" si="125"/>
        <v>73968.23</v>
      </c>
      <c r="V632" s="27">
        <f t="shared" si="125"/>
        <v>888620.2799999999</v>
      </c>
    </row>
    <row r="633" ht="12.75">
      <c r="C633" s="12"/>
    </row>
    <row r="634" spans="1:3" ht="15.75">
      <c r="A634" s="16">
        <f>+A628+1</f>
        <v>58</v>
      </c>
      <c r="C634" s="5" t="s">
        <v>205</v>
      </c>
    </row>
    <row r="635" spans="3:22" ht="12.75">
      <c r="C635" s="4" t="s">
        <v>3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40">
        <v>0</v>
      </c>
      <c r="V635" s="26">
        <f>SUM(J635:U635)</f>
        <v>0</v>
      </c>
    </row>
    <row r="636" spans="3:22" ht="12.75">
      <c r="C636" s="4" t="s">
        <v>4</v>
      </c>
      <c r="J636" s="52">
        <v>250</v>
      </c>
      <c r="V636" s="26">
        <f>SUM(J636:U636)</f>
        <v>250</v>
      </c>
    </row>
    <row r="637" spans="3:22" ht="13.5" thickBot="1">
      <c r="C637" s="4" t="s">
        <v>5</v>
      </c>
      <c r="J637" s="26">
        <f>7000+35936.58</f>
        <v>42936.58</v>
      </c>
      <c r="K637" s="26">
        <f>7000+35936.58</f>
        <v>42936.58</v>
      </c>
      <c r="L637" s="26">
        <f>7000+35936.58</f>
        <v>42936.58</v>
      </c>
      <c r="M637" s="26">
        <f>7000+35936.58</f>
        <v>42936.58</v>
      </c>
      <c r="N637" s="26">
        <f>7000+35936.6</f>
        <v>42936.6</v>
      </c>
      <c r="O637" s="26">
        <f>7916.67+35726.29</f>
        <v>43642.96</v>
      </c>
      <c r="P637" s="26">
        <f aca="true" t="shared" si="126" ref="P637:V637">7916.67+35726.29</f>
        <v>43642.96</v>
      </c>
      <c r="Q637" s="26">
        <f t="shared" si="126"/>
        <v>43642.96</v>
      </c>
      <c r="R637" s="26">
        <f t="shared" si="126"/>
        <v>43642.96</v>
      </c>
      <c r="S637" s="26">
        <f t="shared" si="126"/>
        <v>43642.96</v>
      </c>
      <c r="T637" s="26">
        <f>7916.67+35726.3</f>
        <v>43642.97</v>
      </c>
      <c r="U637" s="40">
        <f t="shared" si="126"/>
        <v>43642.96</v>
      </c>
      <c r="V637" s="26">
        <f>SUM(J637:U637)</f>
        <v>520183.6500000001</v>
      </c>
    </row>
    <row r="638" spans="3:22" ht="13.5" thickBot="1">
      <c r="C638" s="6" t="s">
        <v>147</v>
      </c>
      <c r="J638" s="27">
        <f aca="true" t="shared" si="127" ref="J638:V638">SUM(J635:J637)</f>
        <v>43186.58</v>
      </c>
      <c r="K638" s="27">
        <f t="shared" si="127"/>
        <v>42936.58</v>
      </c>
      <c r="L638" s="27">
        <f t="shared" si="127"/>
        <v>42936.58</v>
      </c>
      <c r="M638" s="27">
        <f t="shared" si="127"/>
        <v>42936.58</v>
      </c>
      <c r="N638" s="27">
        <f t="shared" si="127"/>
        <v>42936.6</v>
      </c>
      <c r="O638" s="27">
        <f t="shared" si="127"/>
        <v>43642.96</v>
      </c>
      <c r="P638" s="27">
        <f t="shared" si="127"/>
        <v>43642.96</v>
      </c>
      <c r="Q638" s="27">
        <f t="shared" si="127"/>
        <v>43642.96</v>
      </c>
      <c r="R638" s="27">
        <f t="shared" si="127"/>
        <v>43642.96</v>
      </c>
      <c r="S638" s="27">
        <f t="shared" si="127"/>
        <v>43642.96</v>
      </c>
      <c r="T638" s="27">
        <f t="shared" si="127"/>
        <v>43642.97</v>
      </c>
      <c r="U638" s="41">
        <f t="shared" si="127"/>
        <v>43642.96</v>
      </c>
      <c r="V638" s="27">
        <f t="shared" si="127"/>
        <v>520433.6500000001</v>
      </c>
    </row>
    <row r="639" ht="12.75">
      <c r="C639" s="12"/>
    </row>
    <row r="640" spans="1:3" ht="15.75">
      <c r="A640" s="16">
        <f>+A634+1</f>
        <v>59</v>
      </c>
      <c r="C640" s="5" t="s">
        <v>206</v>
      </c>
    </row>
    <row r="641" spans="3:22" ht="12.75">
      <c r="C641" s="4" t="s">
        <v>3</v>
      </c>
      <c r="J641" s="26">
        <v>1188.75</v>
      </c>
      <c r="K641" s="26">
        <v>1188.75</v>
      </c>
      <c r="L641" s="26">
        <v>1188.75</v>
      </c>
      <c r="M641" s="26">
        <v>1188.75</v>
      </c>
      <c r="N641" s="26">
        <v>1188.75</v>
      </c>
      <c r="O641" s="26">
        <v>1188.75</v>
      </c>
      <c r="P641" s="26">
        <v>1170.83</v>
      </c>
      <c r="Q641" s="26">
        <v>1170.83</v>
      </c>
      <c r="R641" s="26">
        <v>1170.83</v>
      </c>
      <c r="S641" s="26">
        <v>1170.83</v>
      </c>
      <c r="T641" s="26">
        <v>1170.83</v>
      </c>
      <c r="U641" s="40">
        <v>1170.83</v>
      </c>
      <c r="V641" s="26">
        <f>SUM(J641:U641)</f>
        <v>14157.48</v>
      </c>
    </row>
    <row r="642" spans="3:22" ht="12.75">
      <c r="C642" s="4" t="s">
        <v>4</v>
      </c>
      <c r="J642" s="52">
        <v>250</v>
      </c>
      <c r="V642" s="26">
        <f>SUM(J642:U642)</f>
        <v>250</v>
      </c>
    </row>
    <row r="643" spans="3:22" ht="13.5" thickBot="1">
      <c r="C643" s="4" t="s">
        <v>5</v>
      </c>
      <c r="J643" s="26">
        <f>23888.89+46978.13</f>
        <v>70867.01999999999</v>
      </c>
      <c r="K643" s="26">
        <f>23888.89+46978.13</f>
        <v>70867.01999999999</v>
      </c>
      <c r="L643" s="26">
        <f>23888.88+46978.1</f>
        <v>70866.98</v>
      </c>
      <c r="M643" s="52">
        <f>30833.33+46619.79</f>
        <v>77453.12</v>
      </c>
      <c r="N643" s="52">
        <f aca="true" t="shared" si="128" ref="N643:V643">30833.33+46619.79</f>
        <v>77453.12</v>
      </c>
      <c r="O643" s="52">
        <f t="shared" si="128"/>
        <v>77453.12</v>
      </c>
      <c r="P643" s="52">
        <f t="shared" si="128"/>
        <v>77453.12</v>
      </c>
      <c r="Q643" s="52">
        <f t="shared" si="128"/>
        <v>77453.12</v>
      </c>
      <c r="R643" s="52">
        <f>30833.33+46619.8</f>
        <v>77453.13</v>
      </c>
      <c r="S643" s="52">
        <f t="shared" si="128"/>
        <v>77453.12</v>
      </c>
      <c r="T643" s="52">
        <f t="shared" si="128"/>
        <v>77453.12</v>
      </c>
      <c r="U643" s="53">
        <f t="shared" si="128"/>
        <v>77453.12</v>
      </c>
      <c r="V643" s="26">
        <f>SUM(J643:U643)</f>
        <v>909679.1099999999</v>
      </c>
    </row>
    <row r="644" spans="3:22" ht="13.5" thickBot="1">
      <c r="C644" s="6" t="s">
        <v>96</v>
      </c>
      <c r="J644" s="27">
        <f aca="true" t="shared" si="129" ref="J644:V644">SUM(J641:J643)</f>
        <v>72305.76999999999</v>
      </c>
      <c r="K644" s="27">
        <f t="shared" si="129"/>
        <v>72055.76999999999</v>
      </c>
      <c r="L644" s="27">
        <f t="shared" si="129"/>
        <v>72055.73</v>
      </c>
      <c r="M644" s="27">
        <f t="shared" si="129"/>
        <v>78641.87</v>
      </c>
      <c r="N644" s="27">
        <f t="shared" si="129"/>
        <v>78641.87</v>
      </c>
      <c r="O644" s="27">
        <f t="shared" si="129"/>
        <v>78641.87</v>
      </c>
      <c r="P644" s="27">
        <f t="shared" si="129"/>
        <v>78623.95</v>
      </c>
      <c r="Q644" s="27">
        <f t="shared" si="129"/>
        <v>78623.95</v>
      </c>
      <c r="R644" s="27">
        <f t="shared" si="129"/>
        <v>78623.96</v>
      </c>
      <c r="S644" s="27">
        <f t="shared" si="129"/>
        <v>78623.95</v>
      </c>
      <c r="T644" s="27">
        <f t="shared" si="129"/>
        <v>78623.95</v>
      </c>
      <c r="U644" s="41">
        <f t="shared" si="129"/>
        <v>78623.95</v>
      </c>
      <c r="V644" s="27">
        <f t="shared" si="129"/>
        <v>924086.5899999999</v>
      </c>
    </row>
    <row r="645" ht="12.75">
      <c r="C645" s="12"/>
    </row>
    <row r="646" spans="1:3" ht="15.75">
      <c r="A646" s="16">
        <f>+A640+1</f>
        <v>60</v>
      </c>
      <c r="C646" s="5" t="s">
        <v>209</v>
      </c>
    </row>
    <row r="647" spans="3:22" ht="12.75">
      <c r="C647" s="4" t="s">
        <v>3</v>
      </c>
      <c r="J647" s="26">
        <v>1210.45</v>
      </c>
      <c r="K647" s="26">
        <v>1210.45</v>
      </c>
      <c r="L647" s="26">
        <v>1210.45</v>
      </c>
      <c r="M647" s="26">
        <v>1210.45</v>
      </c>
      <c r="N647" s="26">
        <v>1210.45</v>
      </c>
      <c r="O647" s="26">
        <v>1210.45</v>
      </c>
      <c r="P647" s="26">
        <v>1210.45</v>
      </c>
      <c r="Q647" s="26">
        <v>1109.58</v>
      </c>
      <c r="R647" s="26">
        <v>1109.58</v>
      </c>
      <c r="S647" s="26">
        <v>1109.58</v>
      </c>
      <c r="T647" s="26">
        <v>1109.58</v>
      </c>
      <c r="U647" s="40">
        <v>1109.58</v>
      </c>
      <c r="V647" s="26">
        <f>SUM(J647:U647)</f>
        <v>14021.05</v>
      </c>
    </row>
    <row r="648" spans="3:22" ht="12.75">
      <c r="C648" s="4" t="s">
        <v>4</v>
      </c>
      <c r="J648" s="52">
        <v>250</v>
      </c>
      <c r="V648" s="26">
        <f>SUM(J648:U648)</f>
        <v>250</v>
      </c>
    </row>
    <row r="649" spans="3:22" ht="13.5" thickBot="1">
      <c r="C649" s="4" t="s">
        <v>5</v>
      </c>
      <c r="J649" s="26">
        <v>56021.88</v>
      </c>
      <c r="K649" s="26">
        <v>56021.88</v>
      </c>
      <c r="L649" s="26">
        <v>56021.88</v>
      </c>
      <c r="M649" s="26">
        <v>56021.88</v>
      </c>
      <c r="N649" s="26">
        <v>56021.88</v>
      </c>
      <c r="O649" s="52">
        <f>32916.67+56021.88</f>
        <v>88938.54999999999</v>
      </c>
      <c r="P649" s="52">
        <f aca="true" t="shared" si="130" ref="P649:V649">32916.67+56021.88</f>
        <v>88938.54999999999</v>
      </c>
      <c r="Q649" s="52">
        <f t="shared" si="130"/>
        <v>88938.54999999999</v>
      </c>
      <c r="R649" s="52">
        <f t="shared" si="130"/>
        <v>88938.54999999999</v>
      </c>
      <c r="S649" s="52">
        <f t="shared" si="130"/>
        <v>88938.54999999999</v>
      </c>
      <c r="T649" s="52">
        <f>32916.67+56021.85</f>
        <v>88938.51999999999</v>
      </c>
      <c r="U649" s="53">
        <f t="shared" si="130"/>
        <v>88938.54999999999</v>
      </c>
      <c r="V649" s="26">
        <f>SUM(J649:U649)</f>
        <v>902679.22</v>
      </c>
    </row>
    <row r="650" spans="3:22" ht="13.5" thickBot="1">
      <c r="C650" s="6" t="s">
        <v>208</v>
      </c>
      <c r="J650" s="27">
        <f aca="true" t="shared" si="131" ref="J650:V650">SUM(J647:J649)</f>
        <v>57482.329999999994</v>
      </c>
      <c r="K650" s="27">
        <f t="shared" si="131"/>
        <v>57232.329999999994</v>
      </c>
      <c r="L650" s="27">
        <f t="shared" si="131"/>
        <v>57232.329999999994</v>
      </c>
      <c r="M650" s="27">
        <f t="shared" si="131"/>
        <v>57232.329999999994</v>
      </c>
      <c r="N650" s="27">
        <f t="shared" si="131"/>
        <v>57232.329999999994</v>
      </c>
      <c r="O650" s="27">
        <f t="shared" si="131"/>
        <v>90148.99999999999</v>
      </c>
      <c r="P650" s="27">
        <f t="shared" si="131"/>
        <v>90148.99999999999</v>
      </c>
      <c r="Q650" s="27">
        <f t="shared" si="131"/>
        <v>90048.12999999999</v>
      </c>
      <c r="R650" s="27">
        <f t="shared" si="131"/>
        <v>90048.12999999999</v>
      </c>
      <c r="S650" s="27">
        <f t="shared" si="131"/>
        <v>90048.12999999999</v>
      </c>
      <c r="T650" s="27">
        <f t="shared" si="131"/>
        <v>90048.09999999999</v>
      </c>
      <c r="U650" s="41">
        <f t="shared" si="131"/>
        <v>90048.12999999999</v>
      </c>
      <c r="V650" s="27">
        <f t="shared" si="131"/>
        <v>916950.27</v>
      </c>
    </row>
    <row r="651" ht="12.75">
      <c r="C651" s="12"/>
    </row>
    <row r="652" spans="1:3" ht="15.75">
      <c r="A652" s="16">
        <f>+A646+1</f>
        <v>61</v>
      </c>
      <c r="C652" s="5" t="s">
        <v>210</v>
      </c>
    </row>
    <row r="653" spans="3:22" ht="12.75">
      <c r="C653" s="4" t="s">
        <v>3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40">
        <v>0</v>
      </c>
      <c r="V653" s="26">
        <f>SUM(J653:U653)</f>
        <v>0</v>
      </c>
    </row>
    <row r="654" spans="3:22" ht="12.75">
      <c r="C654" s="4" t="s">
        <v>4</v>
      </c>
      <c r="J654" s="52">
        <v>250</v>
      </c>
      <c r="V654" s="26">
        <f>SUM(J654:U654)</f>
        <v>250</v>
      </c>
    </row>
    <row r="655" spans="3:22" ht="13.5" thickBot="1">
      <c r="C655" s="4" t="s">
        <v>5</v>
      </c>
      <c r="J655" s="26">
        <f>6250+115295.83</f>
        <v>121545.83</v>
      </c>
      <c r="K655" s="26">
        <f>6250+115295.83</f>
        <v>121545.83</v>
      </c>
      <c r="L655" s="26">
        <f>6250+115295.83</f>
        <v>121545.83</v>
      </c>
      <c r="M655" s="26">
        <f>6250+115295.83</f>
        <v>121545.83</v>
      </c>
      <c r="N655" s="26">
        <f>6250+115295.85</f>
        <v>121545.85</v>
      </c>
      <c r="O655" s="26">
        <f>43333.33+115212.5</f>
        <v>158545.83000000002</v>
      </c>
      <c r="P655" s="26">
        <f aca="true" t="shared" si="132" ref="P655:V655">43333.33+115212.5</f>
        <v>158545.83000000002</v>
      </c>
      <c r="Q655" s="26">
        <f t="shared" si="132"/>
        <v>158545.83000000002</v>
      </c>
      <c r="R655" s="26">
        <f t="shared" si="132"/>
        <v>158545.83000000002</v>
      </c>
      <c r="S655" s="26">
        <f t="shared" si="132"/>
        <v>158545.83000000002</v>
      </c>
      <c r="T655" s="26">
        <f t="shared" si="132"/>
        <v>158545.83000000002</v>
      </c>
      <c r="U655" s="40">
        <f t="shared" si="132"/>
        <v>158545.83000000002</v>
      </c>
      <c r="V655" s="26">
        <f>SUM(J655:U655)</f>
        <v>1717549.9800000004</v>
      </c>
    </row>
    <row r="656" spans="3:22" ht="13.5" thickBot="1">
      <c r="C656" s="6" t="s">
        <v>211</v>
      </c>
      <c r="J656" s="27">
        <f aca="true" t="shared" si="133" ref="J656:V656">SUM(J653:J655)</f>
        <v>121795.83</v>
      </c>
      <c r="K656" s="27">
        <f t="shared" si="133"/>
        <v>121545.83</v>
      </c>
      <c r="L656" s="27">
        <f t="shared" si="133"/>
        <v>121545.83</v>
      </c>
      <c r="M656" s="27">
        <f t="shared" si="133"/>
        <v>121545.83</v>
      </c>
      <c r="N656" s="27">
        <f t="shared" si="133"/>
        <v>121545.85</v>
      </c>
      <c r="O656" s="27">
        <f t="shared" si="133"/>
        <v>158545.83000000002</v>
      </c>
      <c r="P656" s="27">
        <f t="shared" si="133"/>
        <v>158545.83000000002</v>
      </c>
      <c r="Q656" s="27">
        <f t="shared" si="133"/>
        <v>158545.83000000002</v>
      </c>
      <c r="R656" s="27">
        <f t="shared" si="133"/>
        <v>158545.83000000002</v>
      </c>
      <c r="S656" s="27">
        <f t="shared" si="133"/>
        <v>158545.83000000002</v>
      </c>
      <c r="T656" s="27">
        <f t="shared" si="133"/>
        <v>158545.83000000002</v>
      </c>
      <c r="U656" s="41">
        <f t="shared" si="133"/>
        <v>158545.83000000002</v>
      </c>
      <c r="V656" s="27">
        <f t="shared" si="133"/>
        <v>1717799.9800000004</v>
      </c>
    </row>
    <row r="657" ht="12.75">
      <c r="C657" s="12"/>
    </row>
    <row r="658" spans="1:3" ht="15.75">
      <c r="A658" s="16">
        <f>+A652+1</f>
        <v>62</v>
      </c>
      <c r="C658" s="5" t="s">
        <v>212</v>
      </c>
    </row>
    <row r="659" spans="3:22" ht="12.75">
      <c r="C659" s="4" t="s">
        <v>3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40">
        <v>0</v>
      </c>
      <c r="V659" s="26">
        <f>SUM(J659:U659)</f>
        <v>0</v>
      </c>
    </row>
    <row r="660" spans="3:22" ht="12.75">
      <c r="C660" s="4" t="s">
        <v>4</v>
      </c>
      <c r="J660" s="52">
        <v>250</v>
      </c>
      <c r="V660" s="26">
        <f>SUM(J660:U660)</f>
        <v>250</v>
      </c>
    </row>
    <row r="661" spans="3:22" ht="13.5" thickBot="1">
      <c r="C661" s="4" t="s">
        <v>5</v>
      </c>
      <c r="J661" s="26">
        <v>17272.73</v>
      </c>
      <c r="K661" s="26">
        <v>17272.73</v>
      </c>
      <c r="L661" s="26">
        <v>17272.73</v>
      </c>
      <c r="M661" s="26">
        <v>17272.73</v>
      </c>
      <c r="N661" s="26">
        <v>17272.73</v>
      </c>
      <c r="O661" s="26">
        <v>17272.73</v>
      </c>
      <c r="P661" s="26">
        <v>17272.73</v>
      </c>
      <c r="Q661" s="26">
        <v>17272.73</v>
      </c>
      <c r="R661" s="26">
        <v>17272.73</v>
      </c>
      <c r="S661" s="26">
        <v>16666.67</v>
      </c>
      <c r="T661" s="26">
        <v>16666.67</v>
      </c>
      <c r="U661" s="40">
        <v>16666.67</v>
      </c>
      <c r="V661" s="26">
        <f>SUM(J661:U661)</f>
        <v>205454.57999999996</v>
      </c>
    </row>
    <row r="662" spans="3:22" ht="13.5" thickBot="1">
      <c r="C662" s="6" t="s">
        <v>213</v>
      </c>
      <c r="J662" s="27">
        <f aca="true" t="shared" si="134" ref="J662:V662">SUM(J659:J661)</f>
        <v>17522.73</v>
      </c>
      <c r="K662" s="27">
        <f t="shared" si="134"/>
        <v>17272.73</v>
      </c>
      <c r="L662" s="27">
        <f t="shared" si="134"/>
        <v>17272.73</v>
      </c>
      <c r="M662" s="27">
        <f t="shared" si="134"/>
        <v>17272.73</v>
      </c>
      <c r="N662" s="27">
        <f t="shared" si="134"/>
        <v>17272.73</v>
      </c>
      <c r="O662" s="27">
        <f t="shared" si="134"/>
        <v>17272.73</v>
      </c>
      <c r="P662" s="27">
        <f t="shared" si="134"/>
        <v>17272.73</v>
      </c>
      <c r="Q662" s="27">
        <f t="shared" si="134"/>
        <v>17272.73</v>
      </c>
      <c r="R662" s="27">
        <f t="shared" si="134"/>
        <v>17272.73</v>
      </c>
      <c r="S662" s="27">
        <f t="shared" si="134"/>
        <v>16666.67</v>
      </c>
      <c r="T662" s="27">
        <f t="shared" si="134"/>
        <v>16666.67</v>
      </c>
      <c r="U662" s="41">
        <f t="shared" si="134"/>
        <v>16666.67</v>
      </c>
      <c r="V662" s="27">
        <f t="shared" si="134"/>
        <v>205704.57999999996</v>
      </c>
    </row>
    <row r="663" ht="12.75">
      <c r="C663" s="12"/>
    </row>
    <row r="664" spans="1:3" ht="15.75">
      <c r="A664" s="16">
        <f>+A658+1</f>
        <v>63</v>
      </c>
      <c r="C664" s="5" t="s">
        <v>214</v>
      </c>
    </row>
    <row r="665" spans="3:22" ht="12.75">
      <c r="C665" s="4" t="s">
        <v>3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40">
        <v>0</v>
      </c>
      <c r="V665" s="26">
        <f>SUM(J665:U665)</f>
        <v>0</v>
      </c>
    </row>
    <row r="666" spans="3:22" ht="12.75">
      <c r="C666" s="4" t="s">
        <v>4</v>
      </c>
      <c r="J666" s="52">
        <v>250</v>
      </c>
      <c r="V666" s="26">
        <f>SUM(J666:U666)</f>
        <v>250</v>
      </c>
    </row>
    <row r="667" spans="3:22" ht="13.5" thickBot="1">
      <c r="C667" s="4" t="s">
        <v>5</v>
      </c>
      <c r="J667" s="26">
        <v>43470</v>
      </c>
      <c r="K667" s="26">
        <v>43470</v>
      </c>
      <c r="L667" s="26">
        <v>43470</v>
      </c>
      <c r="M667" s="26">
        <v>43470</v>
      </c>
      <c r="N667" s="26">
        <v>43470</v>
      </c>
      <c r="O667" s="26">
        <v>43470</v>
      </c>
      <c r="P667" s="26">
        <v>43470</v>
      </c>
      <c r="Q667" s="26">
        <v>43470</v>
      </c>
      <c r="R667" s="26">
        <v>43470</v>
      </c>
      <c r="S667" s="26">
        <v>43470</v>
      </c>
      <c r="T667" s="26">
        <v>43470</v>
      </c>
      <c r="U667" s="40">
        <v>43470</v>
      </c>
      <c r="V667" s="26">
        <f>SUM(J667:U667)</f>
        <v>521640</v>
      </c>
    </row>
    <row r="668" spans="3:22" ht="13.5" thickBot="1">
      <c r="C668" s="6" t="s">
        <v>52</v>
      </c>
      <c r="J668" s="27">
        <f aca="true" t="shared" si="135" ref="J668:V668">SUM(J665:J667)</f>
        <v>43720</v>
      </c>
      <c r="K668" s="27">
        <f t="shared" si="135"/>
        <v>43470</v>
      </c>
      <c r="L668" s="27">
        <f t="shared" si="135"/>
        <v>43470</v>
      </c>
      <c r="M668" s="27">
        <f t="shared" si="135"/>
        <v>43470</v>
      </c>
      <c r="N668" s="27">
        <f t="shared" si="135"/>
        <v>43470</v>
      </c>
      <c r="O668" s="27">
        <f t="shared" si="135"/>
        <v>43470</v>
      </c>
      <c r="P668" s="27">
        <f t="shared" si="135"/>
        <v>43470</v>
      </c>
      <c r="Q668" s="27">
        <f t="shared" si="135"/>
        <v>43470</v>
      </c>
      <c r="R668" s="27">
        <f t="shared" si="135"/>
        <v>43470</v>
      </c>
      <c r="S668" s="27">
        <f t="shared" si="135"/>
        <v>43470</v>
      </c>
      <c r="T668" s="27">
        <f t="shared" si="135"/>
        <v>43470</v>
      </c>
      <c r="U668" s="41">
        <f t="shared" si="135"/>
        <v>43470</v>
      </c>
      <c r="V668" s="27">
        <f t="shared" si="135"/>
        <v>521890</v>
      </c>
    </row>
    <row r="669" ht="12.75">
      <c r="C669" s="12"/>
    </row>
    <row r="670" spans="1:3" ht="15.75">
      <c r="A670" s="16">
        <f>+A664+1</f>
        <v>64</v>
      </c>
      <c r="C670" s="5" t="s">
        <v>215</v>
      </c>
    </row>
    <row r="671" spans="3:22" ht="12.75">
      <c r="C671" s="4" t="s">
        <v>3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40">
        <v>0</v>
      </c>
      <c r="V671" s="26">
        <f>SUM(J671:U671)</f>
        <v>0</v>
      </c>
    </row>
    <row r="672" spans="3:22" ht="12.75">
      <c r="C672" s="4" t="s">
        <v>4</v>
      </c>
      <c r="J672" s="52">
        <v>250</v>
      </c>
      <c r="V672" s="26">
        <f>SUM(J672:U672)</f>
        <v>250</v>
      </c>
    </row>
    <row r="673" spans="3:22" ht="13.5" thickBot="1">
      <c r="C673" s="4" t="s">
        <v>5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46550</v>
      </c>
      <c r="P673" s="26">
        <v>46550</v>
      </c>
      <c r="Q673" s="26">
        <v>46550</v>
      </c>
      <c r="R673" s="26">
        <v>46550</v>
      </c>
      <c r="S673" s="26">
        <v>46550</v>
      </c>
      <c r="T673" s="26">
        <v>46550</v>
      </c>
      <c r="U673" s="40">
        <f>15000+46550</f>
        <v>61550</v>
      </c>
      <c r="V673" s="26">
        <f>SUM(J673:U673)</f>
        <v>340850</v>
      </c>
    </row>
    <row r="674" spans="3:22" ht="13.5" thickBot="1">
      <c r="C674" s="6" t="s">
        <v>216</v>
      </c>
      <c r="J674" s="27">
        <f aca="true" t="shared" si="136" ref="J674:V674">SUM(J671:J673)</f>
        <v>250</v>
      </c>
      <c r="K674" s="27">
        <f t="shared" si="136"/>
        <v>0</v>
      </c>
      <c r="L674" s="27">
        <f t="shared" si="136"/>
        <v>0</v>
      </c>
      <c r="M674" s="27">
        <f t="shared" si="136"/>
        <v>0</v>
      </c>
      <c r="N674" s="27">
        <f t="shared" si="136"/>
        <v>0</v>
      </c>
      <c r="O674" s="27">
        <f t="shared" si="136"/>
        <v>46550</v>
      </c>
      <c r="P674" s="27">
        <f t="shared" si="136"/>
        <v>46550</v>
      </c>
      <c r="Q674" s="27">
        <f t="shared" si="136"/>
        <v>46550</v>
      </c>
      <c r="R674" s="27">
        <f t="shared" si="136"/>
        <v>46550</v>
      </c>
      <c r="S674" s="27">
        <f t="shared" si="136"/>
        <v>46550</v>
      </c>
      <c r="T674" s="27">
        <f t="shared" si="136"/>
        <v>46550</v>
      </c>
      <c r="U674" s="41">
        <f t="shared" si="136"/>
        <v>61550</v>
      </c>
      <c r="V674" s="27">
        <f t="shared" si="136"/>
        <v>341100</v>
      </c>
    </row>
    <row r="675" ht="12.75">
      <c r="C675" s="12"/>
    </row>
    <row r="676" spans="1:3" ht="15.75">
      <c r="A676" s="16">
        <f>+A670+1</f>
        <v>65</v>
      </c>
      <c r="C676" s="5" t="s">
        <v>217</v>
      </c>
    </row>
    <row r="677" spans="3:22" ht="12.75">
      <c r="C677" s="4" t="s">
        <v>3</v>
      </c>
      <c r="J677" s="26">
        <v>802.73</v>
      </c>
      <c r="K677" s="26">
        <v>802.73</v>
      </c>
      <c r="L677" s="26">
        <v>802.73</v>
      </c>
      <c r="M677" s="26">
        <v>802.73</v>
      </c>
      <c r="N677" s="26">
        <v>802.73</v>
      </c>
      <c r="O677" s="26">
        <v>802.73</v>
      </c>
      <c r="P677" s="26">
        <v>802.73</v>
      </c>
      <c r="Q677" s="26">
        <v>802.73</v>
      </c>
      <c r="R677" s="26">
        <v>802.73</v>
      </c>
      <c r="S677" s="26">
        <v>802.73</v>
      </c>
      <c r="T677" s="26">
        <v>802.73</v>
      </c>
      <c r="U677" s="40">
        <v>735.83</v>
      </c>
      <c r="V677" s="26">
        <f>SUM(J677:U677)</f>
        <v>9565.859999999999</v>
      </c>
    </row>
    <row r="678" spans="3:22" ht="12.75">
      <c r="C678" s="4" t="s">
        <v>4</v>
      </c>
      <c r="J678" s="52">
        <v>250</v>
      </c>
      <c r="V678" s="26">
        <f>SUM(J678:U678)</f>
        <v>250</v>
      </c>
    </row>
    <row r="679" spans="3:22" ht="13.5" thickBot="1">
      <c r="C679" s="4" t="s">
        <v>5</v>
      </c>
      <c r="J679" s="26">
        <f>11250+9358.84</f>
        <v>20608.84</v>
      </c>
      <c r="K679" s="26">
        <f>11250+9358.84</f>
        <v>20608.84</v>
      </c>
      <c r="L679" s="26">
        <f>11250+9358.84</f>
        <v>20608.84</v>
      </c>
      <c r="M679" s="26">
        <f>11250+9358.85</f>
        <v>20608.85</v>
      </c>
      <c r="N679" s="26">
        <f>23750+51359.38</f>
        <v>75109.38</v>
      </c>
      <c r="O679" s="26">
        <f aca="true" t="shared" si="137" ref="O679:V679">23750+51359.38</f>
        <v>75109.38</v>
      </c>
      <c r="P679" s="26">
        <f t="shared" si="137"/>
        <v>75109.38</v>
      </c>
      <c r="Q679" s="26">
        <f t="shared" si="137"/>
        <v>75109.38</v>
      </c>
      <c r="R679" s="26">
        <f t="shared" si="137"/>
        <v>75109.38</v>
      </c>
      <c r="S679" s="26">
        <f>23750+51359.35</f>
        <v>75109.35</v>
      </c>
      <c r="T679" s="26">
        <f t="shared" si="137"/>
        <v>75109.38</v>
      </c>
      <c r="U679" s="40">
        <f t="shared" si="137"/>
        <v>75109.38</v>
      </c>
      <c r="V679" s="26">
        <f>SUM(J679:U679)</f>
        <v>683310.38</v>
      </c>
    </row>
    <row r="680" spans="3:22" ht="13.5" thickBot="1">
      <c r="C680" s="6" t="s">
        <v>118</v>
      </c>
      <c r="J680" s="27">
        <f aca="true" t="shared" si="138" ref="J680:V680">SUM(J677:J679)</f>
        <v>21661.57</v>
      </c>
      <c r="K680" s="27">
        <f t="shared" si="138"/>
        <v>21411.57</v>
      </c>
      <c r="L680" s="27">
        <f t="shared" si="138"/>
        <v>21411.57</v>
      </c>
      <c r="M680" s="27">
        <f t="shared" si="138"/>
        <v>21411.579999999998</v>
      </c>
      <c r="N680" s="27">
        <f t="shared" si="138"/>
        <v>75912.11</v>
      </c>
      <c r="O680" s="27">
        <f t="shared" si="138"/>
        <v>75912.11</v>
      </c>
      <c r="P680" s="27">
        <f t="shared" si="138"/>
        <v>75912.11</v>
      </c>
      <c r="Q680" s="27">
        <f t="shared" si="138"/>
        <v>75912.11</v>
      </c>
      <c r="R680" s="27">
        <f t="shared" si="138"/>
        <v>75912.11</v>
      </c>
      <c r="S680" s="27">
        <f t="shared" si="138"/>
        <v>75912.08</v>
      </c>
      <c r="T680" s="27">
        <f t="shared" si="138"/>
        <v>75912.11</v>
      </c>
      <c r="U680" s="41">
        <f t="shared" si="138"/>
        <v>75845.21</v>
      </c>
      <c r="V680" s="27">
        <f t="shared" si="138"/>
        <v>693126.24</v>
      </c>
    </row>
    <row r="681" ht="12.75">
      <c r="C681" s="12"/>
    </row>
    <row r="682" spans="1:3" ht="15.75">
      <c r="A682" s="16">
        <f>+A676+1</f>
        <v>66</v>
      </c>
      <c r="C682" s="5" t="s">
        <v>218</v>
      </c>
    </row>
    <row r="683" spans="3:22" ht="12.75">
      <c r="C683" s="4" t="s">
        <v>3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40">
        <v>0</v>
      </c>
      <c r="V683" s="26">
        <f>SUM(J683:U683)</f>
        <v>0</v>
      </c>
    </row>
    <row r="684" spans="3:22" ht="12.75">
      <c r="C684" s="4" t="s">
        <v>4</v>
      </c>
      <c r="J684" s="52">
        <v>250</v>
      </c>
      <c r="V684" s="26">
        <f>SUM(J684:U684)</f>
        <v>250</v>
      </c>
    </row>
    <row r="685" spans="3:22" ht="13.5" thickBot="1">
      <c r="C685" s="4" t="s">
        <v>5</v>
      </c>
      <c r="J685" s="26">
        <f>2500+37842</f>
        <v>40342</v>
      </c>
      <c r="K685" s="26">
        <f>2500+37842</f>
        <v>40342</v>
      </c>
      <c r="L685" s="26">
        <f aca="true" t="shared" si="139" ref="L685:Q685">2500+31535</f>
        <v>34035</v>
      </c>
      <c r="M685" s="26">
        <f t="shared" si="139"/>
        <v>34035</v>
      </c>
      <c r="N685" s="26">
        <f t="shared" si="139"/>
        <v>34035</v>
      </c>
      <c r="O685" s="26">
        <f t="shared" si="139"/>
        <v>34035</v>
      </c>
      <c r="P685" s="26">
        <f t="shared" si="139"/>
        <v>34035</v>
      </c>
      <c r="Q685" s="26">
        <f t="shared" si="139"/>
        <v>34035</v>
      </c>
      <c r="R685" s="26">
        <f>8750+31446.67</f>
        <v>40196.67</v>
      </c>
      <c r="S685" s="26">
        <f>8750+31446.67</f>
        <v>40196.67</v>
      </c>
      <c r="T685" s="26">
        <f>8750+31446.67</f>
        <v>40196.67</v>
      </c>
      <c r="U685" s="40">
        <f>8750+31446.67</f>
        <v>40196.67</v>
      </c>
      <c r="V685" s="26">
        <f>SUM(J685:U685)</f>
        <v>445680.67999999993</v>
      </c>
    </row>
    <row r="686" spans="3:22" ht="13.5" thickBot="1">
      <c r="C686" s="6" t="s">
        <v>75</v>
      </c>
      <c r="J686" s="27">
        <f aca="true" t="shared" si="140" ref="J686:V686">SUM(J683:J685)</f>
        <v>40592</v>
      </c>
      <c r="K686" s="27">
        <f t="shared" si="140"/>
        <v>40342</v>
      </c>
      <c r="L686" s="27">
        <f t="shared" si="140"/>
        <v>34035</v>
      </c>
      <c r="M686" s="27">
        <f t="shared" si="140"/>
        <v>34035</v>
      </c>
      <c r="N686" s="27">
        <f t="shared" si="140"/>
        <v>34035</v>
      </c>
      <c r="O686" s="27">
        <f t="shared" si="140"/>
        <v>34035</v>
      </c>
      <c r="P686" s="27">
        <f t="shared" si="140"/>
        <v>34035</v>
      </c>
      <c r="Q686" s="27">
        <f t="shared" si="140"/>
        <v>34035</v>
      </c>
      <c r="R686" s="27">
        <f t="shared" si="140"/>
        <v>40196.67</v>
      </c>
      <c r="S686" s="27">
        <f t="shared" si="140"/>
        <v>40196.67</v>
      </c>
      <c r="T686" s="27">
        <f t="shared" si="140"/>
        <v>40196.67</v>
      </c>
      <c r="U686" s="41">
        <f t="shared" si="140"/>
        <v>40196.67</v>
      </c>
      <c r="V686" s="27">
        <f t="shared" si="140"/>
        <v>445930.67999999993</v>
      </c>
    </row>
    <row r="687" ht="12.75">
      <c r="C687" s="12"/>
    </row>
    <row r="688" spans="1:3" ht="15.75">
      <c r="A688" s="16">
        <f>+A682+1</f>
        <v>67</v>
      </c>
      <c r="C688" s="5" t="s">
        <v>219</v>
      </c>
    </row>
    <row r="689" spans="3:22" ht="12.75">
      <c r="C689" s="4" t="s">
        <v>3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40">
        <v>0</v>
      </c>
      <c r="V689" s="26">
        <f>SUM(J689:U689)</f>
        <v>0</v>
      </c>
    </row>
    <row r="690" spans="3:22" ht="12.75">
      <c r="C690" s="4" t="s">
        <v>4</v>
      </c>
      <c r="J690" s="52">
        <v>250</v>
      </c>
      <c r="V690" s="26">
        <f>SUM(J690:U690)</f>
        <v>250</v>
      </c>
    </row>
    <row r="691" spans="3:22" ht="13.5" thickBot="1">
      <c r="C691" s="4" t="s">
        <v>5</v>
      </c>
      <c r="J691" s="26">
        <v>58164.17</v>
      </c>
      <c r="K691" s="26">
        <v>58164.17</v>
      </c>
      <c r="L691" s="26">
        <v>58164.17</v>
      </c>
      <c r="M691" s="26">
        <v>58164.17</v>
      </c>
      <c r="N691" s="26">
        <v>58164.17</v>
      </c>
      <c r="O691" s="26">
        <v>58164.17</v>
      </c>
      <c r="P691" s="26">
        <v>57783.33</v>
      </c>
      <c r="Q691" s="26">
        <v>57783.33</v>
      </c>
      <c r="R691" s="26">
        <v>57783.33</v>
      </c>
      <c r="S691" s="26">
        <v>57783.33</v>
      </c>
      <c r="T691" s="26">
        <v>57783.33</v>
      </c>
      <c r="U691" s="40">
        <v>57783.33</v>
      </c>
      <c r="V691" s="26">
        <f>SUM(J691:U691)</f>
        <v>695684.9999999999</v>
      </c>
    </row>
    <row r="692" spans="3:22" ht="13.5" thickBot="1">
      <c r="C692" s="6" t="s">
        <v>220</v>
      </c>
      <c r="J692" s="27">
        <f aca="true" t="shared" si="141" ref="J692:V692">SUM(J689:J691)</f>
        <v>58414.17</v>
      </c>
      <c r="K692" s="27">
        <f t="shared" si="141"/>
        <v>58164.17</v>
      </c>
      <c r="L692" s="27">
        <f t="shared" si="141"/>
        <v>58164.17</v>
      </c>
      <c r="M692" s="27">
        <f t="shared" si="141"/>
        <v>58164.17</v>
      </c>
      <c r="N692" s="27">
        <f t="shared" si="141"/>
        <v>58164.17</v>
      </c>
      <c r="O692" s="27">
        <f t="shared" si="141"/>
        <v>58164.17</v>
      </c>
      <c r="P692" s="27">
        <f t="shared" si="141"/>
        <v>57783.33</v>
      </c>
      <c r="Q692" s="27">
        <f t="shared" si="141"/>
        <v>57783.33</v>
      </c>
      <c r="R692" s="27">
        <f t="shared" si="141"/>
        <v>57783.33</v>
      </c>
      <c r="S692" s="27">
        <f t="shared" si="141"/>
        <v>57783.33</v>
      </c>
      <c r="T692" s="27">
        <f t="shared" si="141"/>
        <v>57783.33</v>
      </c>
      <c r="U692" s="41">
        <f t="shared" si="141"/>
        <v>57783.33</v>
      </c>
      <c r="V692" s="27">
        <f t="shared" si="141"/>
        <v>695934.9999999999</v>
      </c>
    </row>
    <row r="693" ht="12.75">
      <c r="C693" s="12"/>
    </row>
    <row r="694" spans="1:3" ht="15.75">
      <c r="A694" s="16">
        <f>+A688+1</f>
        <v>68</v>
      </c>
      <c r="C694" s="5" t="s">
        <v>222</v>
      </c>
    </row>
    <row r="695" spans="3:22" ht="12.75">
      <c r="C695" s="4" t="s">
        <v>3</v>
      </c>
      <c r="J695" s="26"/>
      <c r="K695" s="26"/>
      <c r="L695" s="26"/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40">
        <v>0</v>
      </c>
      <c r="V695" s="26">
        <f>SUM(J695:U695)</f>
        <v>0</v>
      </c>
    </row>
    <row r="696" spans="3:22" ht="12.75">
      <c r="C696" s="4" t="s">
        <v>4</v>
      </c>
      <c r="J696" s="52"/>
      <c r="M696" s="52">
        <v>187.5</v>
      </c>
      <c r="V696" s="26">
        <f>SUM(J696:U696)</f>
        <v>187.5</v>
      </c>
    </row>
    <row r="697" spans="3:22" ht="13.5" thickBot="1">
      <c r="C697" s="4" t="s">
        <v>5</v>
      </c>
      <c r="J697" s="26"/>
      <c r="K697" s="26"/>
      <c r="L697" s="26"/>
      <c r="M697" s="26">
        <f>37479.17+33141.31-70620.48</f>
        <v>0</v>
      </c>
      <c r="N697" s="26">
        <f>37479.17+35628.26-11123.79</f>
        <v>61983.63999999999</v>
      </c>
      <c r="O697" s="26">
        <f>37479.17+38851.81</f>
        <v>76330.98</v>
      </c>
      <c r="P697" s="26">
        <f>37479.17+42608.46</f>
        <v>80087.63</v>
      </c>
      <c r="Q697" s="26">
        <f>37479.17+45878.76</f>
        <v>83357.93</v>
      </c>
      <c r="R697" s="26">
        <f>37479.17+48157.96</f>
        <v>85637.13</v>
      </c>
      <c r="S697" s="26">
        <f>37479.17+50203.2</f>
        <v>87682.37</v>
      </c>
      <c r="T697" s="26">
        <f>37479.17+51484.22</f>
        <v>88963.39</v>
      </c>
      <c r="U697" s="40">
        <f>37479.17+52564.57</f>
        <v>90043.73999999999</v>
      </c>
      <c r="V697" s="26">
        <f>SUM(J697:U697)</f>
        <v>654086.8099999999</v>
      </c>
    </row>
    <row r="698" spans="3:22" ht="13.5" thickBot="1">
      <c r="C698" s="6" t="s">
        <v>40</v>
      </c>
      <c r="J698" s="27">
        <f aca="true" t="shared" si="142" ref="J698:V698">SUM(J695:J697)</f>
        <v>0</v>
      </c>
      <c r="K698" s="27">
        <f t="shared" si="142"/>
        <v>0</v>
      </c>
      <c r="L698" s="27">
        <f t="shared" si="142"/>
        <v>0</v>
      </c>
      <c r="M698" s="27">
        <f t="shared" si="142"/>
        <v>187.5</v>
      </c>
      <c r="N698" s="27">
        <f t="shared" si="142"/>
        <v>61983.63999999999</v>
      </c>
      <c r="O698" s="27">
        <f t="shared" si="142"/>
        <v>76330.98</v>
      </c>
      <c r="P698" s="27">
        <f t="shared" si="142"/>
        <v>80087.63</v>
      </c>
      <c r="Q698" s="27">
        <f t="shared" si="142"/>
        <v>83357.93</v>
      </c>
      <c r="R698" s="27">
        <f t="shared" si="142"/>
        <v>85637.13</v>
      </c>
      <c r="S698" s="27">
        <f t="shared" si="142"/>
        <v>87682.37</v>
      </c>
      <c r="T698" s="27">
        <f t="shared" si="142"/>
        <v>88963.39</v>
      </c>
      <c r="U698" s="41">
        <f t="shared" si="142"/>
        <v>90043.73999999999</v>
      </c>
      <c r="V698" s="27">
        <f t="shared" si="142"/>
        <v>654274.3099999999</v>
      </c>
    </row>
    <row r="699" ht="12.75">
      <c r="C699" s="12"/>
    </row>
    <row r="700" spans="1:3" ht="15.75">
      <c r="A700" s="1" t="s">
        <v>223</v>
      </c>
      <c r="C700" s="5" t="s">
        <v>224</v>
      </c>
    </row>
    <row r="701" spans="3:22" ht="12.75">
      <c r="C701" s="4" t="s">
        <v>3</v>
      </c>
      <c r="J701" s="26"/>
      <c r="K701" s="26"/>
      <c r="L701" s="26"/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40">
        <v>0</v>
      </c>
      <c r="V701" s="26">
        <f>SUM(J701:U701)</f>
        <v>0</v>
      </c>
    </row>
    <row r="702" spans="3:22" ht="12.75">
      <c r="C702" s="4" t="s">
        <v>4</v>
      </c>
      <c r="J702" s="52"/>
      <c r="M702" s="52">
        <v>58.19</v>
      </c>
      <c r="V702" s="26">
        <f>SUM(J702:U702)</f>
        <v>58.19</v>
      </c>
    </row>
    <row r="703" spans="3:22" ht="13.5" thickBot="1">
      <c r="C703" s="4" t="s">
        <v>5</v>
      </c>
      <c r="J703" s="26"/>
      <c r="K703" s="26"/>
      <c r="L703" s="26"/>
      <c r="M703" s="26">
        <v>29302.25</v>
      </c>
      <c r="N703" s="26">
        <v>29302.25</v>
      </c>
      <c r="O703" s="26">
        <v>29302.25</v>
      </c>
      <c r="P703" s="26">
        <v>29302.25</v>
      </c>
      <c r="Q703" s="26">
        <v>29302.25</v>
      </c>
      <c r="R703" s="26">
        <v>29302.25</v>
      </c>
      <c r="S703" s="26">
        <v>29302.25</v>
      </c>
      <c r="T703" s="26">
        <v>29302.25</v>
      </c>
      <c r="U703" s="40">
        <v>29302.25</v>
      </c>
      <c r="V703" s="26">
        <f>SUM(J703:U703)</f>
        <v>263720.25</v>
      </c>
    </row>
    <row r="704" spans="3:22" ht="13.5" thickBot="1">
      <c r="C704" s="6" t="s">
        <v>30</v>
      </c>
      <c r="J704" s="27">
        <f aca="true" t="shared" si="143" ref="J704:V704">SUM(J701:J703)</f>
        <v>0</v>
      </c>
      <c r="K704" s="27">
        <f t="shared" si="143"/>
        <v>0</v>
      </c>
      <c r="L704" s="27">
        <f t="shared" si="143"/>
        <v>0</v>
      </c>
      <c r="M704" s="27">
        <f t="shared" si="143"/>
        <v>29360.44</v>
      </c>
      <c r="N704" s="27">
        <f t="shared" si="143"/>
        <v>29302.25</v>
      </c>
      <c r="O704" s="27">
        <f t="shared" si="143"/>
        <v>29302.25</v>
      </c>
      <c r="P704" s="27">
        <f t="shared" si="143"/>
        <v>29302.25</v>
      </c>
      <c r="Q704" s="27">
        <f t="shared" si="143"/>
        <v>29302.25</v>
      </c>
      <c r="R704" s="27">
        <f t="shared" si="143"/>
        <v>29302.25</v>
      </c>
      <c r="S704" s="27">
        <f t="shared" si="143"/>
        <v>29302.25</v>
      </c>
      <c r="T704" s="27">
        <f t="shared" si="143"/>
        <v>29302.25</v>
      </c>
      <c r="U704" s="41">
        <f t="shared" si="143"/>
        <v>29302.25</v>
      </c>
      <c r="V704" s="27">
        <f t="shared" si="143"/>
        <v>263778.44</v>
      </c>
    </row>
    <row r="705" ht="12.75">
      <c r="C705" s="12"/>
    </row>
    <row r="706" spans="1:3" ht="15.75">
      <c r="A706" s="1" t="s">
        <v>225</v>
      </c>
      <c r="C706" s="5" t="s">
        <v>226</v>
      </c>
    </row>
    <row r="707" spans="3:22" ht="12.75">
      <c r="C707" s="4" t="s">
        <v>3</v>
      </c>
      <c r="J707" s="26"/>
      <c r="K707" s="26"/>
      <c r="L707" s="26"/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40">
        <v>0</v>
      </c>
      <c r="V707" s="26">
        <f>SUM(J707:U707)</f>
        <v>0</v>
      </c>
    </row>
    <row r="708" spans="3:22" ht="12.75">
      <c r="C708" s="4" t="s">
        <v>4</v>
      </c>
      <c r="J708" s="52"/>
      <c r="M708" s="52">
        <v>62.5</v>
      </c>
      <c r="V708" s="26">
        <f>SUM(J708:U708)</f>
        <v>62.5</v>
      </c>
    </row>
    <row r="709" spans="3:22" ht="13.5" thickBot="1">
      <c r="C709" s="4" t="s">
        <v>5</v>
      </c>
      <c r="J709" s="26"/>
      <c r="K709" s="26"/>
      <c r="L709" s="26"/>
      <c r="M709" s="26">
        <v>31472.73</v>
      </c>
      <c r="N709" s="26">
        <v>31472.73</v>
      </c>
      <c r="O709" s="26">
        <v>31472.73</v>
      </c>
      <c r="P709" s="26">
        <v>31472.73</v>
      </c>
      <c r="Q709" s="26">
        <v>31472.73</v>
      </c>
      <c r="R709" s="26">
        <v>31472.73</v>
      </c>
      <c r="S709" s="26">
        <v>31472.73</v>
      </c>
      <c r="T709" s="26">
        <v>31472.73</v>
      </c>
      <c r="U709" s="40">
        <v>31472.73</v>
      </c>
      <c r="V709" s="26">
        <f>SUM(J709:U709)</f>
        <v>283254.57</v>
      </c>
    </row>
    <row r="710" spans="3:22" ht="13.5" thickBot="1">
      <c r="C710" s="6" t="s">
        <v>32</v>
      </c>
      <c r="J710" s="27">
        <f aca="true" t="shared" si="144" ref="J710:V710">SUM(J707:J709)</f>
        <v>0</v>
      </c>
      <c r="K710" s="27">
        <f t="shared" si="144"/>
        <v>0</v>
      </c>
      <c r="L710" s="27">
        <f t="shared" si="144"/>
        <v>0</v>
      </c>
      <c r="M710" s="27">
        <f t="shared" si="144"/>
        <v>31535.23</v>
      </c>
      <c r="N710" s="27">
        <f t="shared" si="144"/>
        <v>31472.73</v>
      </c>
      <c r="O710" s="27">
        <f t="shared" si="144"/>
        <v>31472.73</v>
      </c>
      <c r="P710" s="27">
        <f t="shared" si="144"/>
        <v>31472.73</v>
      </c>
      <c r="Q710" s="27">
        <f t="shared" si="144"/>
        <v>31472.73</v>
      </c>
      <c r="R710" s="27">
        <f t="shared" si="144"/>
        <v>31472.73</v>
      </c>
      <c r="S710" s="27">
        <f t="shared" si="144"/>
        <v>31472.73</v>
      </c>
      <c r="T710" s="27">
        <f t="shared" si="144"/>
        <v>31472.73</v>
      </c>
      <c r="U710" s="41">
        <f t="shared" si="144"/>
        <v>31472.73</v>
      </c>
      <c r="V710" s="27">
        <f t="shared" si="144"/>
        <v>283317.07</v>
      </c>
    </row>
    <row r="711" ht="12.75">
      <c r="C711" s="12"/>
    </row>
    <row r="712" spans="1:3" ht="15.75">
      <c r="A712" s="1" t="s">
        <v>227</v>
      </c>
      <c r="C712" s="5" t="s">
        <v>228</v>
      </c>
    </row>
    <row r="713" spans="3:22" ht="12.75">
      <c r="C713" s="4" t="s">
        <v>3</v>
      </c>
      <c r="J713" s="26"/>
      <c r="K713" s="26"/>
      <c r="L713" s="26"/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40">
        <v>0</v>
      </c>
      <c r="V713" s="26">
        <f>SUM(J713:U713)</f>
        <v>0</v>
      </c>
    </row>
    <row r="714" spans="3:22" ht="12.75">
      <c r="C714" s="4" t="s">
        <v>4</v>
      </c>
      <c r="J714" s="52"/>
      <c r="M714" s="52">
        <v>66.81</v>
      </c>
      <c r="V714" s="26">
        <f>SUM(J714:U714)</f>
        <v>66.81</v>
      </c>
    </row>
    <row r="715" spans="3:22" ht="13.5" thickBot="1">
      <c r="C715" s="4" t="s">
        <v>5</v>
      </c>
      <c r="J715" s="26"/>
      <c r="K715" s="26"/>
      <c r="L715" s="26"/>
      <c r="M715" s="26">
        <v>33643.32</v>
      </c>
      <c r="N715" s="26">
        <v>33643.32</v>
      </c>
      <c r="O715" s="26">
        <v>33643.32</v>
      </c>
      <c r="P715" s="26">
        <v>33643.32</v>
      </c>
      <c r="Q715" s="26">
        <v>33643.32</v>
      </c>
      <c r="R715" s="26">
        <v>33643.32</v>
      </c>
      <c r="S715" s="26">
        <v>33643.32</v>
      </c>
      <c r="T715" s="26">
        <v>33643.32</v>
      </c>
      <c r="U715" s="40">
        <v>33643.32</v>
      </c>
      <c r="V715" s="26">
        <f>SUM(J715:U715)</f>
        <v>302789.88</v>
      </c>
    </row>
    <row r="716" spans="3:22" ht="13.5" thickBot="1">
      <c r="C716" s="6" t="s">
        <v>83</v>
      </c>
      <c r="J716" s="27">
        <f aca="true" t="shared" si="145" ref="J716:V716">SUM(J713:J715)</f>
        <v>0</v>
      </c>
      <c r="K716" s="27">
        <f t="shared" si="145"/>
        <v>0</v>
      </c>
      <c r="L716" s="27">
        <f t="shared" si="145"/>
        <v>0</v>
      </c>
      <c r="M716" s="27">
        <f t="shared" si="145"/>
        <v>33710.13</v>
      </c>
      <c r="N716" s="27">
        <f t="shared" si="145"/>
        <v>33643.32</v>
      </c>
      <c r="O716" s="27">
        <f t="shared" si="145"/>
        <v>33643.32</v>
      </c>
      <c r="P716" s="27">
        <f t="shared" si="145"/>
        <v>33643.32</v>
      </c>
      <c r="Q716" s="27">
        <f t="shared" si="145"/>
        <v>33643.32</v>
      </c>
      <c r="R716" s="27">
        <f t="shared" si="145"/>
        <v>33643.32</v>
      </c>
      <c r="S716" s="27">
        <f t="shared" si="145"/>
        <v>33643.32</v>
      </c>
      <c r="T716" s="27">
        <f t="shared" si="145"/>
        <v>33643.32</v>
      </c>
      <c r="U716" s="41">
        <f t="shared" si="145"/>
        <v>33643.32</v>
      </c>
      <c r="V716" s="27">
        <f t="shared" si="145"/>
        <v>302856.69</v>
      </c>
    </row>
    <row r="717" ht="12.75">
      <c r="C717" s="12"/>
    </row>
    <row r="718" spans="1:3" ht="21">
      <c r="A718" s="1">
        <v>80</v>
      </c>
      <c r="B718" s="46" t="s">
        <v>103</v>
      </c>
      <c r="C718" s="37" t="s">
        <v>229</v>
      </c>
    </row>
    <row r="719" spans="3:22" ht="12.75">
      <c r="C719" s="4" t="s">
        <v>3</v>
      </c>
      <c r="J719" s="26"/>
      <c r="K719" s="26"/>
      <c r="L719" s="26"/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40">
        <v>0</v>
      </c>
      <c r="V719" s="26">
        <f>SUM(J719:U719)</f>
        <v>0</v>
      </c>
    </row>
    <row r="720" spans="3:22" ht="12.75">
      <c r="C720" s="4" t="s">
        <v>4</v>
      </c>
      <c r="J720" s="52"/>
      <c r="M720" s="52">
        <v>187.5</v>
      </c>
      <c r="V720" s="26">
        <f>SUM(J720:U720)</f>
        <v>187.5</v>
      </c>
    </row>
    <row r="721" spans="3:22" ht="13.5" thickBot="1">
      <c r="C721" s="4" t="s">
        <v>5</v>
      </c>
      <c r="J721" s="26"/>
      <c r="K721" s="26"/>
      <c r="L721" s="26"/>
      <c r="M721" s="26">
        <f>4482.47+9626.01</f>
        <v>14108.48</v>
      </c>
      <c r="N721" s="26">
        <f>4807.63+9300.85</f>
        <v>14108.48</v>
      </c>
      <c r="O721" s="26">
        <f>4513.83+9594.65</f>
        <v>14108.48</v>
      </c>
      <c r="P721" s="26">
        <f>4529.07+9579.41</f>
        <v>14108.48</v>
      </c>
      <c r="Q721" s="26">
        <f>5161.4+8947.08</f>
        <v>14108.48</v>
      </c>
      <c r="R721" s="26">
        <f>4561.78+9546.7</f>
        <v>14108.48</v>
      </c>
      <c r="S721" s="26">
        <f>4884.64+9223.84</f>
        <v>14108.48</v>
      </c>
      <c r="T721" s="26">
        <f>4593.66+9514.82</f>
        <v>14108.48</v>
      </c>
      <c r="U721" s="40">
        <f>4915.6+9192.88</f>
        <v>14108.48</v>
      </c>
      <c r="V721" s="26">
        <f>SUM(J721:U721)</f>
        <v>126976.31999999998</v>
      </c>
    </row>
    <row r="722" spans="3:22" ht="13.5" thickBot="1">
      <c r="C722" s="6" t="s">
        <v>230</v>
      </c>
      <c r="J722" s="27">
        <f aca="true" t="shared" si="146" ref="J722:V722">SUM(J719:J721)</f>
        <v>0</v>
      </c>
      <c r="K722" s="27">
        <f t="shared" si="146"/>
        <v>0</v>
      </c>
      <c r="L722" s="27">
        <f t="shared" si="146"/>
        <v>0</v>
      </c>
      <c r="M722" s="27">
        <f t="shared" si="146"/>
        <v>14295.98</v>
      </c>
      <c r="N722" s="27">
        <f t="shared" si="146"/>
        <v>14108.48</v>
      </c>
      <c r="O722" s="27">
        <f t="shared" si="146"/>
        <v>14108.48</v>
      </c>
      <c r="P722" s="27">
        <f t="shared" si="146"/>
        <v>14108.48</v>
      </c>
      <c r="Q722" s="27">
        <f t="shared" si="146"/>
        <v>14108.48</v>
      </c>
      <c r="R722" s="27">
        <f t="shared" si="146"/>
        <v>14108.48</v>
      </c>
      <c r="S722" s="27">
        <f t="shared" si="146"/>
        <v>14108.48</v>
      </c>
      <c r="T722" s="27">
        <f t="shared" si="146"/>
        <v>14108.48</v>
      </c>
      <c r="U722" s="41">
        <f t="shared" si="146"/>
        <v>14108.48</v>
      </c>
      <c r="V722" s="27">
        <f t="shared" si="146"/>
        <v>127163.81999999998</v>
      </c>
    </row>
    <row r="723" spans="3:22" ht="12.75">
      <c r="C723" s="12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8"/>
      <c r="V723" s="47"/>
    </row>
    <row r="724" spans="1:3" ht="21">
      <c r="A724" s="1">
        <f>A718+1</f>
        <v>81</v>
      </c>
      <c r="B724" s="21"/>
      <c r="C724" s="5" t="s">
        <v>231</v>
      </c>
    </row>
    <row r="725" spans="3:22" ht="12.75">
      <c r="C725" s="4" t="s">
        <v>3</v>
      </c>
      <c r="J725" s="26"/>
      <c r="K725" s="26"/>
      <c r="L725" s="26"/>
      <c r="M725" s="26"/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40">
        <v>0</v>
      </c>
      <c r="V725" s="26">
        <f>SUM(J725:U725)</f>
        <v>0</v>
      </c>
    </row>
    <row r="726" spans="3:22" ht="12.75">
      <c r="C726" s="4" t="s">
        <v>4</v>
      </c>
      <c r="J726" s="52"/>
      <c r="M726" s="52"/>
      <c r="N726">
        <v>166.67</v>
      </c>
      <c r="V726" s="26">
        <f>SUM(J726:U726)</f>
        <v>166.67</v>
      </c>
    </row>
    <row r="727" spans="3:22" ht="13.5" thickBot="1">
      <c r="C727" s="4" t="s">
        <v>5</v>
      </c>
      <c r="J727" s="26"/>
      <c r="K727" s="26"/>
      <c r="L727" s="26"/>
      <c r="M727" s="26"/>
      <c r="N727" s="26">
        <v>239449.58</v>
      </c>
      <c r="O727" s="26">
        <f>55833.33+135537.5</f>
        <v>191370.83000000002</v>
      </c>
      <c r="P727" s="26">
        <f aca="true" t="shared" si="147" ref="P727:V727">55833.33+135537.5</f>
        <v>191370.83000000002</v>
      </c>
      <c r="Q727" s="26">
        <f t="shared" si="147"/>
        <v>191370.83000000002</v>
      </c>
      <c r="R727" s="26">
        <f t="shared" si="147"/>
        <v>191370.83000000002</v>
      </c>
      <c r="S727" s="26">
        <f t="shared" si="147"/>
        <v>191370.83000000002</v>
      </c>
      <c r="T727" s="26">
        <f t="shared" si="147"/>
        <v>191370.83000000002</v>
      </c>
      <c r="U727" s="40">
        <f t="shared" si="147"/>
        <v>191370.83000000002</v>
      </c>
      <c r="V727" s="26">
        <f>SUM(J727:U727)</f>
        <v>1579045.3900000004</v>
      </c>
    </row>
    <row r="728" spans="3:22" ht="13.5" thickBot="1">
      <c r="C728" s="6" t="s">
        <v>116</v>
      </c>
      <c r="J728" s="27">
        <f aca="true" t="shared" si="148" ref="J728:V728">SUM(J725:J727)</f>
        <v>0</v>
      </c>
      <c r="K728" s="27">
        <f t="shared" si="148"/>
        <v>0</v>
      </c>
      <c r="L728" s="27">
        <f t="shared" si="148"/>
        <v>0</v>
      </c>
      <c r="M728" s="27">
        <f t="shared" si="148"/>
        <v>0</v>
      </c>
      <c r="N728" s="27">
        <f t="shared" si="148"/>
        <v>239616.25</v>
      </c>
      <c r="O728" s="27">
        <f t="shared" si="148"/>
        <v>191370.83000000002</v>
      </c>
      <c r="P728" s="27">
        <f t="shared" si="148"/>
        <v>191370.83000000002</v>
      </c>
      <c r="Q728" s="27">
        <f t="shared" si="148"/>
        <v>191370.83000000002</v>
      </c>
      <c r="R728" s="27">
        <f t="shared" si="148"/>
        <v>191370.83000000002</v>
      </c>
      <c r="S728" s="27">
        <f t="shared" si="148"/>
        <v>191370.83000000002</v>
      </c>
      <c r="T728" s="27">
        <f t="shared" si="148"/>
        <v>191370.83000000002</v>
      </c>
      <c r="U728" s="41">
        <f t="shared" si="148"/>
        <v>191370.83000000002</v>
      </c>
      <c r="V728" s="27">
        <f t="shared" si="148"/>
        <v>1579212.0600000003</v>
      </c>
    </row>
    <row r="729" spans="3:22" ht="12.75">
      <c r="C729" s="12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8"/>
      <c r="V729" s="47"/>
    </row>
    <row r="730" spans="1:22" ht="21">
      <c r="A730" s="1">
        <f>A724+1</f>
        <v>82</v>
      </c>
      <c r="B730" s="21"/>
      <c r="C730" s="5" t="s">
        <v>232</v>
      </c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8"/>
      <c r="V730" s="47"/>
    </row>
    <row r="731" spans="3:22" ht="12.75">
      <c r="C731" s="4" t="s">
        <v>3</v>
      </c>
      <c r="J731" s="26"/>
      <c r="K731" s="26"/>
      <c r="L731" s="26"/>
      <c r="M731" s="26"/>
      <c r="N731" s="26"/>
      <c r="O731" s="26"/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40">
        <v>0</v>
      </c>
      <c r="V731" s="26">
        <f>SUM(J731:U731)</f>
        <v>0</v>
      </c>
    </row>
    <row r="732" spans="3:22" ht="12.75">
      <c r="C732" s="4" t="s">
        <v>4</v>
      </c>
      <c r="J732" s="52"/>
      <c r="M732" s="52"/>
      <c r="P732" s="52">
        <v>125</v>
      </c>
      <c r="V732" s="26">
        <f>SUM(J732:U732)</f>
        <v>125</v>
      </c>
    </row>
    <row r="733" spans="3:22" ht="13.5" thickBot="1">
      <c r="C733" s="4" t="s">
        <v>5</v>
      </c>
      <c r="J733" s="26"/>
      <c r="K733" s="26"/>
      <c r="L733" s="26"/>
      <c r="M733" s="26"/>
      <c r="N733" s="26"/>
      <c r="O733" s="26"/>
      <c r="P733" s="26">
        <v>31050.67</v>
      </c>
      <c r="Q733" s="26">
        <v>31050.67</v>
      </c>
      <c r="R733" s="26">
        <v>31050.67</v>
      </c>
      <c r="S733" s="26">
        <v>31050.67</v>
      </c>
      <c r="T733" s="26">
        <v>31050.67</v>
      </c>
      <c r="U733" s="40">
        <v>31050.67</v>
      </c>
      <c r="V733" s="26">
        <f>SUM(J733:U733)</f>
        <v>186304.01999999996</v>
      </c>
    </row>
    <row r="734" spans="3:22" ht="13.5" thickBot="1">
      <c r="C734" s="6" t="s">
        <v>111</v>
      </c>
      <c r="J734" s="27">
        <f aca="true" t="shared" si="149" ref="J734:V734">SUM(J731:J733)</f>
        <v>0</v>
      </c>
      <c r="K734" s="27">
        <f t="shared" si="149"/>
        <v>0</v>
      </c>
      <c r="L734" s="27">
        <f t="shared" si="149"/>
        <v>0</v>
      </c>
      <c r="M734" s="27">
        <f t="shared" si="149"/>
        <v>0</v>
      </c>
      <c r="N734" s="27">
        <f t="shared" si="149"/>
        <v>0</v>
      </c>
      <c r="O734" s="27">
        <f t="shared" si="149"/>
        <v>0</v>
      </c>
      <c r="P734" s="27">
        <f t="shared" si="149"/>
        <v>31175.67</v>
      </c>
      <c r="Q734" s="27">
        <f t="shared" si="149"/>
        <v>31050.67</v>
      </c>
      <c r="R734" s="27">
        <f t="shared" si="149"/>
        <v>31050.67</v>
      </c>
      <c r="S734" s="27">
        <f t="shared" si="149"/>
        <v>31050.67</v>
      </c>
      <c r="T734" s="27">
        <f t="shared" si="149"/>
        <v>31050.67</v>
      </c>
      <c r="U734" s="41">
        <f t="shared" si="149"/>
        <v>31050.67</v>
      </c>
      <c r="V734" s="27">
        <f t="shared" si="149"/>
        <v>186429.01999999996</v>
      </c>
    </row>
    <row r="735" spans="3:22" ht="12.75">
      <c r="C735" s="12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8"/>
      <c r="V735" s="47"/>
    </row>
    <row r="736" spans="1:22" ht="21">
      <c r="A736" s="1">
        <f>A730+1</f>
        <v>83</v>
      </c>
      <c r="B736" s="21"/>
      <c r="C736" s="5" t="s">
        <v>233</v>
      </c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8"/>
      <c r="V736" s="47"/>
    </row>
    <row r="737" spans="3:22" ht="12.75">
      <c r="C737" s="4" t="s">
        <v>3</v>
      </c>
      <c r="J737" s="26"/>
      <c r="K737" s="26"/>
      <c r="L737" s="26"/>
      <c r="M737" s="26"/>
      <c r="N737" s="26"/>
      <c r="O737" s="26"/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40">
        <v>0</v>
      </c>
      <c r="V737" s="26">
        <f>SUM(J737:U737)</f>
        <v>0</v>
      </c>
    </row>
    <row r="738" spans="3:22" ht="12.75">
      <c r="C738" s="4" t="s">
        <v>4</v>
      </c>
      <c r="J738" s="52"/>
      <c r="M738" s="52"/>
      <c r="P738" s="52">
        <v>125</v>
      </c>
      <c r="V738" s="26">
        <f>SUM(J738:U738)</f>
        <v>125</v>
      </c>
    </row>
    <row r="739" spans="3:22" ht="13.5" thickBot="1">
      <c r="C739" s="4" t="s">
        <v>5</v>
      </c>
      <c r="J739" s="26"/>
      <c r="K739" s="26"/>
      <c r="L739" s="26"/>
      <c r="M739" s="26"/>
      <c r="N739" s="26"/>
      <c r="O739" s="26"/>
      <c r="P739" s="26">
        <v>29184.98</v>
      </c>
      <c r="Q739" s="26">
        <v>29184.98</v>
      </c>
      <c r="R739" s="26">
        <v>29184.98</v>
      </c>
      <c r="S739" s="26">
        <v>29184.98</v>
      </c>
      <c r="T739" s="26">
        <v>29184.98</v>
      </c>
      <c r="U739" s="40">
        <v>29184.98</v>
      </c>
      <c r="V739" s="26">
        <f>SUM(J739:U739)</f>
        <v>175109.88</v>
      </c>
    </row>
    <row r="740" spans="3:22" ht="13.5" thickBot="1">
      <c r="C740" s="6" t="s">
        <v>234</v>
      </c>
      <c r="J740" s="27">
        <f aca="true" t="shared" si="150" ref="J740:V740">SUM(J737:J739)</f>
        <v>0</v>
      </c>
      <c r="K740" s="27">
        <f t="shared" si="150"/>
        <v>0</v>
      </c>
      <c r="L740" s="27">
        <f t="shared" si="150"/>
        <v>0</v>
      </c>
      <c r="M740" s="27">
        <f t="shared" si="150"/>
        <v>0</v>
      </c>
      <c r="N740" s="27">
        <f t="shared" si="150"/>
        <v>0</v>
      </c>
      <c r="O740" s="27">
        <f t="shared" si="150"/>
        <v>0</v>
      </c>
      <c r="P740" s="27">
        <f t="shared" si="150"/>
        <v>29309.98</v>
      </c>
      <c r="Q740" s="27">
        <f t="shared" si="150"/>
        <v>29184.98</v>
      </c>
      <c r="R740" s="27">
        <f t="shared" si="150"/>
        <v>29184.98</v>
      </c>
      <c r="S740" s="27">
        <f t="shared" si="150"/>
        <v>29184.98</v>
      </c>
      <c r="T740" s="27">
        <f t="shared" si="150"/>
        <v>29184.98</v>
      </c>
      <c r="U740" s="41">
        <f t="shared" si="150"/>
        <v>29184.98</v>
      </c>
      <c r="V740" s="27">
        <f t="shared" si="150"/>
        <v>175234.88</v>
      </c>
    </row>
    <row r="741" spans="3:22" ht="12.75">
      <c r="C741" s="12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8"/>
      <c r="V741" s="47"/>
    </row>
    <row r="742" spans="1:22" ht="21">
      <c r="A742" s="1">
        <f>A736+1</f>
        <v>84</v>
      </c>
      <c r="B742" s="21"/>
      <c r="C742" s="5" t="s">
        <v>188</v>
      </c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8"/>
      <c r="V742" s="47"/>
    </row>
    <row r="743" spans="3:22" ht="12.75">
      <c r="C743" s="4" t="s">
        <v>3</v>
      </c>
      <c r="J743" s="26"/>
      <c r="K743" s="26"/>
      <c r="L743" s="26"/>
      <c r="M743" s="26"/>
      <c r="N743" s="26"/>
      <c r="O743" s="26"/>
      <c r="P743" s="26">
        <v>284.09</v>
      </c>
      <c r="Q743" s="26">
        <v>284.09</v>
      </c>
      <c r="R743" s="26">
        <v>284.09</v>
      </c>
      <c r="S743" s="26">
        <v>284.09</v>
      </c>
      <c r="T743" s="26">
        <v>284.09</v>
      </c>
      <c r="U743" s="40">
        <v>284.09</v>
      </c>
      <c r="V743" s="26">
        <f>SUM(J743:U743)</f>
        <v>1704.5399999999997</v>
      </c>
    </row>
    <row r="744" spans="3:22" ht="12.75">
      <c r="C744" s="4" t="s">
        <v>4</v>
      </c>
      <c r="J744" s="52"/>
      <c r="M744" s="52"/>
      <c r="P744" s="52">
        <v>125</v>
      </c>
      <c r="V744" s="26">
        <f>SUM(J744:U744)</f>
        <v>125</v>
      </c>
    </row>
    <row r="745" spans="3:22" ht="13.5" thickBot="1">
      <c r="C745" s="4" t="s">
        <v>5</v>
      </c>
      <c r="J745" s="26"/>
      <c r="K745" s="26"/>
      <c r="L745" s="26"/>
      <c r="M745" s="26"/>
      <c r="N745" s="26"/>
      <c r="O745" s="26"/>
      <c r="P745" s="26">
        <f>4583.33+10196.44</f>
        <v>14779.77</v>
      </c>
      <c r="Q745" s="26">
        <f>4583.33+10196.44</f>
        <v>14779.77</v>
      </c>
      <c r="R745" s="26">
        <f>4583.33+10196.44</f>
        <v>14779.77</v>
      </c>
      <c r="S745" s="26">
        <f>4583.33+10196.44</f>
        <v>14779.77</v>
      </c>
      <c r="T745" s="26">
        <f>4583.33+10196.44</f>
        <v>14779.77</v>
      </c>
      <c r="U745" s="40">
        <f>4583.33+10196.45</f>
        <v>14779.78</v>
      </c>
      <c r="V745" s="26">
        <f>SUM(J745:U745)</f>
        <v>88678.63</v>
      </c>
    </row>
    <row r="746" spans="3:22" ht="13.5" thickBot="1">
      <c r="C746" s="6" t="s">
        <v>189</v>
      </c>
      <c r="J746" s="27">
        <f aca="true" t="shared" si="151" ref="J746:V746">SUM(J743:J745)</f>
        <v>0</v>
      </c>
      <c r="K746" s="27">
        <f t="shared" si="151"/>
        <v>0</v>
      </c>
      <c r="L746" s="27">
        <f t="shared" si="151"/>
        <v>0</v>
      </c>
      <c r="M746" s="27">
        <f t="shared" si="151"/>
        <v>0</v>
      </c>
      <c r="N746" s="27">
        <f t="shared" si="151"/>
        <v>0</v>
      </c>
      <c r="O746" s="27">
        <f t="shared" si="151"/>
        <v>0</v>
      </c>
      <c r="P746" s="27">
        <f t="shared" si="151"/>
        <v>15188.86</v>
      </c>
      <c r="Q746" s="27">
        <f t="shared" si="151"/>
        <v>15063.86</v>
      </c>
      <c r="R746" s="27">
        <f t="shared" si="151"/>
        <v>15063.86</v>
      </c>
      <c r="S746" s="27">
        <f t="shared" si="151"/>
        <v>15063.86</v>
      </c>
      <c r="T746" s="27">
        <f t="shared" si="151"/>
        <v>15063.86</v>
      </c>
      <c r="U746" s="41">
        <f t="shared" si="151"/>
        <v>15063.87</v>
      </c>
      <c r="V746" s="27">
        <f t="shared" si="151"/>
        <v>90508.17</v>
      </c>
    </row>
    <row r="747" spans="3:22" ht="12.75">
      <c r="C747" s="12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8"/>
      <c r="V747" s="47"/>
    </row>
    <row r="748" spans="1:22" ht="21">
      <c r="A748" s="1">
        <f>A742+1</f>
        <v>85</v>
      </c>
      <c r="B748" s="21"/>
      <c r="C748" s="5" t="s">
        <v>235</v>
      </c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8"/>
      <c r="V748" s="47"/>
    </row>
    <row r="749" spans="3:22" ht="12.75">
      <c r="C749" s="4" t="s">
        <v>3</v>
      </c>
      <c r="J749" s="26"/>
      <c r="K749" s="26"/>
      <c r="L749" s="26"/>
      <c r="M749" s="26"/>
      <c r="N749" s="26"/>
      <c r="O749" s="26"/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40">
        <v>0</v>
      </c>
      <c r="V749" s="26">
        <f>SUM(J749:U749)</f>
        <v>0</v>
      </c>
    </row>
    <row r="750" spans="3:22" ht="12.75">
      <c r="C750" s="4" t="s">
        <v>4</v>
      </c>
      <c r="J750" s="52"/>
      <c r="M750" s="52"/>
      <c r="P750" s="52">
        <v>125</v>
      </c>
      <c r="V750" s="26">
        <f>SUM(J750:U750)</f>
        <v>125</v>
      </c>
    </row>
    <row r="751" spans="3:22" ht="13.5" thickBot="1">
      <c r="C751" s="4" t="s">
        <v>5</v>
      </c>
      <c r="J751" s="26"/>
      <c r="K751" s="26"/>
      <c r="L751" s="26"/>
      <c r="M751" s="26"/>
      <c r="N751" s="26"/>
      <c r="O751" s="26"/>
      <c r="P751" s="26">
        <v>0</v>
      </c>
      <c r="Q751" s="26">
        <v>0</v>
      </c>
      <c r="R751" s="26">
        <v>0</v>
      </c>
      <c r="S751" s="26">
        <v>0</v>
      </c>
      <c r="T751" s="26">
        <v>68</v>
      </c>
      <c r="U751" s="40">
        <v>68</v>
      </c>
      <c r="V751" s="26">
        <f>SUM(J751:U751)</f>
        <v>136</v>
      </c>
    </row>
    <row r="752" spans="3:22" ht="13.5" thickBot="1">
      <c r="C752" s="6" t="s">
        <v>187</v>
      </c>
      <c r="J752" s="27">
        <f aca="true" t="shared" si="152" ref="J752:V752">SUM(J749:J751)</f>
        <v>0</v>
      </c>
      <c r="K752" s="27">
        <f t="shared" si="152"/>
        <v>0</v>
      </c>
      <c r="L752" s="27">
        <f t="shared" si="152"/>
        <v>0</v>
      </c>
      <c r="M752" s="27">
        <f t="shared" si="152"/>
        <v>0</v>
      </c>
      <c r="N752" s="27">
        <f t="shared" si="152"/>
        <v>0</v>
      </c>
      <c r="O752" s="27">
        <f t="shared" si="152"/>
        <v>0</v>
      </c>
      <c r="P752" s="27">
        <f t="shared" si="152"/>
        <v>125</v>
      </c>
      <c r="Q752" s="27">
        <f t="shared" si="152"/>
        <v>0</v>
      </c>
      <c r="R752" s="27">
        <f t="shared" si="152"/>
        <v>0</v>
      </c>
      <c r="S752" s="27">
        <f t="shared" si="152"/>
        <v>0</v>
      </c>
      <c r="T752" s="27">
        <f t="shared" si="152"/>
        <v>68</v>
      </c>
      <c r="U752" s="41">
        <f t="shared" si="152"/>
        <v>68</v>
      </c>
      <c r="V752" s="27">
        <f t="shared" si="152"/>
        <v>261</v>
      </c>
    </row>
    <row r="753" spans="3:22" ht="12.75">
      <c r="C753" s="12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8"/>
      <c r="V753" s="47"/>
    </row>
    <row r="754" spans="1:22" ht="21">
      <c r="A754" s="1">
        <f>A748+1</f>
        <v>86</v>
      </c>
      <c r="B754" s="21"/>
      <c r="C754" s="5" t="s">
        <v>236</v>
      </c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8"/>
      <c r="V754" s="47"/>
    </row>
    <row r="755" spans="3:22" ht="12.75">
      <c r="C755" s="4" t="s">
        <v>3</v>
      </c>
      <c r="J755" s="26"/>
      <c r="K755" s="26"/>
      <c r="L755" s="26"/>
      <c r="M755" s="26"/>
      <c r="N755" s="26"/>
      <c r="O755" s="26"/>
      <c r="P755" s="26"/>
      <c r="Q755" s="26"/>
      <c r="R755" s="26"/>
      <c r="S755" s="26">
        <v>0</v>
      </c>
      <c r="T755" s="26">
        <v>0</v>
      </c>
      <c r="U755" s="40">
        <v>0</v>
      </c>
      <c r="V755" s="26">
        <f>SUM(J755:U755)</f>
        <v>0</v>
      </c>
    </row>
    <row r="756" spans="3:22" ht="12.75">
      <c r="C756" s="4" t="s">
        <v>4</v>
      </c>
      <c r="J756" s="52"/>
      <c r="M756" s="52"/>
      <c r="P756" s="52"/>
      <c r="S756" s="52">
        <v>62.5</v>
      </c>
      <c r="V756" s="26">
        <f>SUM(J756:U756)</f>
        <v>62.5</v>
      </c>
    </row>
    <row r="757" spans="3:22" ht="13.5" thickBot="1">
      <c r="C757" s="4" t="s">
        <v>5</v>
      </c>
      <c r="J757" s="26"/>
      <c r="K757" s="26"/>
      <c r="L757" s="26"/>
      <c r="M757" s="26"/>
      <c r="N757" s="26"/>
      <c r="O757" s="26"/>
      <c r="P757" s="26"/>
      <c r="Q757" s="26"/>
      <c r="R757" s="26"/>
      <c r="S757" s="26">
        <v>30107.09</v>
      </c>
      <c r="T757" s="26">
        <v>30107.09</v>
      </c>
      <c r="U757" s="40">
        <f>2500+23768.75</f>
        <v>26268.75</v>
      </c>
      <c r="V757" s="26">
        <f>SUM(J757:U757)</f>
        <v>86482.93</v>
      </c>
    </row>
    <row r="758" spans="3:22" ht="13.5" thickBot="1">
      <c r="C758" s="6" t="s">
        <v>237</v>
      </c>
      <c r="J758" s="27">
        <f aca="true" t="shared" si="153" ref="J758:V758">SUM(J755:J757)</f>
        <v>0</v>
      </c>
      <c r="K758" s="27">
        <f t="shared" si="153"/>
        <v>0</v>
      </c>
      <c r="L758" s="27">
        <f t="shared" si="153"/>
        <v>0</v>
      </c>
      <c r="M758" s="27">
        <f t="shared" si="153"/>
        <v>0</v>
      </c>
      <c r="N758" s="27">
        <f t="shared" si="153"/>
        <v>0</v>
      </c>
      <c r="O758" s="27">
        <f t="shared" si="153"/>
        <v>0</v>
      </c>
      <c r="P758" s="27">
        <f t="shared" si="153"/>
        <v>0</v>
      </c>
      <c r="Q758" s="27">
        <f t="shared" si="153"/>
        <v>0</v>
      </c>
      <c r="R758" s="27">
        <f t="shared" si="153"/>
        <v>0</v>
      </c>
      <c r="S758" s="27">
        <f t="shared" si="153"/>
        <v>30169.59</v>
      </c>
      <c r="T758" s="27">
        <f t="shared" si="153"/>
        <v>30107.09</v>
      </c>
      <c r="U758" s="41">
        <f t="shared" si="153"/>
        <v>26268.75</v>
      </c>
      <c r="V758" s="27">
        <f t="shared" si="153"/>
        <v>86545.43</v>
      </c>
    </row>
    <row r="759" spans="3:22" ht="12.75">
      <c r="C759" s="12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8"/>
      <c r="V759" s="47"/>
    </row>
    <row r="760" spans="1:22" ht="21">
      <c r="A760" s="1">
        <f>A754+1</f>
        <v>87</v>
      </c>
      <c r="B760" s="21"/>
      <c r="C760" s="5" t="s">
        <v>238</v>
      </c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8"/>
      <c r="V760" s="47"/>
    </row>
    <row r="761" spans="3:22" ht="12.75">
      <c r="C761" s="4" t="s">
        <v>3</v>
      </c>
      <c r="J761" s="26"/>
      <c r="K761" s="26"/>
      <c r="L761" s="26"/>
      <c r="M761" s="26"/>
      <c r="N761" s="26"/>
      <c r="O761" s="26"/>
      <c r="P761" s="26"/>
      <c r="Q761" s="26"/>
      <c r="R761" s="26"/>
      <c r="S761" s="26">
        <v>0</v>
      </c>
      <c r="T761" s="26">
        <v>0</v>
      </c>
      <c r="U761" s="40">
        <v>0</v>
      </c>
      <c r="V761" s="26">
        <f>SUM(J761:U761)</f>
        <v>0</v>
      </c>
    </row>
    <row r="762" spans="3:22" ht="12.75">
      <c r="C762" s="4" t="s">
        <v>4</v>
      </c>
      <c r="J762" s="52"/>
      <c r="M762" s="52"/>
      <c r="P762" s="52"/>
      <c r="S762" s="52">
        <v>62.5</v>
      </c>
      <c r="V762" s="26">
        <f>SUM(J762:U762)</f>
        <v>62.5</v>
      </c>
    </row>
    <row r="763" spans="3:22" ht="13.5" thickBot="1">
      <c r="C763" s="4" t="s">
        <v>5</v>
      </c>
      <c r="J763" s="26"/>
      <c r="K763" s="26"/>
      <c r="L763" s="26"/>
      <c r="M763" s="26"/>
      <c r="N763" s="26"/>
      <c r="O763" s="26"/>
      <c r="P763" s="26"/>
      <c r="Q763" s="26"/>
      <c r="R763" s="26"/>
      <c r="S763" s="26">
        <v>0</v>
      </c>
      <c r="T763" s="26">
        <v>0</v>
      </c>
      <c r="U763" s="40">
        <v>0</v>
      </c>
      <c r="V763" s="26">
        <f>SUM(J763:U763)</f>
        <v>0</v>
      </c>
    </row>
    <row r="764" spans="3:22" ht="13.5" thickBot="1">
      <c r="C764" s="6" t="s">
        <v>183</v>
      </c>
      <c r="J764" s="27">
        <f aca="true" t="shared" si="154" ref="J764:V764">SUM(J761:J763)</f>
        <v>0</v>
      </c>
      <c r="K764" s="27">
        <f t="shared" si="154"/>
        <v>0</v>
      </c>
      <c r="L764" s="27">
        <f t="shared" si="154"/>
        <v>0</v>
      </c>
      <c r="M764" s="27">
        <f t="shared" si="154"/>
        <v>0</v>
      </c>
      <c r="N764" s="27">
        <f t="shared" si="154"/>
        <v>0</v>
      </c>
      <c r="O764" s="27">
        <f t="shared" si="154"/>
        <v>0</v>
      </c>
      <c r="P764" s="27">
        <f t="shared" si="154"/>
        <v>0</v>
      </c>
      <c r="Q764" s="27">
        <f t="shared" si="154"/>
        <v>0</v>
      </c>
      <c r="R764" s="27">
        <f t="shared" si="154"/>
        <v>0</v>
      </c>
      <c r="S764" s="27">
        <f t="shared" si="154"/>
        <v>62.5</v>
      </c>
      <c r="T764" s="27">
        <f t="shared" si="154"/>
        <v>0</v>
      </c>
      <c r="U764" s="41">
        <f t="shared" si="154"/>
        <v>0</v>
      </c>
      <c r="V764" s="27">
        <f t="shared" si="154"/>
        <v>62.5</v>
      </c>
    </row>
    <row r="765" spans="3:22" ht="12.75">
      <c r="C765" s="12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8"/>
      <c r="V765" s="47"/>
    </row>
    <row r="766" spans="1:22" ht="21">
      <c r="A766" s="1">
        <f>A760+1</f>
        <v>88</v>
      </c>
      <c r="B766" s="21"/>
      <c r="C766" s="5" t="s">
        <v>239</v>
      </c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8"/>
      <c r="V766" s="47"/>
    </row>
    <row r="767" spans="3:22" ht="12.75">
      <c r="C767" s="4" t="s">
        <v>3</v>
      </c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>
        <v>1914</v>
      </c>
      <c r="U767" s="40">
        <v>1914</v>
      </c>
      <c r="V767" s="26">
        <f>SUM(J767:U767)</f>
        <v>3828</v>
      </c>
    </row>
    <row r="768" spans="3:22" ht="12.75">
      <c r="C768" s="4" t="s">
        <v>4</v>
      </c>
      <c r="J768" s="52"/>
      <c r="M768" s="52"/>
      <c r="P768" s="52"/>
      <c r="S768" s="52"/>
      <c r="T768" s="52">
        <v>41.67</v>
      </c>
      <c r="V768" s="26">
        <f>SUM(J768:U768)</f>
        <v>41.67</v>
      </c>
    </row>
    <row r="769" spans="3:22" ht="13.5" thickBot="1">
      <c r="C769" s="4" t="s">
        <v>5</v>
      </c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>
        <v>98139.59</v>
      </c>
      <c r="U769" s="40">
        <v>98139.58</v>
      </c>
      <c r="V769" s="26">
        <f>SUM(J769:U769)</f>
        <v>196279.16999999998</v>
      </c>
    </row>
    <row r="770" spans="3:22" ht="13.5" thickBot="1">
      <c r="C770" s="6" t="s">
        <v>240</v>
      </c>
      <c r="J770" s="27">
        <f aca="true" t="shared" si="155" ref="J770:V770">SUM(J767:J769)</f>
        <v>0</v>
      </c>
      <c r="K770" s="27">
        <f t="shared" si="155"/>
        <v>0</v>
      </c>
      <c r="L770" s="27">
        <f t="shared" si="155"/>
        <v>0</v>
      </c>
      <c r="M770" s="27">
        <f t="shared" si="155"/>
        <v>0</v>
      </c>
      <c r="N770" s="27">
        <f t="shared" si="155"/>
        <v>0</v>
      </c>
      <c r="O770" s="27">
        <f t="shared" si="155"/>
        <v>0</v>
      </c>
      <c r="P770" s="27">
        <f t="shared" si="155"/>
        <v>0</v>
      </c>
      <c r="Q770" s="27">
        <f t="shared" si="155"/>
        <v>0</v>
      </c>
      <c r="R770" s="27">
        <f t="shared" si="155"/>
        <v>0</v>
      </c>
      <c r="S770" s="27">
        <f t="shared" si="155"/>
        <v>0</v>
      </c>
      <c r="T770" s="27">
        <f t="shared" si="155"/>
        <v>100095.26</v>
      </c>
      <c r="U770" s="41">
        <f t="shared" si="155"/>
        <v>100053.58</v>
      </c>
      <c r="V770" s="27">
        <f t="shared" si="155"/>
        <v>200148.84</v>
      </c>
    </row>
    <row r="771" spans="3:22" ht="12.75">
      <c r="C771" s="12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8"/>
      <c r="V771" s="47"/>
    </row>
    <row r="772" spans="1:22" ht="21">
      <c r="A772" s="1">
        <f>A766+1</f>
        <v>89</v>
      </c>
      <c r="B772" s="21"/>
      <c r="C772" s="5" t="s">
        <v>241</v>
      </c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8"/>
      <c r="V772" s="47"/>
    </row>
    <row r="773" spans="3:22" ht="12.75">
      <c r="C773" s="4" t="s">
        <v>3</v>
      </c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>
        <v>0</v>
      </c>
      <c r="U773" s="40">
        <v>0</v>
      </c>
      <c r="V773" s="26">
        <f>SUM(J773:U773)</f>
        <v>0</v>
      </c>
    </row>
    <row r="774" spans="3:22" ht="12.75">
      <c r="C774" s="4" t="s">
        <v>4</v>
      </c>
      <c r="J774" s="52"/>
      <c r="M774" s="52"/>
      <c r="P774" s="52"/>
      <c r="S774" s="52"/>
      <c r="T774" s="52">
        <v>41.67</v>
      </c>
      <c r="V774" s="26">
        <f>SUM(J774:U774)</f>
        <v>41.67</v>
      </c>
    </row>
    <row r="775" spans="3:22" ht="13.5" thickBot="1">
      <c r="C775" s="4" t="s">
        <v>5</v>
      </c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>
        <v>50618.33</v>
      </c>
      <c r="U775" s="40">
        <v>50618.33</v>
      </c>
      <c r="V775" s="26">
        <f>SUM(J775:U775)</f>
        <v>101236.66</v>
      </c>
    </row>
    <row r="776" spans="3:22" ht="13.5" thickBot="1">
      <c r="C776" s="6" t="s">
        <v>163</v>
      </c>
      <c r="J776" s="27">
        <f aca="true" t="shared" si="156" ref="J776:V776">SUM(J773:J775)</f>
        <v>0</v>
      </c>
      <c r="K776" s="27">
        <f t="shared" si="156"/>
        <v>0</v>
      </c>
      <c r="L776" s="27">
        <f t="shared" si="156"/>
        <v>0</v>
      </c>
      <c r="M776" s="27">
        <f t="shared" si="156"/>
        <v>0</v>
      </c>
      <c r="N776" s="27">
        <f t="shared" si="156"/>
        <v>0</v>
      </c>
      <c r="O776" s="27">
        <f t="shared" si="156"/>
        <v>0</v>
      </c>
      <c r="P776" s="27">
        <f t="shared" si="156"/>
        <v>0</v>
      </c>
      <c r="Q776" s="27">
        <f t="shared" si="156"/>
        <v>0</v>
      </c>
      <c r="R776" s="27">
        <f t="shared" si="156"/>
        <v>0</v>
      </c>
      <c r="S776" s="27">
        <f t="shared" si="156"/>
        <v>0</v>
      </c>
      <c r="T776" s="27">
        <f t="shared" si="156"/>
        <v>50660</v>
      </c>
      <c r="U776" s="41">
        <f t="shared" si="156"/>
        <v>50618.33</v>
      </c>
      <c r="V776" s="27">
        <f t="shared" si="156"/>
        <v>101278.33</v>
      </c>
    </row>
    <row r="777" spans="3:22" ht="12.75">
      <c r="C777" s="12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8"/>
      <c r="V777" s="47"/>
    </row>
    <row r="778" spans="1:22" ht="21">
      <c r="A778" s="1">
        <f>A772+1</f>
        <v>90</v>
      </c>
      <c r="B778" s="21"/>
      <c r="C778" s="5" t="s">
        <v>245</v>
      </c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8"/>
      <c r="V778" s="47"/>
    </row>
    <row r="779" spans="3:22" ht="12.75">
      <c r="C779" s="4" t="s">
        <v>3</v>
      </c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40">
        <v>2512</v>
      </c>
      <c r="V779" s="26">
        <f>SUM(J779:U779)</f>
        <v>2512</v>
      </c>
    </row>
    <row r="780" spans="3:22" ht="12.75">
      <c r="C780" s="4" t="s">
        <v>4</v>
      </c>
      <c r="J780" s="52"/>
      <c r="M780" s="52"/>
      <c r="P780" s="52"/>
      <c r="S780" s="52"/>
      <c r="T780" s="52"/>
      <c r="U780" s="53">
        <v>20.83</v>
      </c>
      <c r="V780" s="26">
        <f>SUM(J780:U780)</f>
        <v>20.83</v>
      </c>
    </row>
    <row r="781" spans="3:22" ht="13.5" thickBot="1">
      <c r="C781" s="4" t="s">
        <v>5</v>
      </c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40">
        <v>99675.42</v>
      </c>
      <c r="V781" s="26">
        <f>SUM(J781:U781)</f>
        <v>99675.42</v>
      </c>
    </row>
    <row r="782" spans="3:22" ht="13.5" thickBot="1">
      <c r="C782" s="6" t="s">
        <v>246</v>
      </c>
      <c r="J782" s="27">
        <f aca="true" t="shared" si="157" ref="J782:V782">SUM(J779:J781)</f>
        <v>0</v>
      </c>
      <c r="K782" s="27">
        <f t="shared" si="157"/>
        <v>0</v>
      </c>
      <c r="L782" s="27">
        <f t="shared" si="157"/>
        <v>0</v>
      </c>
      <c r="M782" s="27">
        <f t="shared" si="157"/>
        <v>0</v>
      </c>
      <c r="N782" s="27">
        <f t="shared" si="157"/>
        <v>0</v>
      </c>
      <c r="O782" s="27">
        <f t="shared" si="157"/>
        <v>0</v>
      </c>
      <c r="P782" s="27">
        <f t="shared" si="157"/>
        <v>0</v>
      </c>
      <c r="Q782" s="27">
        <f t="shared" si="157"/>
        <v>0</v>
      </c>
      <c r="R782" s="27">
        <f t="shared" si="157"/>
        <v>0</v>
      </c>
      <c r="S782" s="27">
        <f t="shared" si="157"/>
        <v>0</v>
      </c>
      <c r="T782" s="27">
        <f t="shared" si="157"/>
        <v>0</v>
      </c>
      <c r="U782" s="41">
        <f t="shared" si="157"/>
        <v>102208.25</v>
      </c>
      <c r="V782" s="27">
        <f t="shared" si="157"/>
        <v>102208.25</v>
      </c>
    </row>
    <row r="783" spans="3:22" ht="12.75">
      <c r="C783" s="12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8"/>
      <c r="V783" s="47"/>
    </row>
    <row r="784" spans="1:22" ht="21">
      <c r="A784" s="1">
        <f>A778+1</f>
        <v>91</v>
      </c>
      <c r="B784" s="21"/>
      <c r="C784" s="5" t="s">
        <v>247</v>
      </c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8"/>
      <c r="V784" s="47"/>
    </row>
    <row r="785" spans="3:22" ht="12.75">
      <c r="C785" s="4" t="s">
        <v>3</v>
      </c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40">
        <v>0</v>
      </c>
      <c r="V785" s="26">
        <f>SUM(J785:U785)</f>
        <v>0</v>
      </c>
    </row>
    <row r="786" spans="3:22" ht="12.75">
      <c r="C786" s="4" t="s">
        <v>4</v>
      </c>
      <c r="J786" s="52"/>
      <c r="M786" s="52"/>
      <c r="P786" s="52"/>
      <c r="S786" s="52"/>
      <c r="T786" s="52"/>
      <c r="U786" s="53">
        <v>20.83</v>
      </c>
      <c r="V786" s="26">
        <f>SUM(J786:U786)</f>
        <v>20.83</v>
      </c>
    </row>
    <row r="787" spans="3:22" ht="13.5" thickBot="1">
      <c r="C787" s="4" t="s">
        <v>5</v>
      </c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40">
        <f>8333.33+10402</f>
        <v>18735.33</v>
      </c>
      <c r="V787" s="26">
        <f>SUM(J787:U787)</f>
        <v>18735.33</v>
      </c>
    </row>
    <row r="788" spans="3:22" ht="13.5" thickBot="1">
      <c r="C788" s="6" t="s">
        <v>159</v>
      </c>
      <c r="J788" s="27">
        <f aca="true" t="shared" si="158" ref="J788:V788">SUM(J785:J787)</f>
        <v>0</v>
      </c>
      <c r="K788" s="27">
        <f t="shared" si="158"/>
        <v>0</v>
      </c>
      <c r="L788" s="27">
        <f t="shared" si="158"/>
        <v>0</v>
      </c>
      <c r="M788" s="27">
        <f t="shared" si="158"/>
        <v>0</v>
      </c>
      <c r="N788" s="27">
        <f t="shared" si="158"/>
        <v>0</v>
      </c>
      <c r="O788" s="27">
        <f t="shared" si="158"/>
        <v>0</v>
      </c>
      <c r="P788" s="27">
        <f t="shared" si="158"/>
        <v>0</v>
      </c>
      <c r="Q788" s="27">
        <f t="shared" si="158"/>
        <v>0</v>
      </c>
      <c r="R788" s="27">
        <f t="shared" si="158"/>
        <v>0</v>
      </c>
      <c r="S788" s="27">
        <f t="shared" si="158"/>
        <v>0</v>
      </c>
      <c r="T788" s="27">
        <f t="shared" si="158"/>
        <v>0</v>
      </c>
      <c r="U788" s="41">
        <f t="shared" si="158"/>
        <v>18756.160000000003</v>
      </c>
      <c r="V788" s="27">
        <f t="shared" si="158"/>
        <v>18756.160000000003</v>
      </c>
    </row>
    <row r="789" spans="3:22" ht="12.75">
      <c r="C789" s="12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8"/>
      <c r="V789" s="47"/>
    </row>
    <row r="790" spans="1:22" ht="21">
      <c r="A790" s="1">
        <f>A784+1</f>
        <v>92</v>
      </c>
      <c r="B790" s="21"/>
      <c r="C790" s="5" t="s">
        <v>248</v>
      </c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8"/>
      <c r="V790" s="47"/>
    </row>
    <row r="791" spans="3:22" ht="12.75">
      <c r="C791" s="4" t="s">
        <v>3</v>
      </c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40">
        <v>609.5</v>
      </c>
      <c r="V791" s="26">
        <f>SUM(J791:U791)</f>
        <v>609.5</v>
      </c>
    </row>
    <row r="792" spans="3:22" ht="12.75">
      <c r="C792" s="4" t="s">
        <v>4</v>
      </c>
      <c r="J792" s="52"/>
      <c r="M792" s="52"/>
      <c r="P792" s="52"/>
      <c r="S792" s="52"/>
      <c r="T792" s="52"/>
      <c r="U792" s="53">
        <v>20.83</v>
      </c>
      <c r="V792" s="26">
        <f>SUM(J792:U792)</f>
        <v>20.83</v>
      </c>
    </row>
    <row r="793" spans="3:22" ht="13.5" thickBot="1">
      <c r="C793" s="4" t="s">
        <v>5</v>
      </c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40">
        <f>19166.67+22466.66</f>
        <v>41633.33</v>
      </c>
      <c r="V793" s="26">
        <f>SUM(J793:U793)</f>
        <v>41633.33</v>
      </c>
    </row>
    <row r="794" spans="3:22" ht="13.5" thickBot="1">
      <c r="C794" s="6" t="s">
        <v>58</v>
      </c>
      <c r="J794" s="27">
        <f aca="true" t="shared" si="159" ref="J794:V794">SUM(J791:J793)</f>
        <v>0</v>
      </c>
      <c r="K794" s="27">
        <f t="shared" si="159"/>
        <v>0</v>
      </c>
      <c r="L794" s="27">
        <f t="shared" si="159"/>
        <v>0</v>
      </c>
      <c r="M794" s="27">
        <f t="shared" si="159"/>
        <v>0</v>
      </c>
      <c r="N794" s="27">
        <f t="shared" si="159"/>
        <v>0</v>
      </c>
      <c r="O794" s="27">
        <f t="shared" si="159"/>
        <v>0</v>
      </c>
      <c r="P794" s="27">
        <f t="shared" si="159"/>
        <v>0</v>
      </c>
      <c r="Q794" s="27">
        <f t="shared" si="159"/>
        <v>0</v>
      </c>
      <c r="R794" s="27">
        <f t="shared" si="159"/>
        <v>0</v>
      </c>
      <c r="S794" s="27">
        <f t="shared" si="159"/>
        <v>0</v>
      </c>
      <c r="T794" s="27">
        <f t="shared" si="159"/>
        <v>0</v>
      </c>
      <c r="U794" s="41">
        <f t="shared" si="159"/>
        <v>42263.66</v>
      </c>
      <c r="V794" s="27">
        <f t="shared" si="159"/>
        <v>42263.66</v>
      </c>
    </row>
    <row r="795" spans="3:22" ht="12.75">
      <c r="C795" s="12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8"/>
      <c r="V795" s="47"/>
    </row>
    <row r="796" spans="3:22" ht="12.75">
      <c r="C796" s="12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8"/>
      <c r="V796" s="47"/>
    </row>
    <row r="797" ht="15.75">
      <c r="C797" s="5" t="s">
        <v>41</v>
      </c>
    </row>
    <row r="798" spans="3:22" ht="15.75">
      <c r="C798" s="4" t="s">
        <v>196</v>
      </c>
      <c r="J798" s="28">
        <f>SUM(J5,J11,J17,J23,J29,J35,J41,J47,J53,J59,J65,J71,J77,J83,J89,J95,J101,J107,J113,J119,J125,J131,J137,J143,J149,J155,J161,J167,J173,J179)+SUM(J185,J191,J197,J203,J209,J215,J221,J227,J233,J239,J245,J251,J257,J263,J269,J275,J281,J287,J293,J299,J305,J311,J317,J323,J329,J335,J341,J347,J353,J359)+SUM(J365,J371,J377,J383,J389,J395,J401,J407,J413,J419,J425,J431,J437,J443,J449,J455,J461,J467,J473,J479,J485,J491,J497,J503,J509,J515,J521,J527,J533,J539)+SUM(J545,J551,J557,J563,J569,J575,J581,J587,J593,J599,J605,J611,J617,J623,J629,J635,J641,J647,J653,J659,J665,J671,J677,J683,J689)+SUM(J695,J701,J707,J713,J719,J725,J731,J737,J743,J749,J755,J761,J767,J773)</f>
        <v>32187.17</v>
      </c>
      <c r="K798" s="28">
        <f aca="true" t="shared" si="160" ref="K798:T798">SUM(K5,K11,K17,K23,K29,K35,K41,K47,K53,K59,K65,K71,K77,K83,K89,K95,K101,K107,K113,K119,K125,K131,K137,K143,K149,K155,K161,K167,K173,K179)+SUM(K185,K191,K197,K203,K209,K215,K221,K227,K233,K239,K245,K251,K257,K263,K269,K275,K281,K287,K293,K299,K305,K311,K317,K323,K329,K335,K341,K347,K353,K359)+SUM(K365,K371,K377,K383,K389,K395,K401,K407,K413,K419,K425,K431,K437,K443,K449,K455,K461,K467,K473,K479,K485,K491,K497,K503,K509,K515,K521,K527,K533,K539)+SUM(K545,K551,K557,K563,K569,K575,K581,K587,K593,K599,K605,K611,K617,K623,K629,K635,K641,K647,K653,K659,K665,K671,K677,K683,K689)+SUM(K695,K701,K707,K713,K719,K725,K731,K737,K743,K749,K755,K761,K767,K773)</f>
        <v>32187.17</v>
      </c>
      <c r="L798" s="28">
        <f t="shared" si="160"/>
        <v>32133.83</v>
      </c>
      <c r="M798" s="28">
        <f t="shared" si="160"/>
        <v>30746.75</v>
      </c>
      <c r="N798" s="28">
        <f t="shared" si="160"/>
        <v>29344.239999999998</v>
      </c>
      <c r="O798" s="28">
        <f t="shared" si="160"/>
        <v>29344.239999999998</v>
      </c>
      <c r="P798" s="28">
        <f t="shared" si="160"/>
        <v>29487.92</v>
      </c>
      <c r="Q798" s="28">
        <f t="shared" si="160"/>
        <v>29344.769999999997</v>
      </c>
      <c r="R798" s="28">
        <f t="shared" si="160"/>
        <v>29285.649999999998</v>
      </c>
      <c r="S798" s="28">
        <f t="shared" si="160"/>
        <v>29234.370000000003</v>
      </c>
      <c r="T798" s="28">
        <f t="shared" si="160"/>
        <v>31074.199999999997</v>
      </c>
      <c r="U798" s="42">
        <f>SUM(U5,U11,U17,U23,U29,U35,U41,U47,U53,U59,U65,U71,U77,U83,U89,U95,U101,U107,U113,U119,U125,U131,U137,U143,U149,U155,U161,U167,U173,U179)+SUM(U185,U191,U197,U203,U209,U215,U221,U227,U233,U239,U245,U251,U257,U263,U269,U275,U281,U287,U293,U299,U305,U311,U317,U323,U329,U335,U341,U347,U353,U359)+SUM(U365,U371,U377,U383,U389,U395,U401,U407,U413,U419,U425,U431,U437,U443,U449,U455,U461,U467,U473,U479,U485,U491,U497,U503,U509,U515,U521,U527,U533,U539)+SUM(U545,U551,U557,U563,U569,U575,U581,U587,U593,U599,U605,U611,U617,U623,U629,U635,U641,U647,U653,U659,U665,U671,U677,U683,U689)+SUM(U695,U701,U707,U713,U719,U725,U731,U737,U743,U749,U755,U761,U767,U773,U779,U785,U791)</f>
        <v>31894.539999999997</v>
      </c>
      <c r="V798" s="28">
        <f>SUM(J798:U798)</f>
        <v>366264.85</v>
      </c>
    </row>
    <row r="799" spans="3:22" ht="15.75">
      <c r="C799" s="4" t="s">
        <v>197</v>
      </c>
      <c r="J799" s="28">
        <f>SUM(J6,J12,J18,J24,J30,J36,J42,J48,J54,J60,J66,J72,J78,J84,J90,J96,J102,J108,J114,J120,J126,J132,J138,J144,J150,J156,J162,J168,J174,J180)+SUM(J186,J192,J198,J204,J210,J216,J222,J228,J234,J240,J246,J252,J258,J264,J270,J276,J282,J288,J294,J300,J306,J312,J318,J324,J330,J336,J342,J348,J354,J360)+SUM(J366,J372,J378,J384,J390,J396,J402,J408,,J414,J420,J426,J432,J438,J444,J450,J456,J462,J468,J474,J480,J486,J492,J498,J504,J510,J516,J522,J528,J534)+SUM(J540,J546,J552,J558,J564,J570,J576,J582,J588,J594,J600,J606,J612,J618,J624,J630,J636,J642,J648,J654,J660,J666,J672,J678,J684,J690)+SUM(J696,J702,J708,J714,J720,J726,J732,J738,J744,J750,J756,J762,J768,J774)</f>
        <v>19749.989999999998</v>
      </c>
      <c r="K799" s="28">
        <f aca="true" t="shared" si="161" ref="K799:T799">SUM(K6,K12,K18,K24,K30,K36,K42,K48,K54,K60,K66,K72,K78,K84,K90,K96,K102,K108,K114,K120,K126,K132,K138,K144,K150,K156,K162,K168,K174,K180)+SUM(K186,K192,K198,K204,K210,K216,K222,K228,K234,K240,K246,K252,K258,K264,K270,K276,K282,K288,K294,K300,K306,K312,K318,K324,K330,K336,K342,K348,K354,K360)+SUM(K366,K372,K378,K384,K390,K396,K402,K408,,K414,K420,K426,K432,K438,K444,K450,K456,K462,K468,K474,K480,K486,K492,K498,K504,K510,K516,K522,K528,K534)+SUM(K540,K546,K552,K558,K564,K570,K576,K582,K588,K594,K600,K606,K612,K618,K624,K630,K636,K642,K648,K654,K660,K666,K672,K678,K684,K690)+SUM(K696,K702,K708,K714,K720,K726,K732,K738,K744,K750,K756,K762,K768,K774)</f>
        <v>0</v>
      </c>
      <c r="L799" s="28">
        <f t="shared" si="161"/>
        <v>0</v>
      </c>
      <c r="M799" s="28">
        <f t="shared" si="161"/>
        <v>562.5</v>
      </c>
      <c r="N799" s="28">
        <f t="shared" si="161"/>
        <v>166.67</v>
      </c>
      <c r="O799" s="28">
        <f t="shared" si="161"/>
        <v>0</v>
      </c>
      <c r="P799" s="28">
        <f t="shared" si="161"/>
        <v>500</v>
      </c>
      <c r="Q799" s="28">
        <f t="shared" si="161"/>
        <v>0</v>
      </c>
      <c r="R799" s="28">
        <f t="shared" si="161"/>
        <v>0</v>
      </c>
      <c r="S799" s="28">
        <f t="shared" si="161"/>
        <v>125</v>
      </c>
      <c r="T799" s="28">
        <f t="shared" si="161"/>
        <v>83.34</v>
      </c>
      <c r="U799" s="42">
        <f>SUM(U6,U12,U18,U24,U30,U36,U42,U48,U54,U60,U66,U72,U78,U84,U90,U96,U102,U108,U114,U120,U126,U132,U138,U144,U150,U156,U162,U168,U174,U180)+SUM(U186,U192,U198,U204,U210,U216,U222,U228,U234,U240,U246,U252,U258,U264,U270,U276,U282,U288,U294,U300,U306,U312,U318,U324,U330,U336,U342,U348,U354,U360)+SUM(U366,U372,U378,U384,U390,U396,U402,U408,,U414,U420,U426,U432,U438,U444,U450,U456,U462,U468,U474,U480,U486,U492,U498,U504,U510,U516,U522,U528,U534)+SUM(U540,U546,U552,U558,U564,U570,U576,U582,U588,U594,U600,U606,U612,U618,U624,U630,U636,U642,U648,U654,U660,U666,U672,U678,U684,U690)+SUM(U696,U702,U708,U714,U720,U726,U732,U738,U744,U750,U756,U762,U768,U774,U780,U786,U792)</f>
        <v>62.489999999999995</v>
      </c>
      <c r="V799" s="28">
        <f>SUM(J799:U799)</f>
        <v>21249.989999999998</v>
      </c>
    </row>
    <row r="800" spans="3:22" ht="15.75">
      <c r="C800" s="4" t="s">
        <v>198</v>
      </c>
      <c r="J800" s="28">
        <f>SUM(J7,J13,J19,J25,J31,J37,J43,J49,J55,J61,J67,J73,J79,J85,J91,J97,J103,J109,J115,J121,J127,J133,J139,J145,J151,J157,J163,J169,J175,J181)+SUM(J187,J193,J199,J205,J211,J217,J223,J229,J235,J241,J247,J253,J259,J265,J271,J277,J283,J289,J295,J301,J307,J313,J319,J325,J331,J337,J343,J349,J355,J361)+SUM(J367,J373,J379,J385,J391,J397,J403,J409,J415,J421,J427,J433,J439,J445,J451,J457,J463,J469,J475,J481,J487,J493,J499,J505,J511,J517,J523,J529,J535,J541)+SUM(J547,J553,J559,J565,J571,J577,J583,J589,J595,J601,J607,J613,J619,J625,J631,J637,J643,J649,J655,J661,J667,J673,J679,J685,J691)+SUM(J697,J703,J709,J715,J721,J727,J733,J739,J745,J751,J757,J763,J769,J775)</f>
        <v>4522311.32</v>
      </c>
      <c r="K800" s="28">
        <f aca="true" t="shared" si="162" ref="K800:T801">SUM(K7,K13,K19,K25,K31,K37,K43,K49,K55,K61,K67,K73,K79,K85,K91,K97,K103,K109,K115,K121,K127,K133,K139,K145,K151,K157,K163,K169,K175,K181)+SUM(K187,K193,K199,K205,K211,K217,K223,K229,K235,K241,K247,K253,K259,K265,K271,K277,K283,K289,K295,K301,K307,K313,K319,K325,K331,K337,K343,K349,K355,K361)+SUM(K367,K373,K379,K385,K391,K397,K403,K409,K415,K421,K427,K433,K439,K445,K451,K457,K463,K469,K475,K481,K487,K493,K499,K505,K511,K517,K523,K529,K535,K541)+SUM(K547,K553,K559,K565,K571,K577,K583,K589,K595,K601,K607,K613,K619,K625,K631,K637,K643,K649,K655,K661,K667,K673,K679,K685,K691)+SUM(K697,K703,K709,K715,K721,K727,K733,K739,K745,K751,K757,K763,K769,K775)</f>
        <v>4562298.84</v>
      </c>
      <c r="L800" s="28">
        <f t="shared" si="162"/>
        <v>4556289.220000001</v>
      </c>
      <c r="M800" s="28">
        <f t="shared" si="162"/>
        <v>4474925.53</v>
      </c>
      <c r="N800" s="28">
        <f t="shared" si="162"/>
        <v>4599452.83</v>
      </c>
      <c r="O800" s="28">
        <f t="shared" si="162"/>
        <v>4678453.97</v>
      </c>
      <c r="P800" s="28">
        <f t="shared" si="162"/>
        <v>4687287.98</v>
      </c>
      <c r="Q800" s="28">
        <f t="shared" si="162"/>
        <v>4649727.21</v>
      </c>
      <c r="R800" s="28">
        <f t="shared" si="162"/>
        <v>4658243.62</v>
      </c>
      <c r="S800" s="28">
        <f t="shared" si="162"/>
        <v>4689961.62</v>
      </c>
      <c r="T800" s="28">
        <f t="shared" si="162"/>
        <v>4820769.08</v>
      </c>
      <c r="U800" s="42">
        <f>SUM(U7,U13,U19,U25,U31,U37,U43,U49,U55,U61,U67,U73,U79,U85,U91,U97,U103,U109,U115,U121,U127,U133,U139,U145,U151,U157,U163,U169,U175,U181)+SUM(U187,U193,U199,U205,U211,U217,U223,U229,U235,U241,U247,U253,U259,U265,U271,U277,U283,U289,U295,U301,U307,U313,U319,U325,U331,U337,U343,U349,U355,U361)+SUM(U367,U373,U379,U385,U391,U397,U403,U409,U415,U421,U427,U433,U439,U445,U451,U457,U463,U469,U475,U481,U487,U493,U499,U505,U511,U517,U523,U529,U535,U541)+SUM(U547,U553,U559,U565,U571,U577,U583,U589,U595,U601,U607,U613,U619,U625,U631,U637,U643,U649,U655,U661,U667,U673,U679,U685,U691)+SUM(U697,U703,U709,U715,U721,U727,U733,U739,U745,U751,U757,U763,U769,U775,U781,U787,U793)</f>
        <v>4832244.41</v>
      </c>
      <c r="V800" s="28">
        <f>SUM(J800:U800)</f>
        <v>55731965.629999995</v>
      </c>
    </row>
    <row r="801" spans="3:22" ht="15.75">
      <c r="C801" s="22" t="s">
        <v>199</v>
      </c>
      <c r="J801" s="28">
        <f>SUM(J8,J14,J20,J26,J32,J38,J44,J50,J56,J62,J68,J74,J80,J86,J92,J98,J104,J110,J116,J122,J128,J134,J140,J146,J152,J158,J164,J170,J176,J182)+SUM(J188,J194,J200,J206,J212,J218,J224,J230,J236,J242,J248,J254,J260,J266,J272,J278,J284,J290,J296,J302,J308,J314,J320,J326,J332,J338,J344,J350,J356,J362)+SUM(J368,J374,J380,J386,J392,J398,J404,J410,J416,J422,J428,J434,J440,J446,J452,J458,J464,J470,J476,J482,J488,J494,J500,J506,J512,J518,J524,J530,J536,J542)+SUM(J548,J554,J560,J566,J572,J578,J584,J590,J596,J602,J608,J614,J620,J626,J632,J638,J644,J650,J656,J662,J668,J674,J680,J686,J692)+SUM(J698,J704,J710,J716,J722,J728,J734,J740,J746,J752,J758,J764,J770,J776)</f>
        <v>4574248.48</v>
      </c>
      <c r="K801" s="28">
        <f t="shared" si="162"/>
        <v>4594486.010000001</v>
      </c>
      <c r="L801" s="28">
        <f t="shared" si="162"/>
        <v>4588423.050000001</v>
      </c>
      <c r="M801" s="28">
        <f t="shared" si="162"/>
        <v>4506234.78</v>
      </c>
      <c r="N801" s="28">
        <f t="shared" si="162"/>
        <v>4628963.74</v>
      </c>
      <c r="O801" s="28">
        <f t="shared" si="162"/>
        <v>4707798.21</v>
      </c>
      <c r="P801" s="28">
        <f t="shared" si="162"/>
        <v>4717275.9</v>
      </c>
      <c r="Q801" s="28">
        <f t="shared" si="162"/>
        <v>4679071.98</v>
      </c>
      <c r="R801" s="28">
        <f t="shared" si="162"/>
        <v>4687529.2700000005</v>
      </c>
      <c r="S801" s="28">
        <f t="shared" si="162"/>
        <v>4719320.99</v>
      </c>
      <c r="T801" s="28">
        <f t="shared" si="162"/>
        <v>4851926.62</v>
      </c>
      <c r="U801" s="42">
        <f>SUM(U8,U14,U20,U26,U32,U38,U44,U50,U56,U62,U68,U74,U80,U86,U92,U98,U104,U110,U116,U122,U128,U134,U140,U146,U152,U158,U164,U170,U176,U182)+SUM(U188,U194,U200,U206,U212,U218,U224,U230,U236,U242,U248,U254,U260,U266,U272,U278,U284,U290,U296,U302,U308,U314,U320,U326,U332,U338,U344,U350,U356,U362)+SUM(U368,U374,U380,U386,U392,U398,U404,U410,U416,U422,U428,U434,U440,U446,U452,U458,U464,U470,U476,U482,U488,U494,U500,U506,U512,U518,U524,U530,U536,U542)+SUM(U548,U554,U560,U566,U572,U578,U584,U590,U596,U602,U608,U614,U620,U626,U632,U638,U644,U650,U656,U662,U668,U674,U680,U686,U692)+SUM(U698,U704,U710,U716,U722,U728,U734,U740,U746,U752,U758,U764,U770,U776,U782,U788,U794)</f>
        <v>4864201.4399999995</v>
      </c>
      <c r="V801" s="28">
        <f>SUM(J801:U801)</f>
        <v>56119480.470000006</v>
      </c>
    </row>
    <row r="802" ht="12.75">
      <c r="C802" s="4"/>
    </row>
    <row r="803" spans="2:3" ht="21">
      <c r="B803" s="7" t="s">
        <v>104</v>
      </c>
      <c r="C803" s="23" t="s">
        <v>84</v>
      </c>
    </row>
    <row r="804" spans="2:3" ht="21">
      <c r="B804" s="9" t="s">
        <v>105</v>
      </c>
      <c r="C804" s="24" t="s">
        <v>61</v>
      </c>
    </row>
    <row r="805" spans="2:3" ht="21">
      <c r="B805" s="31" t="s">
        <v>103</v>
      </c>
      <c r="C805" s="35" t="s">
        <v>56</v>
      </c>
    </row>
    <row r="806" ht="12.75">
      <c r="C806" s="4"/>
    </row>
    <row r="807" ht="12.75">
      <c r="C807" s="4"/>
    </row>
    <row r="808" spans="3:14" ht="12.75">
      <c r="C808" s="4"/>
      <c r="L808" s="50" t="s">
        <v>242</v>
      </c>
      <c r="M808" s="51" t="s">
        <v>243</v>
      </c>
      <c r="N808" s="51" t="s">
        <v>244</v>
      </c>
    </row>
    <row r="809" spans="3:14" ht="12.75">
      <c r="C809" s="4"/>
      <c r="L809" s="50"/>
      <c r="M809" s="51"/>
      <c r="N809" s="51"/>
    </row>
    <row r="810" spans="3:14" ht="12.75">
      <c r="C810" s="4"/>
      <c r="L810" s="50"/>
      <c r="M810" s="51"/>
      <c r="N810" s="51"/>
    </row>
    <row r="811" spans="3:14" ht="12.75">
      <c r="C811" s="4"/>
      <c r="L811" s="50"/>
      <c r="M811" s="51"/>
      <c r="N811" s="51"/>
    </row>
    <row r="812" spans="3:14" ht="12.75">
      <c r="C812" s="4"/>
      <c r="L812" s="50"/>
      <c r="M812" s="51"/>
      <c r="N812" s="51"/>
    </row>
    <row r="813" spans="3:14" ht="12.75">
      <c r="C813" s="4"/>
      <c r="L813" s="50"/>
      <c r="M813" s="49"/>
      <c r="N813" s="51"/>
    </row>
    <row r="814" spans="3:14" ht="12.75">
      <c r="C814" s="4"/>
      <c r="L814" s="50"/>
      <c r="M814" s="49"/>
      <c r="N814" s="49"/>
    </row>
    <row r="815" spans="3:14" ht="12.75">
      <c r="C815" s="4"/>
      <c r="L815" s="50"/>
      <c r="M815" s="49"/>
      <c r="N815" s="49"/>
    </row>
    <row r="816" spans="3:14" ht="12.75">
      <c r="C816" s="4"/>
      <c r="L816" s="50"/>
      <c r="M816" s="49"/>
      <c r="N816" s="49"/>
    </row>
    <row r="817" spans="3:12" ht="12.75">
      <c r="C817" s="4"/>
      <c r="L817" s="50"/>
    </row>
    <row r="818" spans="3:12" ht="12.75">
      <c r="C818" s="4"/>
      <c r="L818" s="50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</sheetData>
  <sheetProtection/>
  <mergeCells count="3">
    <mergeCell ref="L808:L818"/>
    <mergeCell ref="M808:M812"/>
    <mergeCell ref="N808:N813"/>
  </mergeCells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jozwiakc</cp:lastModifiedBy>
  <cp:lastPrinted>2005-05-31T15:38:03Z</cp:lastPrinted>
  <dcterms:created xsi:type="dcterms:W3CDTF">2005-05-31T15:34:27Z</dcterms:created>
  <dcterms:modified xsi:type="dcterms:W3CDTF">2016-06-07T17:11:24Z</dcterms:modified>
  <cp:category/>
  <cp:version/>
  <cp:contentType/>
  <cp:contentStatus/>
</cp:coreProperties>
</file>