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payment summary" sheetId="1" r:id="rId1"/>
  </sheets>
  <externalReferences>
    <externalReference r:id="rId4"/>
  </externalReferences>
  <definedNames>
    <definedName name="_Fill" hidden="1">#REF!</definedName>
    <definedName name="_xlnm.Print_Area" localSheetId="0">'payment summary'!#REF!</definedName>
  </definedNames>
  <calcPr fullCalcOnLoad="1"/>
</workbook>
</file>

<file path=xl/sharedStrings.xml><?xml version="1.0" encoding="utf-8"?>
<sst xmlns="http://schemas.openxmlformats.org/spreadsheetml/2006/main" count="1134" uniqueCount="432">
  <si>
    <t>CHARTER SCHOOL DEBT RESERVE, INTERCEPT AND TREASURY FEE PAYMENTS</t>
  </si>
  <si>
    <t>CRS 22-30.5-406 AND 22-30.5-407</t>
  </si>
  <si>
    <t>Classical (#1627104004A)</t>
  </si>
  <si>
    <t>Debt Reserve</t>
  </si>
  <si>
    <t>Treasury Fee</t>
  </si>
  <si>
    <t>Intercept</t>
  </si>
  <si>
    <t>Total for Classical</t>
  </si>
  <si>
    <t>Pinnacle (#6950002004A)</t>
  </si>
  <si>
    <t>Total for Pinnacle</t>
  </si>
  <si>
    <t>Pioneer (#0145155004A)</t>
  </si>
  <si>
    <t>Total for Pioneer</t>
  </si>
  <si>
    <t>Total for Leadership Academy</t>
  </si>
  <si>
    <t>Liberty Common (#5120155004A)</t>
  </si>
  <si>
    <t>Total for Liberty Common</t>
  </si>
  <si>
    <t>Cheyenne Mountain (#1582102004A)</t>
  </si>
  <si>
    <t>Total for Cheyenne Mountain</t>
  </si>
  <si>
    <t>Total for Excel Academy</t>
  </si>
  <si>
    <t>Challenge to Excellence (#1512090004A)</t>
  </si>
  <si>
    <t>Total for Challenge to Excellence</t>
  </si>
  <si>
    <t>Montessori Peaks (#5994142004A)</t>
  </si>
  <si>
    <t>Total for Montessori Peaks</t>
  </si>
  <si>
    <t>Peak to Peak (#6816048004A)</t>
  </si>
  <si>
    <t>Total for Peak to Peak</t>
  </si>
  <si>
    <t>Collegiate Academy (#7701142004A)</t>
  </si>
  <si>
    <t>Total for Collegiate Academy</t>
  </si>
  <si>
    <t>Academy of Charter Schools (#0015002004A)</t>
  </si>
  <si>
    <t>Total for Academy of Charter Schools</t>
  </si>
  <si>
    <t>University Lab Charter School (#2850312005A)</t>
  </si>
  <si>
    <t>Total for University Lab Charter School</t>
  </si>
  <si>
    <t>James Irwin Charter High School (#4378098005A)</t>
  </si>
  <si>
    <t>Total for James Irwin Charter High School</t>
  </si>
  <si>
    <t>James Irwin Charter Middle School (#4378098005A)</t>
  </si>
  <si>
    <t>Total for James Irwin Charter Middle School</t>
  </si>
  <si>
    <t>Aurora Academy Charter School (#0458018005A)</t>
  </si>
  <si>
    <t>Total for Aurora Academy Charter School</t>
  </si>
  <si>
    <t>Platte River Academy Charter School (#7047090005A)</t>
  </si>
  <si>
    <t>Total for Platte River Academy Charter School</t>
  </si>
  <si>
    <t>Total for Elbert County Charter School</t>
  </si>
  <si>
    <t>Woodrow Wilson Charter School (#9427142005A)</t>
  </si>
  <si>
    <t>Total for Woodrow Wilson Charter School</t>
  </si>
  <si>
    <t>Total for Bromley East Charter School</t>
  </si>
  <si>
    <t>Summary</t>
  </si>
  <si>
    <t>Bromley East Charter School (#1052004005A)</t>
  </si>
  <si>
    <t>Lincoln Academy Charter School (#5145142005A)</t>
  </si>
  <si>
    <t>Total for Lincoln Academy Charter School</t>
  </si>
  <si>
    <t>Excel Academy Charter School (#2799142005A)</t>
  </si>
  <si>
    <t>Total for Excel Academy Charter School</t>
  </si>
  <si>
    <t>Ridgeview Charter School (#0146155005A)</t>
  </si>
  <si>
    <t>Total for Ridgeview Charter School</t>
  </si>
  <si>
    <t>Knowledge Quest Academy (#4785311006A)</t>
  </si>
  <si>
    <t>Total for Knowledge Quest Academy</t>
  </si>
  <si>
    <t>Stargate Charter School (#1519002006A)</t>
  </si>
  <si>
    <t>Total for Stargate Charter School</t>
  </si>
  <si>
    <t>Total for Northern Colorado Academy of Arts</t>
  </si>
  <si>
    <t>Leadership Academy (#5033099004A)</t>
  </si>
  <si>
    <t>Northern Colorado Academy of Arts (#0657999907A)</t>
  </si>
  <si>
    <t>Academy Charter School (#0011090007A)</t>
  </si>
  <si>
    <t>Total for Academy Charter School</t>
  </si>
  <si>
    <t>Cheyenne Mountain Charter School (#1582102007A)</t>
  </si>
  <si>
    <t>Total for Cheyenne Mountain Charter School</t>
  </si>
  <si>
    <t>Advance refunded</t>
  </si>
  <si>
    <t>Frontier Academy (#1875312007A)</t>
  </si>
  <si>
    <t>Total for Frontier Academy</t>
  </si>
  <si>
    <t>Banning Lewis Ranch Academy (#0555111007A)</t>
  </si>
  <si>
    <t>Total for Banning Lewis Ranch Academy</t>
  </si>
  <si>
    <t>Stargate School (#1519002007A)</t>
  </si>
  <si>
    <t>Total for Stargate School</t>
  </si>
  <si>
    <t>Total for Brighton Charter School</t>
  </si>
  <si>
    <t>Montessori Peaks (#5994142007A)</t>
  </si>
  <si>
    <t>Carbon Valley Academy (#1284047007A)</t>
  </si>
  <si>
    <t>Total for Carbon Valley Academy</t>
  </si>
  <si>
    <t>Littleton Academy Charter School (#5229014007A)</t>
  </si>
  <si>
    <t>Total for Littleton Academy Charter School</t>
  </si>
  <si>
    <t>Union Colony Charter School (#8965312007A)</t>
  </si>
  <si>
    <t>Total for Union Colony Charter School</t>
  </si>
  <si>
    <t>Cesar Chavez Academy (#1488269007A)</t>
  </si>
  <si>
    <t>Total for Cesar Chavez Academy</t>
  </si>
  <si>
    <t>Belle Creek Charter School (#0700004008A)</t>
  </si>
  <si>
    <t>Total for Belle Creek Charter School</t>
  </si>
  <si>
    <t>James Irwin Charter High School (#4378098008A)</t>
  </si>
  <si>
    <t>James Irwin Charter Middle School (#4379098008A)</t>
  </si>
  <si>
    <t>James Irwin Charter Elementary School (#4380098008A)</t>
  </si>
  <si>
    <t>Total for James Irwin Charter Elementary School</t>
  </si>
  <si>
    <t>SD revoked charter / Charter closed</t>
  </si>
  <si>
    <t>Northeast Academy Charter School (#6394088008A)</t>
  </si>
  <si>
    <t>Total for Northeast Academy Charter School</t>
  </si>
  <si>
    <t>Excel Academy (#2799142004A)</t>
  </si>
  <si>
    <t>Windsor Charter Academy (#9665310008A)</t>
  </si>
  <si>
    <t>Total for Windsor Charter Academy</t>
  </si>
  <si>
    <t>James Madison Charter Academy (#5033099008A)</t>
  </si>
  <si>
    <t>Total for James Madison Charter Academy</t>
  </si>
  <si>
    <t>Challenge to Excellence Charter School (#1512090008A)</t>
  </si>
  <si>
    <t>Total for Challenge to Excellence Charter School</t>
  </si>
  <si>
    <t>Total for 21st Century Charter School at Colorado Springs</t>
  </si>
  <si>
    <t>Monument Academy (#5093108008A)</t>
  </si>
  <si>
    <t>Total for Monument Academy</t>
  </si>
  <si>
    <t>Challenges, Choices and Images (#1606088008A)</t>
  </si>
  <si>
    <t>Total for Challenges, Choices and Images</t>
  </si>
  <si>
    <t>Cheyenne Mountain Charter Academy (#1582102008A)</t>
  </si>
  <si>
    <t>Total for Cheyenne Mountain Charter Academy</t>
  </si>
  <si>
    <t>Community Leadership Academy (#1882003008A)</t>
  </si>
  <si>
    <t>Total for Community Leadership Academy</t>
  </si>
  <si>
    <t>***</t>
  </si>
  <si>
    <t>*</t>
  </si>
  <si>
    <t>**</t>
  </si>
  <si>
    <t>New Vision Charter School (#6220156008A)</t>
  </si>
  <si>
    <t>Total for New Vision Charter School</t>
  </si>
  <si>
    <t>Rocky Mountain Academy of Evergreen (#7462142009A)</t>
  </si>
  <si>
    <t>Total for Rocky Mountain Academy of Evergreen</t>
  </si>
  <si>
    <t>Pikes Peak School of Expeditionary Learning (#6935111009A)</t>
  </si>
  <si>
    <t>Total for Pikes Peak of Expeditionary Learning</t>
  </si>
  <si>
    <t>Flagstaff Academy Charter School (#2964047009A)</t>
  </si>
  <si>
    <t>Total for Flagstaff Academy Charter School</t>
  </si>
  <si>
    <t>Academy of Charter Schools (#0015002009A)</t>
  </si>
  <si>
    <t>American Academy (#0215090009A)</t>
  </si>
  <si>
    <t>Total for American Academy</t>
  </si>
  <si>
    <t>North Star Academy (#1579090009A)</t>
  </si>
  <si>
    <t>Total for North Star Academy</t>
  </si>
  <si>
    <t>Twin Peaks Charter Academy (#8927047009A)</t>
  </si>
  <si>
    <t>Total for Twin Peaks Charter Academy</t>
  </si>
  <si>
    <t>The Classical Academy (#1627104009A)</t>
  </si>
  <si>
    <t>Total for The Classical Academy</t>
  </si>
  <si>
    <t>Monument Academy (#5093108009A)</t>
  </si>
  <si>
    <t>Total for Cesar Chavez Academy Denver</t>
  </si>
  <si>
    <t>Cesar Chavez Academy Denver (previously DATA) (#2182088004A)</t>
  </si>
  <si>
    <t>Crown Pointe Academy (#2035007010A)</t>
  </si>
  <si>
    <t>Total for Crown Pointe Academy</t>
  </si>
  <si>
    <t>Pinnacle Charter School (#6914999910A)</t>
  </si>
  <si>
    <t>Total for Pinnacle Charter School</t>
  </si>
  <si>
    <t>High Point Academy (#0655999910A)</t>
  </si>
  <si>
    <t>Total for High Point Academy</t>
  </si>
  <si>
    <t>Colorado Springs Charter Academy (#1791999910A)</t>
  </si>
  <si>
    <t>Total for Colorado Springs Charter Academy</t>
  </si>
  <si>
    <t>Eagle Ridge Academy (previously Brighton Charter School) (#1027004007A)</t>
  </si>
  <si>
    <t>Free Horizon Montessori (#3201142011A)</t>
  </si>
  <si>
    <t>Total for Free Horizon Montessori</t>
  </si>
  <si>
    <t>Parker Core Knowledge (#1873090004A)</t>
  </si>
  <si>
    <t>Total for Parker Core Knowledge</t>
  </si>
  <si>
    <t>Parker Core Knowledge (#1873090011A)</t>
  </si>
  <si>
    <t>Academy of Charter Schools (The Academy) (#0015002011A)</t>
  </si>
  <si>
    <t>Total for The Academy</t>
  </si>
  <si>
    <t>Caprock Academy (#1279999911A)</t>
  </si>
  <si>
    <t>Total for Caprock Academy</t>
  </si>
  <si>
    <t>Highline Academy Charter School (#3987088011A)</t>
  </si>
  <si>
    <t>Total for Highline Academy Charter School</t>
  </si>
  <si>
    <t>Global Village Academy (#3471018011A)</t>
  </si>
  <si>
    <t>Total for Global Village Academy</t>
  </si>
  <si>
    <t>Rocky Mountain Academy of Evergreen (#7462142011A)</t>
  </si>
  <si>
    <t>Twin Peaks Charter Academy (#8927047011A)</t>
  </si>
  <si>
    <t>Liberty Common Charter School (#5120155012A)</t>
  </si>
  <si>
    <t>Total for Liberty Common Charter School</t>
  </si>
  <si>
    <t>Union Colony Charter School (#8965312012A)</t>
  </si>
  <si>
    <t>Cherry Creek Academy Inc. (#1571013012A)</t>
  </si>
  <si>
    <t>Total for Cherry Creek Academy Inc.</t>
  </si>
  <si>
    <t>Jefferson Academy (#4402142012A)</t>
  </si>
  <si>
    <t>Total for Jefferson Academy</t>
  </si>
  <si>
    <t>Legacy Academy (formerly Elbert County Charter School) (#2572092005A)</t>
  </si>
  <si>
    <t>Pikes Peak Prep (formerly 21st Century Charter School) (#8929999908A)</t>
  </si>
  <si>
    <t>Total for STEM School</t>
  </si>
  <si>
    <t>Skyview Academy (#6365090013A)</t>
  </si>
  <si>
    <t>Total for Skyview Academy</t>
  </si>
  <si>
    <t>Westgate Community School (#9431002013A)</t>
  </si>
  <si>
    <t>Total for Westgate Community School</t>
  </si>
  <si>
    <t>DCS Montessori Charter School (#5997090013A)</t>
  </si>
  <si>
    <t>Total for DCS Montessori Charter School</t>
  </si>
  <si>
    <t>Mountain Phoenix Community School (#6139142013A)</t>
  </si>
  <si>
    <t>Total for Mountain Phoenix Community School</t>
  </si>
  <si>
    <t>University Laboratory School (#2850312013A)</t>
  </si>
  <si>
    <t>Total for University Laboratory School</t>
  </si>
  <si>
    <t>American Academy (#0215090013A)</t>
  </si>
  <si>
    <t>Littleton Preparatory Charter School (#5233014013A)</t>
  </si>
  <si>
    <t>Total for Littleton Preparatory Charter School</t>
  </si>
  <si>
    <t>Pinnacle Charter School (#0654800113A)</t>
  </si>
  <si>
    <t>Lincoln Academy (#5145142013A)</t>
  </si>
  <si>
    <t>Total for Lincoln Academy</t>
  </si>
  <si>
    <t>Aurora Academy (#0458018013A)</t>
  </si>
  <si>
    <t>Total for Aurora Academy</t>
  </si>
  <si>
    <t>Cesar Chavez Academy Denver (#1345088014A)</t>
  </si>
  <si>
    <t>Community Leadership Academy (#1882800114A)</t>
  </si>
  <si>
    <r>
      <t xml:space="preserve">STEM School (#5259090013A) </t>
    </r>
    <r>
      <rPr>
        <b/>
        <i/>
        <sz val="12"/>
        <rFont val="Arial"/>
        <family val="2"/>
      </rPr>
      <t>THIS PAYMENT COMBINED W/ SERIES 2013 BELOW</t>
    </r>
  </si>
  <si>
    <t>STEM School (#5259090014A)  [Combined 2012A&amp;B and 2013A&amp;B]</t>
  </si>
  <si>
    <t>Prospect Ridge Academy (#6802002014A)</t>
  </si>
  <si>
    <t>Total for Prospect Ridge Academy</t>
  </si>
  <si>
    <t>Rocky Mountain Classical Academy (#7463111014A)</t>
  </si>
  <si>
    <t>Total for Rocky Mountain Classical Academy</t>
  </si>
  <si>
    <t>Monarch Montessori (#5621088014A)</t>
  </si>
  <si>
    <t>Total for Monarch Montessori</t>
  </si>
  <si>
    <t>Liberty Common School (#5120155014A)</t>
  </si>
  <si>
    <t>Total for Liberty Common School</t>
  </si>
  <si>
    <t>Ridgeview Classical Schools (#0146155015A)</t>
  </si>
  <si>
    <t>Total for Ridgeview Classical Schools</t>
  </si>
  <si>
    <t>Swallows Charter Academy (#8420270015A)</t>
  </si>
  <si>
    <t>Total for Swallows Charter Academy</t>
  </si>
  <si>
    <t>Skyview Academy (#6365090015A)</t>
  </si>
  <si>
    <t>Peak to Peak (#6816048015A)</t>
  </si>
  <si>
    <t>Debt Reserve  (8040 WAAA)</t>
  </si>
  <si>
    <t>Treasury Fee  (17F0 WAAA)</t>
  </si>
  <si>
    <t>Intercept  (9410 WAAA)</t>
  </si>
  <si>
    <r>
      <t>Total for all payments</t>
    </r>
    <r>
      <rPr>
        <sz val="10"/>
        <rFont val="Arial"/>
        <family val="2"/>
      </rPr>
      <t xml:space="preserve">  (1130 DAAA)</t>
    </r>
  </si>
  <si>
    <t>Twin Peaks Charter Academy (#8927047015A)</t>
  </si>
  <si>
    <t>Independence Academy (#2128200015A)</t>
  </si>
  <si>
    <t>Total for Independence Academy</t>
  </si>
  <si>
    <t>Jefferson Academy (#4402142015A)</t>
  </si>
  <si>
    <t>STEM School (#5259090015A)</t>
  </si>
  <si>
    <t>Global Village Academy (#3471018015A)</t>
  </si>
  <si>
    <t>Classical Academy (#1627104015A)</t>
  </si>
  <si>
    <t>Total for Classical Academy</t>
  </si>
  <si>
    <t>Classical Academy (#1627104015B)</t>
  </si>
  <si>
    <t>University Laboratory School (#2850312015A)</t>
  </si>
  <si>
    <t>Total for University Labortory School</t>
  </si>
  <si>
    <t>Atlas Prepatory School (#0469098015A)</t>
  </si>
  <si>
    <t>Total for Atlas Prepatory School</t>
  </si>
  <si>
    <t>Stargate Charter School (#1519002015A)</t>
  </si>
  <si>
    <t>Aspen Ridge School (#0071047015A)</t>
  </si>
  <si>
    <t>Total for Aspen Ridge School</t>
  </si>
  <si>
    <t>Union Colony Charter School (#8965312015A)</t>
  </si>
  <si>
    <t>Salida Del Sol Academy (#8467312015A)</t>
  </si>
  <si>
    <t>Total for Salida Del Sol Academy</t>
  </si>
  <si>
    <t>Bromley East Charter School (#1052004016A)</t>
  </si>
  <si>
    <t>James Irwin Charter High School (#4378098016A)</t>
  </si>
  <si>
    <t>James Irwin Charter Middle School (#4378098016A)</t>
  </si>
  <si>
    <t>James Irwin Charter Elementary School (#4378098016A)</t>
  </si>
  <si>
    <t>James Irwin Charter Academy (#4403800116A)</t>
  </si>
  <si>
    <t>Total for James Irwin Charter Academy</t>
  </si>
  <si>
    <t>American Academy (#0215090016A)</t>
  </si>
  <si>
    <t>Pikes Peak School of Expeditionary Learning (#6935111016A)</t>
  </si>
  <si>
    <t>Colorado Early College - Fort Collins (#2067800116A)</t>
  </si>
  <si>
    <t>Total for Colorado Early College - Fort Collins</t>
  </si>
  <si>
    <t>Monarch Montessori (#5621088016A)</t>
  </si>
  <si>
    <t>Two Roads Charter School (#8793142016A)</t>
  </si>
  <si>
    <t>Total for Two Roads Charter School</t>
  </si>
  <si>
    <t>Prospect Ridge Academy (#6802002016A)</t>
  </si>
  <si>
    <t>Ben Franklin Academy (#0135090016A)</t>
  </si>
  <si>
    <t>Total for Ben Franklin Academy</t>
  </si>
  <si>
    <t>Westgate Community School (#9431002016A)</t>
  </si>
  <si>
    <t>Vanguard School (#1582102016A)</t>
  </si>
  <si>
    <t>Total for Vanguard School</t>
  </si>
  <si>
    <t>STEM School (#5259090016A)</t>
  </si>
  <si>
    <t>Academy Charter School (#0011090016A)</t>
  </si>
  <si>
    <t>Colorado Early Colleges-Fort Collins (#2067800116B)</t>
  </si>
  <si>
    <t>Total for Colorado Early Colleges-Fort Collins</t>
  </si>
  <si>
    <t>Flagstaff Academy (#2964047016A)</t>
  </si>
  <si>
    <t>Total for Flagstaff Academy</t>
  </si>
  <si>
    <t>Legacy Academy (#2572092016A)</t>
  </si>
  <si>
    <t>Total for Legacy Academy</t>
  </si>
  <si>
    <t>Parker Core Knowledge (#1873090017A)</t>
  </si>
  <si>
    <t>Global Village Academy (#3471018017A)</t>
  </si>
  <si>
    <t>Frontier Academy (#1875312017A)</t>
  </si>
  <si>
    <t>A</t>
  </si>
  <si>
    <t>B</t>
  </si>
  <si>
    <t>C</t>
  </si>
  <si>
    <t>Excel Academy (#2799142017A)</t>
  </si>
  <si>
    <t>Loveland Classical Schools (#5235156017A)</t>
  </si>
  <si>
    <t>Total for Loveland Classical Schools</t>
  </si>
  <si>
    <t>American Academy (#0215090017A)</t>
  </si>
  <si>
    <t>Total for Power Technical Early College</t>
  </si>
  <si>
    <t>Power Technical Early College (6653111017A)</t>
  </si>
  <si>
    <t>Windsor Charter Academy (9665310017A)</t>
  </si>
  <si>
    <t>Banning Lewis Ranch Academy (0555111017A)</t>
  </si>
  <si>
    <t>Addenbrooke Classical Academy (1451142017A)</t>
  </si>
  <si>
    <t>Total for Addenbrooke Classical Academy</t>
  </si>
  <si>
    <t>Two Rivers Community School (8821800117A)</t>
  </si>
  <si>
    <t>Total for Two Rivers Community School</t>
  </si>
  <si>
    <t>Eagle Ridge Academy (2399004017A)</t>
  </si>
  <si>
    <t>Total for Eagle Ridge Academy</t>
  </si>
  <si>
    <t>West Ridge Academy (9611312017A)</t>
  </si>
  <si>
    <t>Total for West Ridge Academy</t>
  </si>
  <si>
    <t>Platte River Academy (7047090017A)</t>
  </si>
  <si>
    <t>Total for Platte River Academy</t>
  </si>
  <si>
    <t>World Compass Academy (9397090017A)</t>
  </si>
  <si>
    <t>Total for World Compass Academy</t>
  </si>
  <si>
    <t>Prospect Ridge Academy (6802002017A)</t>
  </si>
  <si>
    <t>North Star Academy (#1579090015A) [payment combined with Series 2017]</t>
  </si>
  <si>
    <t>North Star Academy (1579090017A)</t>
  </si>
  <si>
    <t>Renaissance Secondary School (7244090017A)</t>
  </si>
  <si>
    <t>Total for Renaissance Secondary School</t>
  </si>
  <si>
    <t>Windsor Charter Academy (9665310017B)</t>
  </si>
  <si>
    <t>Thomas MacLaren (8825800117A)</t>
  </si>
  <si>
    <t>Total for Thomas MacLaren</t>
  </si>
  <si>
    <t>Challenge to  Excellence (1512090017A)</t>
  </si>
  <si>
    <t>Early College of Arvada (2837800117A)</t>
  </si>
  <si>
    <t>Total for Early College of Arvada</t>
  </si>
  <si>
    <t>World Compass Academy (9397090018A)</t>
  </si>
  <si>
    <t>Carbon Valley Academy (1284047018A)</t>
  </si>
  <si>
    <t>Union Colony School (8965312018A)</t>
  </si>
  <si>
    <t>Total for Union Colony School</t>
  </si>
  <si>
    <t>Lotus School for Excellence (5298018018A)</t>
  </si>
  <si>
    <t>Total for Lotus School for Excellence</t>
  </si>
  <si>
    <t>New Vision Charter School (6220156018A)</t>
  </si>
  <si>
    <t>Global Village Academy (3471018018A)</t>
  </si>
  <si>
    <t>Stargate Charter School (1519002019A)</t>
  </si>
  <si>
    <t>Liberty Tree Academy (5191111019A)</t>
  </si>
  <si>
    <t>Total for Liberty Tree Academy</t>
  </si>
  <si>
    <t>Highline Academy Charter School (3987088019A)</t>
  </si>
  <si>
    <t>New America School (4699002019A)</t>
  </si>
  <si>
    <t>Total for New America School</t>
  </si>
  <si>
    <t>Caprock Academy (1279800119A)</t>
  </si>
  <si>
    <t>Global Village Academy - Northglenn (3439800119A)</t>
  </si>
  <si>
    <t>Total for Global Village Academy - Northglenn</t>
  </si>
  <si>
    <t>Rocky Mountain Classical Academy (7463111019A)</t>
  </si>
  <si>
    <t>Legacy Academy (2572092019A)</t>
  </si>
  <si>
    <t>Total for Colorado Early Colleges - Parker</t>
  </si>
  <si>
    <t>Total for Colorado Early Colleges - Aurora</t>
  </si>
  <si>
    <t>Total for Colorado Early Colleges - Fort Collins</t>
  </si>
  <si>
    <t>Total for Colorado Springs Early Colleges</t>
  </si>
  <si>
    <t>Colorado Early Colleges - Aurora (1633800119A)</t>
  </si>
  <si>
    <t>Colorado Early Colleges - Fort Collins West (2067800119A)</t>
  </si>
  <si>
    <t>Colorado Early Colleges - Fort Collins Bidg Corp (2067800119B)</t>
  </si>
  <si>
    <t>Colorado Springs Early Colleges - Windsor (1795800119A)</t>
  </si>
  <si>
    <t>Colorado Springs Early Colleges - CSEC (1795800119B)</t>
  </si>
  <si>
    <t>West Ridge Academy Charter School (9611312020A)</t>
  </si>
  <si>
    <t>Total for West Ridge Academy Charter School</t>
  </si>
  <si>
    <t>Crown Pointe Academy (2035800120A)</t>
  </si>
  <si>
    <t>Colorado Early Colleges - Parker (Apex) (2196800120A)</t>
  </si>
  <si>
    <t>Colorado Early Colleges - Parker (2196800120B)</t>
  </si>
  <si>
    <t>James Irwin Charter High School (4378098020A)</t>
  </si>
  <si>
    <t>James Irwin Charter Middle School (4378098020A)</t>
  </si>
  <si>
    <t>James Irwin Charter Elementary School (4378098020A)</t>
  </si>
  <si>
    <t>James Irwin Charter Academy (4403800120A)</t>
  </si>
  <si>
    <t>Power Technical Early College (6653111020A)</t>
  </si>
  <si>
    <t>New Summit Charter Academy (6242104020A)</t>
  </si>
  <si>
    <t>Total for New Summit Charter Academy</t>
  </si>
  <si>
    <t>Leman Classical School (5225090020A)</t>
  </si>
  <si>
    <t>Total for Leman Classical School</t>
  </si>
  <si>
    <t>Payment schedule combined with schedule for a later issuance</t>
  </si>
  <si>
    <t>Jefferson Academy (#4402142020A)</t>
  </si>
  <si>
    <t>Rocky Mountain Classical Academy (#7463111020A)</t>
  </si>
  <si>
    <t>Colorado Skies Academy (#0188013020A)</t>
  </si>
  <si>
    <t>Total for Colorado Skies Academy</t>
  </si>
  <si>
    <t>STEM School (#5259090020A)</t>
  </si>
  <si>
    <t>Fort Collins Montessori School (#3242155020A)</t>
  </si>
  <si>
    <t>Total for Fort Collins Montessori School</t>
  </si>
  <si>
    <t>Colorado Early Colleges - Aurora (1633800120A)</t>
  </si>
  <si>
    <t>Colorado Early Colleges Parker (#2196800120C)</t>
  </si>
  <si>
    <t>Total for Colorado Early Colleges Parker</t>
  </si>
  <si>
    <t>Two Rivers Community School (#8821800120A)</t>
  </si>
  <si>
    <t>Salida del Sol Academy (#8467312020A)</t>
  </si>
  <si>
    <t>Total for Salida del Sol Academy</t>
  </si>
  <si>
    <t>Prospect Ridge Academy (#6802002020A)</t>
  </si>
  <si>
    <t>The Juniper School (#4384152020A)</t>
  </si>
  <si>
    <t>Total for The Juniper School</t>
  </si>
  <si>
    <t>Golden View Classical Academy (#3393800120A)</t>
  </si>
  <si>
    <t>Total for Golden View Classical Academy</t>
  </si>
  <si>
    <t>Addenbrooke Classical Academy (#1451142020A)</t>
  </si>
  <si>
    <t>American Academy (#0215090020A)</t>
  </si>
  <si>
    <t>Academy of Charter Schools (#0015800120A)</t>
  </si>
  <si>
    <t>Imagine Charter School (#4333047020A)</t>
  </si>
  <si>
    <t>Total for Imagine Charter School</t>
  </si>
  <si>
    <t>Thomas MacLaren State Charter School (#8825800120A)</t>
  </si>
  <si>
    <t>Total for Thomas MacLaren State Charter School</t>
  </si>
  <si>
    <t>Monument Academy (#5093108015A)</t>
  </si>
  <si>
    <t>Parker Performing Arts (#6719090021A)</t>
  </si>
  <si>
    <t>Total for Parker Performing Arts</t>
  </si>
  <si>
    <t>Independence Academy (#2128200021A)</t>
  </si>
  <si>
    <t>Academy of Advanced Learning (#0126018021A)</t>
  </si>
  <si>
    <t>Total for Academy of Advanced Learning</t>
  </si>
  <si>
    <t>Windsor Charter Academy (#9665310021A)</t>
  </si>
  <si>
    <t>Liberty Tree Academy (#5191111021A)</t>
  </si>
  <si>
    <t>Montessori Peaks Academy (#5994142021A)</t>
  </si>
  <si>
    <t>Total for Montessori Peaks Academy</t>
  </si>
  <si>
    <t>Grand Peak Academy (formerly Imagine Indigo Ranch) (4251111019A)</t>
  </si>
  <si>
    <t>Total for Grand Peak Academy (formerly Imagine Indigo Ranch)</t>
  </si>
  <si>
    <t>Chavez/Huerta K-12 Preparatory Academy (#1488269021A)</t>
  </si>
  <si>
    <t>Total for Chavez/Huerta K-12 Preparatory Academy</t>
  </si>
  <si>
    <t>Vanguard Classical School - East (#9189018021A)</t>
  </si>
  <si>
    <t>Total for Vanguard Classical School - East</t>
  </si>
  <si>
    <t>Collegiate Academy of Colorado (#7701142021A)</t>
  </si>
  <si>
    <t>Total for Collegiate Academy of Colorado</t>
  </si>
  <si>
    <t>Swallows Charter Academy (#8420270021A)</t>
  </si>
  <si>
    <t>Global Village Academy - Northglenn (#3439800121A)</t>
  </si>
  <si>
    <t>Rocky Mountain Academy of Evergreen (#7462142021A)</t>
  </si>
  <si>
    <t>Pinnacle Charter School (#0654800121A)</t>
  </si>
  <si>
    <t>Heritage Heights Academy (#4189013021A)</t>
  </si>
  <si>
    <t>Total for Heritage Heights Academy</t>
  </si>
  <si>
    <t>Villa Bella School (#9084270021A)</t>
  </si>
  <si>
    <t>Total for Villa Bella School</t>
  </si>
  <si>
    <t>Lincoln Academy (#5145142021A)</t>
  </si>
  <si>
    <t>Pikes Peak School of Expeditionary Learning (#6935111021A)</t>
  </si>
  <si>
    <t>Total for Pikes Peak School of Expeditionary Learning</t>
  </si>
  <si>
    <t>Aspen View Academy (#6019090021A)</t>
  </si>
  <si>
    <t>Total for Aspen View Academy</t>
  </si>
  <si>
    <t>Vega Collegiate Academy (#9053018022A)</t>
  </si>
  <si>
    <t>Total for Vega Collegiate Academy</t>
  </si>
  <si>
    <t>Jefferson Academy (#4402142022A)</t>
  </si>
  <si>
    <t>Denver School of Science &amp; Technology (#2145088022A)</t>
  </si>
  <si>
    <t>Total for Denver School of Science &amp; Technology</t>
  </si>
  <si>
    <t>High Point Academy (#0655800122A)</t>
  </si>
  <si>
    <t>Total FY 22</t>
  </si>
  <si>
    <t>Colorado Military Academy (#1505800122A)</t>
  </si>
  <si>
    <t>Total for Colorado Military Academy</t>
  </si>
  <si>
    <t>New Summit Charter Academy (#6242104022A)</t>
  </si>
  <si>
    <t>Westgate Community School (#9431002022A)</t>
  </si>
  <si>
    <t>Banning Lewis Ranch Academy (#0555111022A)</t>
  </si>
  <si>
    <t>Windsor Charter Academy (#9665310022A)</t>
  </si>
  <si>
    <t>STEM School (#5259090022A)</t>
  </si>
  <si>
    <t>Pioneer Technology and Arts Academy (#1275111022A)</t>
  </si>
  <si>
    <t>Total for Pioneer Technology and Arts Academy</t>
  </si>
  <si>
    <t>Monument Academy Secondary School (5093108020A)</t>
  </si>
  <si>
    <t>Total for Monument Academy Secondary School</t>
  </si>
  <si>
    <t>Global Village Academy - Aurora (#3471018022A)</t>
  </si>
  <si>
    <t>Total for Global Village Academy - Aurora</t>
  </si>
  <si>
    <t>Global Village Academy - Aurora (#3471018022B)</t>
  </si>
  <si>
    <t>Coperni 2 (#5431800122A)</t>
  </si>
  <si>
    <t>Total for Coperni 2</t>
  </si>
  <si>
    <t>Coperni 2 (#5431800122B)</t>
  </si>
  <si>
    <t>Grand Peak Academy (#4251111022A)</t>
  </si>
  <si>
    <t>Total for Grand Peak Academy</t>
  </si>
  <si>
    <t>Golden View Classical Academy (#3393880122A)</t>
  </si>
  <si>
    <t>Littleton Academy (#5229014022A)</t>
  </si>
  <si>
    <t>Total for Littleton Academy</t>
  </si>
  <si>
    <t>New Vision Charter School (#6220156022A)</t>
  </si>
  <si>
    <t>Doral Academy (#2189142022A)</t>
  </si>
  <si>
    <t>Total for Doral Academy</t>
  </si>
  <si>
    <t>Knowledge Quest Academy (#4785311022A)</t>
  </si>
  <si>
    <t>CIVICA Colorado (#6226311022A)</t>
  </si>
  <si>
    <t>Total for CIVICA Colorado</t>
  </si>
  <si>
    <t>Chavez/Huerta K-12 Preparatory Academy (#1488269022A)</t>
  </si>
  <si>
    <t>Total for Chavez/Huerty K-12 Preparatory Academy</t>
  </si>
  <si>
    <t>Mountain Sage Community School (#5917155022A)</t>
  </si>
  <si>
    <t>Total for Mountain Sage Community School</t>
  </si>
  <si>
    <t>Mountain Song Community School (#5851800122A)</t>
  </si>
  <si>
    <t>Total for Mountain Song Community School</t>
  </si>
  <si>
    <t>Belle Creek Charter School (#0700004022A)</t>
  </si>
  <si>
    <t>Colorado Early Colleges Aurora (#1633800122A)</t>
  </si>
  <si>
    <t>Total for Colorado Early Colleges Aurora</t>
  </si>
  <si>
    <t>Colorado Early Colleges Douglas (SC#2196)</t>
  </si>
  <si>
    <t>Total for Colorado Early Colleges Douglas</t>
  </si>
  <si>
    <t>Colorado Springs Early Colleges (#1795800122A)</t>
  </si>
  <si>
    <t>Colorado Early Colleges Ft Collins (SC#2067)</t>
  </si>
  <si>
    <t>Total for Colorado Early Colleges Ft Collins</t>
  </si>
  <si>
    <t>Colorado Early Colleges Windsor (SC#1387)</t>
  </si>
  <si>
    <t>Total for Colorado Early Colleges Windsor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</si>
</sst>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ddd\,\ mmmm\ dd\,\ yyyy"/>
    <numFmt numFmtId="166" formatCode="dd\-mmm\-yy_)"/>
    <numFmt numFmtId="167" formatCode="hh:mm\ AM/PM_)"/>
    <numFmt numFmtId="168" formatCode="mm/dd/yy_)"/>
    <numFmt numFmtId="169" formatCode="0.000%"/>
    <numFmt numFmtId="170" formatCode="0.00_)"/>
    <numFmt numFmtId="171" formatCode="0.000_)"/>
    <numFmt numFmtId="172" formatCode="0.0000_)"/>
    <numFmt numFmtId="173" formatCode="0.0000%"/>
    <numFmt numFmtId="174" formatCode="General_)"/>
    <numFmt numFmtId="175" formatCode="0.00000%"/>
    <numFmt numFmtId="176" formatCode="0.000000%"/>
    <numFmt numFmtId="177" formatCode="0.0000000%"/>
    <numFmt numFmtId="178" formatCode="&quot;$&quot;#,##0.0_);\(&quot;$&quot;#,##0.0\)"/>
    <numFmt numFmtId="179" formatCode="mm/dd/yy"/>
    <numFmt numFmtId="180" formatCode="#,##0.0_);\(#,##0.0\)"/>
    <numFmt numFmtId="181" formatCode="#,##0.000_);\(#,##0.000\)"/>
    <numFmt numFmtId="182" formatCode="#,##0.0000_);\(#,##0.0000\)"/>
    <numFmt numFmtId="183" formatCode="#,##0.00000_);\(#,##0.00000\)"/>
    <numFmt numFmtId="184" formatCode="#,##0.000000_);\(#,##0.000000\)"/>
    <numFmt numFmtId="185" formatCode="#,##0.0000000_);\(#,##0.0000000\)"/>
    <numFmt numFmtId="186" formatCode="#,##0.00000000_);\(#,##0.00000000\)"/>
    <numFmt numFmtId="187" formatCode="#,##0.000000000_);\(#,##0.000000000\)"/>
    <numFmt numFmtId="188" formatCode="#,##0.0000000000_);\(#,##0.0000000000\)"/>
    <numFmt numFmtId="189" formatCode="&quot;$&quot;#,##0.000_);\(&quot;$&quot;#,##0.000\)"/>
    <numFmt numFmtId="190" formatCode="&quot;$&quot;#,##0.0000_);\(&quot;$&quot;#,##0.0000\)"/>
    <numFmt numFmtId="191" formatCode="&quot;$&quot;#,##0.00000_);\(&quot;$&quot;#,##0.00000\)"/>
    <numFmt numFmtId="192" formatCode="0_);\(0\)"/>
    <numFmt numFmtId="193" formatCode="&quot;DSRF Fee @&quot;#,##0.0&quot; b pts&quot;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_(* #,##0.0_);_(* \(#,##0.0\);_(* &quot;-&quot;??_);_(@_)"/>
    <numFmt numFmtId="199" formatCode="_(* #,##0_);_(* \(#,##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&lt;=9999999]###\-####;\(###\)\ ###\-####"/>
    <numFmt numFmtId="205" formatCode="m/d/yy;@"/>
    <numFmt numFmtId="206" formatCode="mm/dd/yy;@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2" fillId="0" borderId="0" xfId="0" applyNumberFormat="1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 wrapText="1"/>
    </xf>
    <xf numFmtId="43" fontId="0" fillId="0" borderId="0" xfId="0" applyNumberForma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/>
    </xf>
    <xf numFmtId="43" fontId="3" fillId="33" borderId="0" xfId="0" applyNumberFormat="1" applyFont="1" applyFill="1" applyBorder="1" applyAlignment="1">
      <alignment/>
    </xf>
    <xf numFmtId="43" fontId="3" fillId="34" borderId="0" xfId="0" applyNumberFormat="1" applyFont="1" applyFill="1" applyBorder="1" applyAlignment="1">
      <alignment/>
    </xf>
    <xf numFmtId="43" fontId="3" fillId="34" borderId="0" xfId="0" applyNumberFormat="1" applyFont="1" applyFill="1" applyBorder="1" applyAlignment="1" quotePrefix="1">
      <alignment horizontal="left"/>
    </xf>
    <xf numFmtId="43" fontId="1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 quotePrefix="1">
      <alignment horizontal="left"/>
    </xf>
    <xf numFmtId="43" fontId="1" fillId="0" borderId="10" xfId="0" applyNumberFormat="1" applyFont="1" applyFill="1" applyBorder="1" applyAlignment="1" quotePrefix="1">
      <alignment horizontal="center"/>
    </xf>
    <xf numFmtId="43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43" fontId="3" fillId="33" borderId="0" xfId="0" applyNumberFormat="1" applyFont="1" applyFill="1" applyBorder="1" applyAlignment="1" quotePrefix="1">
      <alignment horizontal="left"/>
    </xf>
    <xf numFmtId="0" fontId="1" fillId="0" borderId="0" xfId="0" applyFont="1" applyFill="1" applyAlignment="1">
      <alignment horizontal="center"/>
    </xf>
    <xf numFmtId="43" fontId="1" fillId="0" borderId="0" xfId="0" applyNumberFormat="1" applyFont="1" applyFill="1" applyBorder="1" applyAlignment="1">
      <alignment/>
    </xf>
    <xf numFmtId="43" fontId="1" fillId="33" borderId="0" xfId="0" applyNumberFormat="1" applyFont="1" applyFill="1" applyBorder="1" applyAlignment="1" quotePrefix="1">
      <alignment horizontal="left"/>
    </xf>
    <xf numFmtId="43" fontId="1" fillId="34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1" fillId="0" borderId="11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44" fontId="3" fillId="0" borderId="0" xfId="0" applyNumberFormat="1" applyFont="1" applyFill="1" applyBorder="1" applyAlignment="1" quotePrefix="1">
      <alignment horizontal="right" wrapText="1"/>
    </xf>
    <xf numFmtId="43" fontId="3" fillId="35" borderId="0" xfId="0" applyNumberFormat="1" applyFont="1" applyFill="1" applyBorder="1" applyAlignment="1">
      <alignment/>
    </xf>
    <xf numFmtId="43" fontId="3" fillId="36" borderId="0" xfId="0" applyNumberFormat="1" applyFont="1" applyFill="1" applyBorder="1" applyAlignment="1" quotePrefix="1">
      <alignment horizontal="left"/>
    </xf>
    <xf numFmtId="0" fontId="0" fillId="37" borderId="0" xfId="0" applyFill="1" applyAlignment="1">
      <alignment/>
    </xf>
    <xf numFmtId="164" fontId="3" fillId="37" borderId="0" xfId="0" applyNumberFormat="1" applyFont="1" applyFill="1" applyBorder="1" applyAlignment="1">
      <alignment/>
    </xf>
    <xf numFmtId="39" fontId="0" fillId="37" borderId="0" xfId="0" applyNumberFormat="1" applyFill="1" applyBorder="1" applyAlignment="1">
      <alignment/>
    </xf>
    <xf numFmtId="39" fontId="1" fillId="37" borderId="11" xfId="0" applyNumberFormat="1" applyFont="1" applyFill="1" applyBorder="1" applyAlignment="1">
      <alignment/>
    </xf>
    <xf numFmtId="39" fontId="3" fillId="3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3" fontId="3" fillId="35" borderId="0" xfId="0" applyNumberFormat="1" applyFont="1" applyFill="1" applyBorder="1" applyAlignment="1" quotePrefix="1">
      <alignment horizontal="left"/>
    </xf>
    <xf numFmtId="0" fontId="1" fillId="0" borderId="0" xfId="0" applyFont="1" applyFill="1" applyAlignment="1" quotePrefix="1">
      <alignment horizontal="center"/>
    </xf>
    <xf numFmtId="0" fontId="7" fillId="34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7" fillId="35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7" fillId="38" borderId="0" xfId="0" applyFont="1" applyFill="1" applyAlignment="1">
      <alignment horizontal="right" vertical="center"/>
    </xf>
    <xf numFmtId="43" fontId="3" fillId="38" borderId="0" xfId="0" applyNumberFormat="1" applyFont="1" applyFill="1" applyBorder="1" applyAlignment="1">
      <alignment/>
    </xf>
    <xf numFmtId="0" fontId="7" fillId="38" borderId="0" xfId="0" applyFont="1" applyFill="1" applyAlignment="1">
      <alignment horizontal="right"/>
    </xf>
    <xf numFmtId="0" fontId="1" fillId="38" borderId="0" xfId="0" applyFont="1" applyFill="1" applyBorder="1" applyAlignment="1">
      <alignment horizontal="left"/>
    </xf>
    <xf numFmtId="43" fontId="0" fillId="0" borderId="0" xfId="42" applyFont="1" applyFill="1" applyAlignment="1">
      <alignment/>
    </xf>
    <xf numFmtId="0" fontId="1" fillId="35" borderId="0" xfId="0" applyFont="1" applyFill="1" applyAlignment="1">
      <alignment horizontal="right"/>
    </xf>
    <xf numFmtId="39" fontId="1" fillId="0" borderId="0" xfId="0" applyNumberFormat="1" applyFont="1" applyFill="1" applyBorder="1" applyAlignment="1">
      <alignment/>
    </xf>
    <xf numFmtId="39" fontId="1" fillId="37" borderId="0" xfId="0" applyNumberFormat="1" applyFont="1" applyFill="1" applyBorder="1" applyAlignment="1">
      <alignment/>
    </xf>
    <xf numFmtId="43" fontId="0" fillId="0" borderId="0" xfId="42" applyFont="1" applyFill="1" applyAlignment="1">
      <alignment/>
    </xf>
    <xf numFmtId="0" fontId="1" fillId="35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43" fontId="0" fillId="37" borderId="0" xfId="42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hle_t\AppData\Local\Microsoft\Windows\INetCache\Content.Outlook\RSIGXCIN\CHARTER%20SCHOOLS%20DEB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eement numbers"/>
      <sheetName val="agreement numbers-institute"/>
      <sheetName val="school summary"/>
      <sheetName val="contacts"/>
      <sheetName val="bond issuances"/>
      <sheetName val="DebtRes"/>
      <sheetName val="payment summary"/>
      <sheetName val="info for cashiers"/>
      <sheetName val="MoralOb"/>
      <sheetName val="X_MoralO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91"/>
  <sheetViews>
    <sheetView tabSelected="1" zoomScale="70" zoomScaleNormal="70" zoomScalePageLayoutView="0" workbookViewId="0" topLeftCell="A1">
      <pane xSplit="3" ySplit="2" topLeftCell="N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5.57421875" defaultRowHeight="5.25" customHeight="1"/>
  <cols>
    <col min="1" max="1" width="5.7109375" style="1" customWidth="1"/>
    <col min="2" max="2" width="4.7109375" style="1" customWidth="1"/>
    <col min="3" max="3" width="89.8515625" style="0" customWidth="1"/>
    <col min="4" max="9" width="15.421875" style="0" bestFit="1" customWidth="1"/>
    <col min="10" max="20" width="15.421875" style="32" bestFit="1" customWidth="1"/>
    <col min="21" max="21" width="15.421875" style="27" bestFit="1" customWidth="1"/>
    <col min="22" max="22" width="16.7109375" style="32" bestFit="1" customWidth="1"/>
    <col min="23" max="29" width="15.421875" style="0" bestFit="1" customWidth="1"/>
    <col min="30" max="30" width="16.7109375" style="0" bestFit="1" customWidth="1"/>
  </cols>
  <sheetData>
    <row r="1" ht="37.5">
      <c r="C1" s="2" t="s">
        <v>0</v>
      </c>
    </row>
    <row r="2" spans="3:22" ht="15.75">
      <c r="C2" s="3" t="s">
        <v>1</v>
      </c>
      <c r="J2" s="20">
        <v>44378</v>
      </c>
      <c r="K2" s="20">
        <v>44409</v>
      </c>
      <c r="L2" s="20">
        <v>44440</v>
      </c>
      <c r="M2" s="20">
        <v>44470</v>
      </c>
      <c r="N2" s="20">
        <v>44501</v>
      </c>
      <c r="O2" s="20">
        <v>44531</v>
      </c>
      <c r="P2" s="20">
        <v>44562</v>
      </c>
      <c r="Q2" s="20">
        <v>44593</v>
      </c>
      <c r="R2" s="20">
        <v>44621</v>
      </c>
      <c r="S2" s="20">
        <v>44652</v>
      </c>
      <c r="T2" s="20">
        <v>44682</v>
      </c>
      <c r="U2" s="28">
        <v>44713</v>
      </c>
      <c r="V2" s="24" t="s">
        <v>387</v>
      </c>
    </row>
    <row r="3" ht="13.5" customHeight="1">
      <c r="C3" s="4"/>
    </row>
    <row r="4" spans="2:3" ht="13.5" customHeight="1">
      <c r="B4" s="35" t="s">
        <v>104</v>
      </c>
      <c r="C4" s="25" t="s">
        <v>2</v>
      </c>
    </row>
    <row r="5" ht="13.5" customHeight="1">
      <c r="C5" s="4" t="s">
        <v>3</v>
      </c>
    </row>
    <row r="6" ht="13.5" customHeight="1">
      <c r="C6" s="4" t="s">
        <v>4</v>
      </c>
    </row>
    <row r="7" ht="13.5" customHeight="1" thickBot="1">
      <c r="C7" s="4" t="s">
        <v>5</v>
      </c>
    </row>
    <row r="8" ht="13.5" customHeight="1" thickBot="1">
      <c r="C8" s="6" t="s">
        <v>6</v>
      </c>
    </row>
    <row r="9" ht="13.5" customHeight="1">
      <c r="C9" s="4"/>
    </row>
    <row r="10" spans="2:3" ht="13.5" customHeight="1">
      <c r="B10" s="35" t="s">
        <v>104</v>
      </c>
      <c r="C10" s="8" t="s">
        <v>7</v>
      </c>
    </row>
    <row r="11" ht="13.5" customHeight="1">
      <c r="C11" s="4" t="str">
        <f>C5</f>
        <v>Debt Reserve</v>
      </c>
    </row>
    <row r="12" ht="13.5" customHeight="1">
      <c r="C12" s="4" t="str">
        <f>C6</f>
        <v>Treasury Fee</v>
      </c>
    </row>
    <row r="13" ht="13.5" customHeight="1" thickBot="1">
      <c r="C13" s="4" t="str">
        <f>C7</f>
        <v>Intercept</v>
      </c>
    </row>
    <row r="14" ht="13.5" customHeight="1" thickBot="1">
      <c r="C14" s="6" t="s">
        <v>8</v>
      </c>
    </row>
    <row r="15" ht="13.5" customHeight="1">
      <c r="C15" s="4"/>
    </row>
    <row r="16" spans="2:3" ht="13.5" customHeight="1">
      <c r="B16" s="36" t="s">
        <v>103</v>
      </c>
      <c r="C16" s="7" t="s">
        <v>9</v>
      </c>
    </row>
    <row r="17" ht="13.5" customHeight="1">
      <c r="C17" s="4" t="str">
        <f>C11</f>
        <v>Debt Reserve</v>
      </c>
    </row>
    <row r="18" ht="13.5" customHeight="1">
      <c r="C18" s="4" t="str">
        <f>C12</f>
        <v>Treasury Fee</v>
      </c>
    </row>
    <row r="19" ht="13.5" customHeight="1" thickBot="1">
      <c r="C19" s="4" t="str">
        <f>C13</f>
        <v>Intercept</v>
      </c>
    </row>
    <row r="20" ht="13.5" customHeight="1" thickBot="1">
      <c r="C20" s="6" t="s">
        <v>10</v>
      </c>
    </row>
    <row r="21" ht="13.5" customHeight="1">
      <c r="C21" s="4"/>
    </row>
    <row r="22" spans="2:3" ht="13.5" customHeight="1">
      <c r="B22" s="36" t="s">
        <v>103</v>
      </c>
      <c r="C22" s="7" t="s">
        <v>54</v>
      </c>
    </row>
    <row r="23" ht="13.5" customHeight="1">
      <c r="C23" s="4" t="str">
        <f>C17</f>
        <v>Debt Reserve</v>
      </c>
    </row>
    <row r="24" ht="13.5" customHeight="1">
      <c r="C24" s="4" t="str">
        <f>C18</f>
        <v>Treasury Fee</v>
      </c>
    </row>
    <row r="25" ht="13.5" customHeight="1" thickBot="1">
      <c r="C25" s="4" t="str">
        <f>C19</f>
        <v>Intercept</v>
      </c>
    </row>
    <row r="26" ht="13.5" customHeight="1" thickBot="1">
      <c r="C26" s="6" t="s">
        <v>11</v>
      </c>
    </row>
    <row r="27" ht="13.5" customHeight="1">
      <c r="C27" s="4"/>
    </row>
    <row r="28" spans="1:3" ht="13.5" customHeight="1">
      <c r="A28" s="16"/>
      <c r="B28" s="35" t="s">
        <v>104</v>
      </c>
      <c r="C28" s="25" t="s">
        <v>124</v>
      </c>
    </row>
    <row r="29" spans="1:3" ht="13.5" customHeight="1">
      <c r="A29" s="16"/>
      <c r="B29" s="16"/>
      <c r="C29" s="4" t="str">
        <f>C23</f>
        <v>Debt Reserve</v>
      </c>
    </row>
    <row r="30" spans="1:3" ht="13.5" customHeight="1">
      <c r="A30" s="16"/>
      <c r="B30" s="16"/>
      <c r="C30" s="4" t="str">
        <f>C24</f>
        <v>Treasury Fee</v>
      </c>
    </row>
    <row r="31" spans="1:3" ht="13.5" customHeight="1" thickBot="1">
      <c r="A31" s="16"/>
      <c r="B31" s="16"/>
      <c r="C31" s="4" t="str">
        <f>C25</f>
        <v>Intercept</v>
      </c>
    </row>
    <row r="32" spans="1:3" ht="13.5" customHeight="1" thickBot="1">
      <c r="A32" s="16"/>
      <c r="B32" s="16"/>
      <c r="C32" s="6" t="s">
        <v>123</v>
      </c>
    </row>
    <row r="33" ht="13.5" customHeight="1">
      <c r="C33" s="4"/>
    </row>
    <row r="34" spans="2:3" ht="13.5" customHeight="1">
      <c r="B34" s="35" t="s">
        <v>104</v>
      </c>
      <c r="C34" s="25" t="s">
        <v>12</v>
      </c>
    </row>
    <row r="35" ht="13.5" customHeight="1">
      <c r="C35" s="4" t="str">
        <f>C29</f>
        <v>Debt Reserve</v>
      </c>
    </row>
    <row r="36" ht="13.5" customHeight="1">
      <c r="C36" s="4" t="str">
        <f>C30</f>
        <v>Treasury Fee</v>
      </c>
    </row>
    <row r="37" ht="13.5" customHeight="1" thickBot="1">
      <c r="C37" s="4" t="str">
        <f>C31</f>
        <v>Intercept</v>
      </c>
    </row>
    <row r="38" ht="13.5" customHeight="1" thickBot="1">
      <c r="C38" s="6" t="s">
        <v>13</v>
      </c>
    </row>
    <row r="39" ht="13.5" customHeight="1">
      <c r="C39" s="4"/>
    </row>
    <row r="40" spans="2:3" ht="13.5" customHeight="1">
      <c r="B40" s="35" t="s">
        <v>104</v>
      </c>
      <c r="C40" s="8" t="s">
        <v>14</v>
      </c>
    </row>
    <row r="41" ht="13.5" customHeight="1">
      <c r="C41" s="4" t="str">
        <f>C35</f>
        <v>Debt Reserve</v>
      </c>
    </row>
    <row r="42" ht="13.5" customHeight="1">
      <c r="C42" s="4" t="str">
        <f>C36</f>
        <v>Treasury Fee</v>
      </c>
    </row>
    <row r="43" ht="13.5" customHeight="1" thickBot="1">
      <c r="C43" s="4" t="str">
        <f>C37</f>
        <v>Intercept</v>
      </c>
    </row>
    <row r="44" ht="13.5" customHeight="1" thickBot="1">
      <c r="C44" s="6" t="s">
        <v>15</v>
      </c>
    </row>
    <row r="45" ht="13.5" customHeight="1">
      <c r="C45" s="4"/>
    </row>
    <row r="46" spans="2:3" ht="13.5" customHeight="1">
      <c r="B46" s="35" t="s">
        <v>104</v>
      </c>
      <c r="C46" s="9" t="s">
        <v>86</v>
      </c>
    </row>
    <row r="47" ht="13.5" customHeight="1">
      <c r="C47" s="4" t="str">
        <f>C41</f>
        <v>Debt Reserve</v>
      </c>
    </row>
    <row r="48" ht="13.5" customHeight="1">
      <c r="C48" s="4" t="str">
        <f>C42</f>
        <v>Treasury Fee</v>
      </c>
    </row>
    <row r="49" ht="13.5" customHeight="1" thickBot="1">
      <c r="C49" s="4" t="str">
        <f>C43</f>
        <v>Intercept</v>
      </c>
    </row>
    <row r="50" ht="13.5" customHeight="1" thickBot="1">
      <c r="C50" s="6" t="s">
        <v>16</v>
      </c>
    </row>
    <row r="51" ht="13.5" customHeight="1">
      <c r="C51" s="4"/>
    </row>
    <row r="52" spans="2:3" ht="13.5" customHeight="1">
      <c r="B52" s="35" t="s">
        <v>104</v>
      </c>
      <c r="C52" s="8" t="s">
        <v>17</v>
      </c>
    </row>
    <row r="53" ht="13.5" customHeight="1">
      <c r="C53" s="4" t="str">
        <f>C47</f>
        <v>Debt Reserve</v>
      </c>
    </row>
    <row r="54" ht="13.5" customHeight="1">
      <c r="C54" s="4" t="str">
        <f>C48</f>
        <v>Treasury Fee</v>
      </c>
    </row>
    <row r="55" ht="13.5" customHeight="1" thickBot="1">
      <c r="C55" s="4" t="str">
        <f>C49</f>
        <v>Intercept</v>
      </c>
    </row>
    <row r="56" ht="13.5" customHeight="1" thickBot="1">
      <c r="C56" s="6" t="s">
        <v>18</v>
      </c>
    </row>
    <row r="57" ht="13.5" customHeight="1">
      <c r="C57" s="4"/>
    </row>
    <row r="58" spans="2:3" ht="13.5" customHeight="1">
      <c r="B58" s="35" t="s">
        <v>104</v>
      </c>
      <c r="C58" s="25" t="s">
        <v>136</v>
      </c>
    </row>
    <row r="59" ht="13.5" customHeight="1">
      <c r="C59" s="4" t="str">
        <f>C53</f>
        <v>Debt Reserve</v>
      </c>
    </row>
    <row r="60" ht="13.5" customHeight="1">
      <c r="C60" s="4" t="str">
        <f>C54</f>
        <v>Treasury Fee</v>
      </c>
    </row>
    <row r="61" ht="13.5" customHeight="1" thickBot="1">
      <c r="C61" s="4" t="str">
        <f>C55</f>
        <v>Intercept</v>
      </c>
    </row>
    <row r="62" ht="13.5" customHeight="1" thickBot="1">
      <c r="C62" s="6" t="s">
        <v>137</v>
      </c>
    </row>
    <row r="63" ht="13.5" customHeight="1">
      <c r="C63" s="4"/>
    </row>
    <row r="64" spans="2:3" ht="13.5" customHeight="1">
      <c r="B64" s="35" t="s">
        <v>104</v>
      </c>
      <c r="C64" s="8" t="s">
        <v>19</v>
      </c>
    </row>
    <row r="65" ht="13.5" customHeight="1">
      <c r="C65" s="4" t="str">
        <f>C59</f>
        <v>Debt Reserve</v>
      </c>
    </row>
    <row r="66" ht="13.5" customHeight="1">
      <c r="C66" s="4" t="str">
        <f>C60</f>
        <v>Treasury Fee</v>
      </c>
    </row>
    <row r="67" ht="13.5" customHeight="1" thickBot="1">
      <c r="C67" s="4" t="str">
        <f>C61</f>
        <v>Intercept</v>
      </c>
    </row>
    <row r="68" ht="13.5" customHeight="1" thickBot="1">
      <c r="C68" s="6" t="s">
        <v>20</v>
      </c>
    </row>
    <row r="69" ht="13.5" customHeight="1">
      <c r="C69" s="4"/>
    </row>
    <row r="70" spans="2:3" ht="13.5" customHeight="1">
      <c r="B70" s="35" t="s">
        <v>104</v>
      </c>
      <c r="C70" s="25" t="s">
        <v>21</v>
      </c>
    </row>
    <row r="71" ht="13.5" customHeight="1">
      <c r="C71" s="4" t="str">
        <f>C65</f>
        <v>Debt Reserve</v>
      </c>
    </row>
    <row r="72" ht="13.5" customHeight="1">
      <c r="C72" s="4" t="str">
        <f>C66</f>
        <v>Treasury Fee</v>
      </c>
    </row>
    <row r="73" ht="13.5" customHeight="1" thickBot="1">
      <c r="C73" s="4" t="str">
        <f>C67</f>
        <v>Intercept</v>
      </c>
    </row>
    <row r="74" ht="13.5" customHeight="1" thickBot="1">
      <c r="C74" s="6" t="s">
        <v>22</v>
      </c>
    </row>
    <row r="75" ht="13.5" customHeight="1">
      <c r="C75" s="4"/>
    </row>
    <row r="76" spans="2:3" ht="13.5" customHeight="1">
      <c r="B76" s="35" t="s">
        <v>104</v>
      </c>
      <c r="C76" s="25" t="s">
        <v>23</v>
      </c>
    </row>
    <row r="77" ht="13.5" customHeight="1">
      <c r="C77" s="4" t="str">
        <f>C71</f>
        <v>Debt Reserve</v>
      </c>
    </row>
    <row r="78" ht="13.5" customHeight="1">
      <c r="C78" s="4" t="str">
        <f>C72</f>
        <v>Treasury Fee</v>
      </c>
    </row>
    <row r="79" ht="13.5" customHeight="1" thickBot="1">
      <c r="C79" s="4" t="str">
        <f>C73</f>
        <v>Intercept</v>
      </c>
    </row>
    <row r="80" ht="13.5" customHeight="1" thickBot="1">
      <c r="C80" s="6" t="s">
        <v>24</v>
      </c>
    </row>
    <row r="81" ht="13.5" customHeight="1">
      <c r="C81" s="10"/>
    </row>
    <row r="82" spans="2:3" ht="13.5" customHeight="1">
      <c r="B82" s="35" t="s">
        <v>104</v>
      </c>
      <c r="C82" s="25" t="s">
        <v>25</v>
      </c>
    </row>
    <row r="83" ht="13.5" customHeight="1">
      <c r="C83" s="4" t="str">
        <f>C77</f>
        <v>Debt Reserve</v>
      </c>
    </row>
    <row r="84" ht="13.5" customHeight="1">
      <c r="C84" s="4" t="str">
        <f>C78</f>
        <v>Treasury Fee</v>
      </c>
    </row>
    <row r="85" ht="13.5" customHeight="1" thickBot="1">
      <c r="C85" s="4" t="str">
        <f>C79</f>
        <v>Intercept</v>
      </c>
    </row>
    <row r="86" ht="13.5" customHeight="1" thickBot="1">
      <c r="C86" s="6" t="s">
        <v>26</v>
      </c>
    </row>
    <row r="87" ht="13.5" customHeight="1">
      <c r="C87" s="10"/>
    </row>
    <row r="88" spans="2:3" ht="13.5" customHeight="1">
      <c r="B88" s="35" t="s">
        <v>104</v>
      </c>
      <c r="C88" s="25" t="s">
        <v>27</v>
      </c>
    </row>
    <row r="89" ht="13.5" customHeight="1">
      <c r="C89" s="4" t="str">
        <f>C83</f>
        <v>Debt Reserve</v>
      </c>
    </row>
    <row r="90" ht="13.5" customHeight="1">
      <c r="C90" s="4" t="str">
        <f>C84</f>
        <v>Treasury Fee</v>
      </c>
    </row>
    <row r="91" ht="13.5" customHeight="1" thickBot="1">
      <c r="C91" s="4" t="str">
        <f>C85</f>
        <v>Intercept</v>
      </c>
    </row>
    <row r="92" ht="13.5" customHeight="1" thickBot="1">
      <c r="C92" s="6" t="s">
        <v>28</v>
      </c>
    </row>
    <row r="93" ht="13.5" customHeight="1">
      <c r="C93" s="10"/>
    </row>
    <row r="94" spans="2:3" ht="13.5" customHeight="1">
      <c r="B94" s="35" t="s">
        <v>104</v>
      </c>
      <c r="C94" s="8" t="s">
        <v>29</v>
      </c>
    </row>
    <row r="95" ht="13.5" customHeight="1">
      <c r="C95" s="4" t="str">
        <f>C89</f>
        <v>Debt Reserve</v>
      </c>
    </row>
    <row r="96" ht="13.5" customHeight="1">
      <c r="C96" s="4" t="str">
        <f>C90</f>
        <v>Treasury Fee</v>
      </c>
    </row>
    <row r="97" ht="13.5" customHeight="1" thickBot="1">
      <c r="C97" s="4" t="str">
        <f>C91</f>
        <v>Intercept</v>
      </c>
    </row>
    <row r="98" ht="13.5" customHeight="1" thickBot="1">
      <c r="C98" s="6" t="s">
        <v>30</v>
      </c>
    </row>
    <row r="99" ht="13.5" customHeight="1">
      <c r="C99" s="10"/>
    </row>
    <row r="100" spans="2:3" ht="13.5" customHeight="1">
      <c r="B100" s="35" t="s">
        <v>104</v>
      </c>
      <c r="C100" s="8" t="s">
        <v>31</v>
      </c>
    </row>
    <row r="101" ht="13.5" customHeight="1">
      <c r="C101" s="4" t="str">
        <f>C95</f>
        <v>Debt Reserve</v>
      </c>
    </row>
    <row r="102" ht="13.5" customHeight="1">
      <c r="C102" s="4" t="str">
        <f>C96</f>
        <v>Treasury Fee</v>
      </c>
    </row>
    <row r="103" ht="13.5" customHeight="1" thickBot="1">
      <c r="C103" s="4" t="str">
        <f>C97</f>
        <v>Intercept</v>
      </c>
    </row>
    <row r="104" ht="13.5" customHeight="1" thickBot="1">
      <c r="C104" s="6" t="s">
        <v>32</v>
      </c>
    </row>
    <row r="105" ht="13.5" customHeight="1">
      <c r="C105" s="10"/>
    </row>
    <row r="106" spans="2:3" ht="13.5" customHeight="1">
      <c r="B106" s="35" t="s">
        <v>104</v>
      </c>
      <c r="C106" s="25" t="s">
        <v>33</v>
      </c>
    </row>
    <row r="107" ht="13.5" customHeight="1">
      <c r="C107" s="4" t="str">
        <f>C89</f>
        <v>Debt Reserve</v>
      </c>
    </row>
    <row r="108" ht="13.5" customHeight="1">
      <c r="C108" s="4" t="str">
        <f>C90</f>
        <v>Treasury Fee</v>
      </c>
    </row>
    <row r="109" ht="13.5" customHeight="1" thickBot="1">
      <c r="C109" s="4" t="str">
        <f>C91</f>
        <v>Intercept</v>
      </c>
    </row>
    <row r="110" ht="13.5" customHeight="1" thickBot="1">
      <c r="C110" s="6" t="s">
        <v>34</v>
      </c>
    </row>
    <row r="111" ht="13.5" customHeight="1">
      <c r="C111" s="10"/>
    </row>
    <row r="112" spans="2:3" ht="13.5" customHeight="1">
      <c r="B112" s="35" t="s">
        <v>104</v>
      </c>
      <c r="C112" s="25" t="s">
        <v>35</v>
      </c>
    </row>
    <row r="113" ht="13.5" customHeight="1">
      <c r="C113" s="4" t="str">
        <f>C95</f>
        <v>Debt Reserve</v>
      </c>
    </row>
    <row r="114" ht="13.5" customHeight="1">
      <c r="C114" s="4" t="str">
        <f>C96</f>
        <v>Treasury Fee</v>
      </c>
    </row>
    <row r="115" ht="13.5" customHeight="1" thickBot="1">
      <c r="C115" s="4" t="str">
        <f>C97</f>
        <v>Intercept</v>
      </c>
    </row>
    <row r="116" ht="13.5" customHeight="1" thickBot="1">
      <c r="C116" s="6" t="s">
        <v>36</v>
      </c>
    </row>
    <row r="117" ht="13.5" customHeight="1">
      <c r="C117" s="10"/>
    </row>
    <row r="118" spans="2:3" ht="13.5" customHeight="1">
      <c r="B118" s="35" t="s">
        <v>104</v>
      </c>
      <c r="C118" s="25" t="s">
        <v>156</v>
      </c>
    </row>
    <row r="119" ht="13.5" customHeight="1">
      <c r="C119" s="4" t="str">
        <f>C101</f>
        <v>Debt Reserve</v>
      </c>
    </row>
    <row r="120" ht="13.5" customHeight="1">
      <c r="C120" s="4" t="str">
        <f>C102</f>
        <v>Treasury Fee</v>
      </c>
    </row>
    <row r="121" ht="13.5" customHeight="1" thickBot="1">
      <c r="C121" s="4" t="str">
        <f>C103</f>
        <v>Intercept</v>
      </c>
    </row>
    <row r="122" ht="13.5" customHeight="1" thickBot="1">
      <c r="C122" s="6" t="s">
        <v>37</v>
      </c>
    </row>
    <row r="123" ht="13.5" customHeight="1">
      <c r="C123" s="10"/>
    </row>
    <row r="124" spans="2:3" ht="13.5" customHeight="1">
      <c r="B124" s="35" t="s">
        <v>104</v>
      </c>
      <c r="C124" s="25" t="s">
        <v>38</v>
      </c>
    </row>
    <row r="125" ht="13.5" customHeight="1">
      <c r="C125" s="4" t="str">
        <f>C107</f>
        <v>Debt Reserve</v>
      </c>
    </row>
    <row r="126" ht="13.5" customHeight="1">
      <c r="C126" s="4" t="str">
        <f>C108</f>
        <v>Treasury Fee</v>
      </c>
    </row>
    <row r="127" ht="13.5" customHeight="1" thickBot="1">
      <c r="C127" s="4" t="str">
        <f>C109</f>
        <v>Intercept</v>
      </c>
    </row>
    <row r="128" ht="13.5" customHeight="1" thickBot="1">
      <c r="C128" s="6" t="s">
        <v>39</v>
      </c>
    </row>
    <row r="129" ht="13.5" customHeight="1">
      <c r="C129" s="10"/>
    </row>
    <row r="130" spans="2:3" ht="13.5" customHeight="1">
      <c r="B130" s="35" t="s">
        <v>104</v>
      </c>
      <c r="C130" s="25" t="s">
        <v>42</v>
      </c>
    </row>
    <row r="131" ht="13.5" customHeight="1">
      <c r="C131" s="4" t="str">
        <f>C113</f>
        <v>Debt Reserve</v>
      </c>
    </row>
    <row r="132" ht="13.5" customHeight="1">
      <c r="C132" s="4" t="str">
        <f>C114</f>
        <v>Treasury Fee</v>
      </c>
    </row>
    <row r="133" ht="13.5" customHeight="1" thickBot="1">
      <c r="C133" s="4" t="str">
        <f>C115</f>
        <v>Intercept</v>
      </c>
    </row>
    <row r="134" ht="13.5" customHeight="1" thickBot="1">
      <c r="C134" s="6" t="s">
        <v>40</v>
      </c>
    </row>
    <row r="135" ht="13.5" customHeight="1">
      <c r="C135" s="10"/>
    </row>
    <row r="136" spans="2:3" ht="13.5" customHeight="1">
      <c r="B136" s="35" t="s">
        <v>104</v>
      </c>
      <c r="C136" s="8" t="s">
        <v>43</v>
      </c>
    </row>
    <row r="137" ht="13.5" customHeight="1">
      <c r="C137" s="4" t="str">
        <f>C119</f>
        <v>Debt Reserve</v>
      </c>
    </row>
    <row r="138" ht="13.5" customHeight="1">
      <c r="C138" s="4" t="str">
        <f>C120</f>
        <v>Treasury Fee</v>
      </c>
    </row>
    <row r="139" ht="13.5" customHeight="1" thickBot="1">
      <c r="C139" s="4" t="str">
        <f>C121</f>
        <v>Intercept</v>
      </c>
    </row>
    <row r="140" ht="13.5" customHeight="1" thickBot="1">
      <c r="C140" s="6" t="s">
        <v>44</v>
      </c>
    </row>
    <row r="141" ht="13.5" customHeight="1">
      <c r="C141" s="10"/>
    </row>
    <row r="142" spans="2:3" ht="13.5" customHeight="1">
      <c r="B142" s="35" t="s">
        <v>104</v>
      </c>
      <c r="C142" s="25" t="s">
        <v>45</v>
      </c>
    </row>
    <row r="143" ht="13.5" customHeight="1">
      <c r="C143" s="4" t="str">
        <f>C125</f>
        <v>Debt Reserve</v>
      </c>
    </row>
    <row r="144" ht="13.5" customHeight="1">
      <c r="C144" s="4" t="str">
        <f>C126</f>
        <v>Treasury Fee</v>
      </c>
    </row>
    <row r="145" ht="13.5" customHeight="1" thickBot="1">
      <c r="C145" s="4" t="str">
        <f>C127</f>
        <v>Intercept</v>
      </c>
    </row>
    <row r="146" ht="13.5" customHeight="1" thickBot="1">
      <c r="C146" s="6" t="s">
        <v>46</v>
      </c>
    </row>
    <row r="147" ht="13.5" customHeight="1">
      <c r="C147" s="10"/>
    </row>
    <row r="148" spans="2:3" ht="13.5" customHeight="1">
      <c r="B148" s="35" t="s">
        <v>104</v>
      </c>
      <c r="C148" s="25" t="s">
        <v>47</v>
      </c>
    </row>
    <row r="149" ht="13.5" customHeight="1">
      <c r="C149" s="4" t="str">
        <f>C131</f>
        <v>Debt Reserve</v>
      </c>
    </row>
    <row r="150" ht="13.5" customHeight="1">
      <c r="C150" s="4" t="str">
        <f>C132</f>
        <v>Treasury Fee</v>
      </c>
    </row>
    <row r="151" ht="13.5" customHeight="1" thickBot="1">
      <c r="C151" s="4" t="str">
        <f>C133</f>
        <v>Intercept</v>
      </c>
    </row>
    <row r="152" ht="13.5" customHeight="1" thickBot="1">
      <c r="C152" s="6" t="s">
        <v>48</v>
      </c>
    </row>
    <row r="153" ht="13.5" customHeight="1">
      <c r="C153" s="10"/>
    </row>
    <row r="154" spans="2:3" ht="13.5" customHeight="1">
      <c r="B154" s="35" t="s">
        <v>104</v>
      </c>
      <c r="C154" s="25" t="s">
        <v>49</v>
      </c>
    </row>
    <row r="155" ht="13.5" customHeight="1">
      <c r="C155" s="4" t="str">
        <f>C137</f>
        <v>Debt Reserve</v>
      </c>
    </row>
    <row r="156" ht="13.5" customHeight="1">
      <c r="C156" s="4" t="str">
        <f>C138</f>
        <v>Treasury Fee</v>
      </c>
    </row>
    <row r="157" ht="13.5" customHeight="1" thickBot="1">
      <c r="C157" s="4" t="str">
        <f>C139</f>
        <v>Intercept</v>
      </c>
    </row>
    <row r="158" ht="13.5" customHeight="1" thickBot="1">
      <c r="C158" s="6" t="s">
        <v>50</v>
      </c>
    </row>
    <row r="159" ht="13.5" customHeight="1">
      <c r="C159" s="10"/>
    </row>
    <row r="160" spans="2:3" ht="13.5" customHeight="1">
      <c r="B160" s="35" t="s">
        <v>104</v>
      </c>
      <c r="C160" s="8" t="s">
        <v>51</v>
      </c>
    </row>
    <row r="161" ht="13.5" customHeight="1">
      <c r="C161" s="4" t="str">
        <f>C143</f>
        <v>Debt Reserve</v>
      </c>
    </row>
    <row r="162" ht="13.5" customHeight="1">
      <c r="C162" s="4" t="str">
        <f>C144</f>
        <v>Treasury Fee</v>
      </c>
    </row>
    <row r="163" ht="13.5" customHeight="1" thickBot="1">
      <c r="C163" s="4" t="str">
        <f>C145</f>
        <v>Intercept</v>
      </c>
    </row>
    <row r="164" ht="13.5" customHeight="1" thickBot="1">
      <c r="C164" s="6" t="s">
        <v>52</v>
      </c>
    </row>
    <row r="165" ht="13.5" customHeight="1">
      <c r="C165" s="10"/>
    </row>
    <row r="166" spans="2:3" ht="13.5" customHeight="1">
      <c r="B166" s="35" t="s">
        <v>104</v>
      </c>
      <c r="C166" s="25" t="s">
        <v>55</v>
      </c>
    </row>
    <row r="167" ht="13.5" customHeight="1">
      <c r="C167" s="4" t="str">
        <f>C149</f>
        <v>Debt Reserve</v>
      </c>
    </row>
    <row r="168" ht="13.5" customHeight="1">
      <c r="C168" s="4" t="str">
        <f>C150</f>
        <v>Treasury Fee</v>
      </c>
    </row>
    <row r="169" ht="13.5" customHeight="1" thickBot="1">
      <c r="C169" s="4" t="str">
        <f>C151</f>
        <v>Intercept</v>
      </c>
    </row>
    <row r="170" ht="13.5" customHeight="1" thickBot="1">
      <c r="C170" s="6" t="s">
        <v>53</v>
      </c>
    </row>
    <row r="171" ht="13.5" customHeight="1">
      <c r="C171" s="10"/>
    </row>
    <row r="172" spans="2:3" ht="13.5" customHeight="1">
      <c r="B172" s="35" t="s">
        <v>104</v>
      </c>
      <c r="C172" s="25" t="s">
        <v>56</v>
      </c>
    </row>
    <row r="173" ht="13.5" customHeight="1">
      <c r="C173" s="4" t="str">
        <f>C155</f>
        <v>Debt Reserve</v>
      </c>
    </row>
    <row r="174" ht="13.5" customHeight="1">
      <c r="C174" s="4" t="str">
        <f>C156</f>
        <v>Treasury Fee</v>
      </c>
    </row>
    <row r="175" ht="13.5" customHeight="1" thickBot="1">
      <c r="C175" s="4" t="str">
        <f>C157</f>
        <v>Intercept</v>
      </c>
    </row>
    <row r="176" ht="13.5" customHeight="1" thickBot="1">
      <c r="C176" s="6" t="s">
        <v>57</v>
      </c>
    </row>
    <row r="177" ht="13.5" customHeight="1">
      <c r="C177" s="10"/>
    </row>
    <row r="178" spans="2:3" ht="13.5" customHeight="1">
      <c r="B178" s="35" t="s">
        <v>104</v>
      </c>
      <c r="C178" s="25" t="s">
        <v>58</v>
      </c>
    </row>
    <row r="179" ht="13.5" customHeight="1">
      <c r="C179" s="4" t="str">
        <f>C161</f>
        <v>Debt Reserve</v>
      </c>
    </row>
    <row r="180" ht="13.5" customHeight="1">
      <c r="C180" s="4" t="str">
        <f>C162</f>
        <v>Treasury Fee</v>
      </c>
    </row>
    <row r="181" ht="13.5" customHeight="1" thickBot="1">
      <c r="C181" s="4" t="str">
        <f>C163</f>
        <v>Intercept</v>
      </c>
    </row>
    <row r="182" ht="13.5" customHeight="1" thickBot="1">
      <c r="C182" s="6" t="s">
        <v>59</v>
      </c>
    </row>
    <row r="183" ht="13.5" customHeight="1">
      <c r="C183" s="10"/>
    </row>
    <row r="184" spans="2:3" ht="13.5" customHeight="1">
      <c r="B184" s="35" t="s">
        <v>104</v>
      </c>
      <c r="C184" s="25" t="s">
        <v>61</v>
      </c>
    </row>
    <row r="185" ht="13.5" customHeight="1">
      <c r="C185" s="4" t="str">
        <f>C167</f>
        <v>Debt Reserve</v>
      </c>
    </row>
    <row r="186" ht="13.5" customHeight="1">
      <c r="C186" s="4" t="str">
        <f>C168</f>
        <v>Treasury Fee</v>
      </c>
    </row>
    <row r="187" ht="13.5" customHeight="1" thickBot="1">
      <c r="C187" s="4" t="str">
        <f>C169</f>
        <v>Intercept</v>
      </c>
    </row>
    <row r="188" ht="13.5" customHeight="1" thickBot="1">
      <c r="C188" s="6" t="s">
        <v>62</v>
      </c>
    </row>
    <row r="189" ht="13.5" customHeight="1">
      <c r="C189" s="10"/>
    </row>
    <row r="190" spans="2:3" ht="13.5" customHeight="1">
      <c r="B190" s="35" t="s">
        <v>104</v>
      </c>
      <c r="C190" s="25" t="s">
        <v>63</v>
      </c>
    </row>
    <row r="191" ht="13.5" customHeight="1">
      <c r="C191" s="4" t="str">
        <f>C173</f>
        <v>Debt Reserve</v>
      </c>
    </row>
    <row r="192" ht="13.5" customHeight="1">
      <c r="C192" s="4" t="str">
        <f>C174</f>
        <v>Treasury Fee</v>
      </c>
    </row>
    <row r="193" ht="13.5" customHeight="1" thickBot="1">
      <c r="C193" s="4" t="str">
        <f>C175</f>
        <v>Intercept</v>
      </c>
    </row>
    <row r="194" ht="13.5" customHeight="1" thickBot="1">
      <c r="C194" s="6" t="s">
        <v>64</v>
      </c>
    </row>
    <row r="195" ht="13.5" customHeight="1">
      <c r="C195" s="10"/>
    </row>
    <row r="196" spans="2:3" ht="13.5" customHeight="1">
      <c r="B196" s="35" t="s">
        <v>104</v>
      </c>
      <c r="C196" s="25" t="s">
        <v>65</v>
      </c>
    </row>
    <row r="197" ht="13.5" customHeight="1">
      <c r="C197" s="4" t="str">
        <f>C179</f>
        <v>Debt Reserve</v>
      </c>
    </row>
    <row r="198" ht="13.5" customHeight="1">
      <c r="C198" s="4" t="str">
        <f>C180</f>
        <v>Treasury Fee</v>
      </c>
    </row>
    <row r="199" ht="13.5" customHeight="1" thickBot="1">
      <c r="C199" s="4" t="str">
        <f>C181</f>
        <v>Intercept</v>
      </c>
    </row>
    <row r="200" ht="13.5" customHeight="1" thickBot="1">
      <c r="C200" s="6" t="s">
        <v>66</v>
      </c>
    </row>
    <row r="201" ht="13.5" customHeight="1">
      <c r="C201" s="10"/>
    </row>
    <row r="202" spans="2:3" ht="13.5" customHeight="1">
      <c r="B202" s="35" t="s">
        <v>104</v>
      </c>
      <c r="C202" s="25" t="s">
        <v>133</v>
      </c>
    </row>
    <row r="203" ht="13.5" customHeight="1">
      <c r="C203" s="4" t="str">
        <f>C185</f>
        <v>Debt Reserve</v>
      </c>
    </row>
    <row r="204" ht="13.5" customHeight="1">
      <c r="C204" s="4" t="str">
        <f>C186</f>
        <v>Treasury Fee</v>
      </c>
    </row>
    <row r="205" ht="13.5" customHeight="1" thickBot="1">
      <c r="C205" s="4" t="str">
        <f>C187</f>
        <v>Intercept</v>
      </c>
    </row>
    <row r="206" ht="13.5" customHeight="1" thickBot="1">
      <c r="C206" s="6" t="s">
        <v>67</v>
      </c>
    </row>
    <row r="207" ht="13.5" customHeight="1">
      <c r="C207" s="10"/>
    </row>
    <row r="208" spans="2:3" ht="13.5" customHeight="1">
      <c r="B208" s="35" t="s">
        <v>104</v>
      </c>
      <c r="C208" s="25" t="s">
        <v>68</v>
      </c>
    </row>
    <row r="209" ht="13.5" customHeight="1">
      <c r="C209" s="4" t="str">
        <f>C191</f>
        <v>Debt Reserve</v>
      </c>
    </row>
    <row r="210" ht="13.5" customHeight="1">
      <c r="C210" s="4" t="str">
        <f>C192</f>
        <v>Treasury Fee</v>
      </c>
    </row>
    <row r="211" ht="13.5" customHeight="1" thickBot="1">
      <c r="C211" s="4" t="str">
        <f>C193</f>
        <v>Intercept</v>
      </c>
    </row>
    <row r="212" ht="13.5" customHeight="1" thickBot="1">
      <c r="C212" s="6" t="s">
        <v>20</v>
      </c>
    </row>
    <row r="213" ht="13.5" customHeight="1">
      <c r="C213" s="10"/>
    </row>
    <row r="214" spans="2:3" ht="13.5" customHeight="1">
      <c r="B214" s="35" t="s">
        <v>104</v>
      </c>
      <c r="C214" s="25" t="s">
        <v>69</v>
      </c>
    </row>
    <row r="215" ht="13.5" customHeight="1">
      <c r="C215" s="4" t="str">
        <f>C197</f>
        <v>Debt Reserve</v>
      </c>
    </row>
    <row r="216" ht="13.5" customHeight="1">
      <c r="C216" s="4" t="str">
        <f>C198</f>
        <v>Treasury Fee</v>
      </c>
    </row>
    <row r="217" ht="13.5" customHeight="1" thickBot="1">
      <c r="C217" s="4" t="str">
        <f>C199</f>
        <v>Intercept</v>
      </c>
    </row>
    <row r="218" ht="13.5" customHeight="1" thickBot="1">
      <c r="C218" s="6" t="s">
        <v>70</v>
      </c>
    </row>
    <row r="219" ht="13.5" customHeight="1">
      <c r="C219" s="10"/>
    </row>
    <row r="220" spans="2:3" ht="13.5" customHeight="1">
      <c r="B220" s="35" t="s">
        <v>104</v>
      </c>
      <c r="C220" s="25" t="s">
        <v>71</v>
      </c>
    </row>
    <row r="221" spans="3:22" ht="13.5" customHeight="1">
      <c r="C221" s="4" t="str">
        <f>C203</f>
        <v>Debt Reserve</v>
      </c>
      <c r="J221" s="45">
        <v>299.12</v>
      </c>
      <c r="K221" s="45">
        <v>299.12</v>
      </c>
      <c r="L221" s="45">
        <v>299.12</v>
      </c>
      <c r="M221" s="45">
        <v>299.12</v>
      </c>
      <c r="N221" s="45">
        <v>299.12</v>
      </c>
      <c r="O221" s="45">
        <v>299.12</v>
      </c>
      <c r="P221" s="45">
        <v>284.56</v>
      </c>
      <c r="Q221" s="45"/>
      <c r="R221" s="45"/>
      <c r="S221" s="45"/>
      <c r="T221" s="45"/>
      <c r="U221" s="52"/>
      <c r="V221" s="21">
        <f>SUM(J221:U221)</f>
        <v>2079.2799999999997</v>
      </c>
    </row>
    <row r="222" spans="3:22" ht="13.5" customHeight="1">
      <c r="C222" s="4" t="str">
        <f>C204</f>
        <v>Treasury Fee</v>
      </c>
      <c r="J222" s="45">
        <v>250</v>
      </c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52"/>
      <c r="V222" s="21">
        <f>SUM(J222:U222)</f>
        <v>250</v>
      </c>
    </row>
    <row r="223" spans="3:22" ht="13.5" customHeight="1" thickBot="1">
      <c r="C223" s="4" t="str">
        <f>C205</f>
        <v>Intercept</v>
      </c>
      <c r="J223" s="45">
        <f>14583.33+12992.71</f>
        <v>27576.04</v>
      </c>
      <c r="K223" s="45">
        <f>14583.33+12992.71</f>
        <v>27576.04</v>
      </c>
      <c r="L223" s="45">
        <f>14583.33+12992.71</f>
        <v>27576.04</v>
      </c>
      <c r="M223" s="45">
        <f>14583.33+12992.71</f>
        <v>27576.04</v>
      </c>
      <c r="N223" s="45">
        <f>14583.33+12992.71</f>
        <v>27576.04</v>
      </c>
      <c r="O223" s="45">
        <f>15000+12365.63</f>
        <v>27365.629999999997</v>
      </c>
      <c r="P223" s="45">
        <f>15000+12365.63</f>
        <v>27365.629999999997</v>
      </c>
      <c r="Q223" s="45"/>
      <c r="R223" s="45"/>
      <c r="S223" s="45"/>
      <c r="T223" s="45"/>
      <c r="U223" s="52"/>
      <c r="V223" s="21">
        <f>SUM(J223:U223)</f>
        <v>192611.46000000002</v>
      </c>
    </row>
    <row r="224" spans="3:22" ht="13.5" customHeight="1" thickBot="1">
      <c r="C224" s="6" t="s">
        <v>72</v>
      </c>
      <c r="J224" s="22">
        <f aca="true" t="shared" si="0" ref="J224:U224">SUM(J221:J223)</f>
        <v>28125.16</v>
      </c>
      <c r="K224" s="22">
        <f t="shared" si="0"/>
        <v>27875.16</v>
      </c>
      <c r="L224" s="22">
        <f t="shared" si="0"/>
        <v>27875.16</v>
      </c>
      <c r="M224" s="22">
        <f t="shared" si="0"/>
        <v>27875.16</v>
      </c>
      <c r="N224" s="22">
        <f t="shared" si="0"/>
        <v>27875.16</v>
      </c>
      <c r="O224" s="22">
        <f t="shared" si="0"/>
        <v>27664.749999999996</v>
      </c>
      <c r="P224" s="22">
        <f t="shared" si="0"/>
        <v>27650.19</v>
      </c>
      <c r="Q224" s="22">
        <f t="shared" si="0"/>
        <v>0</v>
      </c>
      <c r="R224" s="22">
        <f t="shared" si="0"/>
        <v>0</v>
      </c>
      <c r="S224" s="22">
        <f t="shared" si="0"/>
        <v>0</v>
      </c>
      <c r="T224" s="22">
        <f t="shared" si="0"/>
        <v>0</v>
      </c>
      <c r="U224" s="30">
        <f t="shared" si="0"/>
        <v>0</v>
      </c>
      <c r="V224" s="22">
        <f>SUM(V221:V223)</f>
        <v>194940.74000000002</v>
      </c>
    </row>
    <row r="225" ht="13.5" customHeight="1">
      <c r="C225" s="10"/>
    </row>
    <row r="226" spans="2:3" ht="13.5" customHeight="1">
      <c r="B226" s="35" t="s">
        <v>104</v>
      </c>
      <c r="C226" s="33" t="s">
        <v>73</v>
      </c>
    </row>
    <row r="227" ht="13.5" customHeight="1">
      <c r="C227" s="4" t="str">
        <f>C209</f>
        <v>Debt Reserve</v>
      </c>
    </row>
    <row r="228" ht="13.5" customHeight="1">
      <c r="C228" s="4" t="str">
        <f>C210</f>
        <v>Treasury Fee</v>
      </c>
    </row>
    <row r="229" ht="13.5" customHeight="1" thickBot="1">
      <c r="C229" s="4" t="str">
        <f>C211</f>
        <v>Intercept</v>
      </c>
    </row>
    <row r="230" ht="13.5" customHeight="1" thickBot="1">
      <c r="C230" s="12" t="s">
        <v>74</v>
      </c>
    </row>
    <row r="231" ht="13.5" customHeight="1">
      <c r="C231" s="10"/>
    </row>
    <row r="232" spans="2:3" ht="13.5" customHeight="1">
      <c r="B232" s="35" t="s">
        <v>104</v>
      </c>
      <c r="C232" s="33" t="s">
        <v>75</v>
      </c>
    </row>
    <row r="233" ht="13.5" customHeight="1">
      <c r="C233" s="4" t="str">
        <f>C221</f>
        <v>Debt Reserve</v>
      </c>
    </row>
    <row r="234" ht="13.5" customHeight="1">
      <c r="C234" s="4" t="str">
        <f>C222</f>
        <v>Treasury Fee</v>
      </c>
    </row>
    <row r="235" ht="13.5" customHeight="1" thickBot="1">
      <c r="C235" s="4" t="str">
        <f>C223</f>
        <v>Intercept</v>
      </c>
    </row>
    <row r="236" ht="13.5" customHeight="1" thickBot="1">
      <c r="C236" s="12" t="s">
        <v>76</v>
      </c>
    </row>
    <row r="237" ht="13.5" customHeight="1">
      <c r="C237" s="10"/>
    </row>
    <row r="238" spans="2:3" ht="13.5" customHeight="1">
      <c r="B238" s="35" t="s">
        <v>104</v>
      </c>
      <c r="C238" s="33" t="s">
        <v>77</v>
      </c>
    </row>
    <row r="239" spans="3:22" ht="13.5" customHeight="1">
      <c r="C239" s="4" t="str">
        <f>C227</f>
        <v>Debt Reserve</v>
      </c>
      <c r="J239" s="45">
        <v>530.42</v>
      </c>
      <c r="K239" s="45">
        <v>530.42</v>
      </c>
      <c r="L239" s="45">
        <v>530.42</v>
      </c>
      <c r="M239" s="45">
        <v>530.42</v>
      </c>
      <c r="N239" s="45">
        <v>530.42</v>
      </c>
      <c r="O239" s="45">
        <v>530.42</v>
      </c>
      <c r="P239" s="45">
        <v>530.42</v>
      </c>
      <c r="Q239" s="45">
        <v>530.42</v>
      </c>
      <c r="R239" s="45">
        <v>530.42</v>
      </c>
      <c r="S239" s="45">
        <v>530.42</v>
      </c>
      <c r="T239" s="45">
        <v>530.42</v>
      </c>
      <c r="U239" s="52"/>
      <c r="V239" s="21">
        <f>SUM(J239:U239)</f>
        <v>5834.62</v>
      </c>
    </row>
    <row r="240" spans="3:22" ht="13.5" customHeight="1">
      <c r="C240" s="4" t="str">
        <f>C228</f>
        <v>Treasury Fee</v>
      </c>
      <c r="J240" s="45">
        <v>250</v>
      </c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52"/>
      <c r="V240" s="21">
        <f>SUM(J240:U240)</f>
        <v>250</v>
      </c>
    </row>
    <row r="241" spans="3:22" ht="13.5" customHeight="1" thickBot="1">
      <c r="C241" s="4" t="str">
        <f>C229</f>
        <v>Intercept</v>
      </c>
      <c r="J241" s="45">
        <f aca="true" t="shared" si="1" ref="J241:Q241">23333.33+24294.48</f>
        <v>47627.81</v>
      </c>
      <c r="K241" s="45">
        <f t="shared" si="1"/>
        <v>47627.81</v>
      </c>
      <c r="L241" s="45">
        <f t="shared" si="1"/>
        <v>47627.81</v>
      </c>
      <c r="M241" s="45">
        <f t="shared" si="1"/>
        <v>47627.81</v>
      </c>
      <c r="N241" s="45">
        <f t="shared" si="1"/>
        <v>47627.81</v>
      </c>
      <c r="O241" s="45">
        <f t="shared" si="1"/>
        <v>47627.81</v>
      </c>
      <c r="P241" s="45">
        <f t="shared" si="1"/>
        <v>47627.81</v>
      </c>
      <c r="Q241" s="45">
        <f t="shared" si="1"/>
        <v>47627.81</v>
      </c>
      <c r="R241" s="45">
        <f>24166.67+23244.48</f>
        <v>47411.149999999994</v>
      </c>
      <c r="S241" s="45">
        <f>24166.67+23244.48</f>
        <v>47411.149999999994</v>
      </c>
      <c r="T241" s="45">
        <f>24166.67+23244.48</f>
        <v>47411.149999999994</v>
      </c>
      <c r="U241" s="52"/>
      <c r="V241" s="21">
        <f>SUM(J241:U241)</f>
        <v>523255.93000000005</v>
      </c>
    </row>
    <row r="242" spans="3:22" ht="13.5" customHeight="1" thickBot="1">
      <c r="C242" s="12" t="s">
        <v>78</v>
      </c>
      <c r="J242" s="22">
        <f aca="true" t="shared" si="2" ref="J242:U242">SUM(J239:J241)</f>
        <v>48408.229999999996</v>
      </c>
      <c r="K242" s="22">
        <f t="shared" si="2"/>
        <v>48158.229999999996</v>
      </c>
      <c r="L242" s="22">
        <f t="shared" si="2"/>
        <v>48158.229999999996</v>
      </c>
      <c r="M242" s="22">
        <f t="shared" si="2"/>
        <v>48158.229999999996</v>
      </c>
      <c r="N242" s="22">
        <f t="shared" si="2"/>
        <v>48158.229999999996</v>
      </c>
      <c r="O242" s="22">
        <f t="shared" si="2"/>
        <v>48158.229999999996</v>
      </c>
      <c r="P242" s="22">
        <f t="shared" si="2"/>
        <v>48158.229999999996</v>
      </c>
      <c r="Q242" s="22">
        <f t="shared" si="2"/>
        <v>48158.229999999996</v>
      </c>
      <c r="R242" s="22">
        <f t="shared" si="2"/>
        <v>47941.56999999999</v>
      </c>
      <c r="S242" s="22">
        <f t="shared" si="2"/>
        <v>47941.56999999999</v>
      </c>
      <c r="T242" s="22">
        <f t="shared" si="2"/>
        <v>47941.56999999999</v>
      </c>
      <c r="U242" s="30">
        <f t="shared" si="2"/>
        <v>0</v>
      </c>
      <c r="V242" s="22">
        <f>SUM(V239:V241)</f>
        <v>529340.55</v>
      </c>
    </row>
    <row r="243" ht="13.5" customHeight="1">
      <c r="C243" s="10"/>
    </row>
    <row r="244" spans="2:3" ht="13.5" customHeight="1">
      <c r="B244" s="35" t="s">
        <v>104</v>
      </c>
      <c r="C244" s="33" t="s">
        <v>79</v>
      </c>
    </row>
    <row r="245" ht="13.5" customHeight="1">
      <c r="C245" s="4" t="str">
        <f>C239</f>
        <v>Debt Reserve</v>
      </c>
    </row>
    <row r="246" ht="13.5" customHeight="1">
      <c r="C246" s="4" t="str">
        <f>C240</f>
        <v>Treasury Fee</v>
      </c>
    </row>
    <row r="247" ht="13.5" customHeight="1" thickBot="1">
      <c r="C247" s="4" t="str">
        <f>C241</f>
        <v>Intercept</v>
      </c>
    </row>
    <row r="248" ht="13.5" customHeight="1" thickBot="1">
      <c r="C248" s="6" t="s">
        <v>30</v>
      </c>
    </row>
    <row r="249" ht="13.5" customHeight="1">
      <c r="C249" s="10"/>
    </row>
    <row r="250" spans="2:3" ht="13.5" customHeight="1">
      <c r="B250" s="35" t="s">
        <v>104</v>
      </c>
      <c r="C250" s="33" t="s">
        <v>80</v>
      </c>
    </row>
    <row r="251" ht="13.5" customHeight="1">
      <c r="C251" s="4" t="str">
        <f>C245</f>
        <v>Debt Reserve</v>
      </c>
    </row>
    <row r="252" ht="13.5" customHeight="1">
      <c r="C252" s="4" t="str">
        <f>C246</f>
        <v>Treasury Fee</v>
      </c>
    </row>
    <row r="253" ht="13.5" customHeight="1" thickBot="1">
      <c r="C253" s="4" t="str">
        <f>C247</f>
        <v>Intercept</v>
      </c>
    </row>
    <row r="254" ht="13.5" customHeight="1" thickBot="1">
      <c r="C254" s="6" t="s">
        <v>32</v>
      </c>
    </row>
    <row r="255" ht="13.5" customHeight="1">
      <c r="C255" s="10"/>
    </row>
    <row r="256" spans="2:3" ht="13.5" customHeight="1">
      <c r="B256" s="35" t="s">
        <v>104</v>
      </c>
      <c r="C256" s="33" t="s">
        <v>81</v>
      </c>
    </row>
    <row r="257" ht="13.5" customHeight="1">
      <c r="C257" s="4" t="str">
        <f>C251</f>
        <v>Debt Reserve</v>
      </c>
    </row>
    <row r="258" ht="13.5" customHeight="1">
      <c r="C258" s="4" t="str">
        <f>C252</f>
        <v>Treasury Fee</v>
      </c>
    </row>
    <row r="259" ht="13.5" customHeight="1" thickBot="1">
      <c r="C259" s="4" t="str">
        <f>C253</f>
        <v>Intercept</v>
      </c>
    </row>
    <row r="260" ht="13.5" customHeight="1" thickBot="1">
      <c r="C260" s="12" t="s">
        <v>82</v>
      </c>
    </row>
    <row r="261" ht="13.5" customHeight="1">
      <c r="C261" s="13"/>
    </row>
    <row r="262" spans="1:3" ht="13.5" customHeight="1">
      <c r="A262" s="14"/>
      <c r="B262" s="36" t="s">
        <v>103</v>
      </c>
      <c r="C262" s="26" t="s">
        <v>84</v>
      </c>
    </row>
    <row r="263" ht="13.5" customHeight="1">
      <c r="C263" s="4" t="str">
        <f>C257</f>
        <v>Debt Reserve</v>
      </c>
    </row>
    <row r="264" ht="13.5" customHeight="1">
      <c r="C264" s="4" t="str">
        <f>C258</f>
        <v>Treasury Fee</v>
      </c>
    </row>
    <row r="265" ht="13.5" customHeight="1" thickBot="1">
      <c r="C265" s="4" t="str">
        <f>C259</f>
        <v>Intercept</v>
      </c>
    </row>
    <row r="266" ht="13.5" customHeight="1" thickBot="1">
      <c r="C266" s="12" t="s">
        <v>85</v>
      </c>
    </row>
    <row r="267" ht="13.5" customHeight="1">
      <c r="C267" s="13"/>
    </row>
    <row r="268" spans="1:3" ht="13.5" customHeight="1">
      <c r="A268" s="14"/>
      <c r="B268" s="35" t="s">
        <v>104</v>
      </c>
      <c r="C268" s="33" t="s">
        <v>87</v>
      </c>
    </row>
    <row r="269" ht="13.5" customHeight="1">
      <c r="C269" s="4" t="str">
        <f>C263</f>
        <v>Debt Reserve</v>
      </c>
    </row>
    <row r="270" ht="13.5" customHeight="1">
      <c r="C270" s="4" t="str">
        <f>C264</f>
        <v>Treasury Fee</v>
      </c>
    </row>
    <row r="271" ht="13.5" customHeight="1" thickBot="1">
      <c r="C271" s="4" t="str">
        <f>C265</f>
        <v>Intercept</v>
      </c>
    </row>
    <row r="272" ht="13.5" customHeight="1" thickBot="1">
      <c r="C272" s="12" t="s">
        <v>88</v>
      </c>
    </row>
    <row r="273" ht="13.5" customHeight="1">
      <c r="C273" s="13"/>
    </row>
    <row r="274" spans="1:3" ht="13.5" customHeight="1">
      <c r="A274" s="14">
        <v>1</v>
      </c>
      <c r="C274" s="11" t="s">
        <v>89</v>
      </c>
    </row>
    <row r="275" spans="3:22" ht="13.5" customHeight="1">
      <c r="C275" s="4" t="str">
        <f>C269</f>
        <v>Debt Reserve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  <c r="S275" s="21">
        <v>0</v>
      </c>
      <c r="T275" s="21">
        <v>0</v>
      </c>
      <c r="U275" s="29">
        <v>0</v>
      </c>
      <c r="V275" s="21">
        <f>SUM(J275:U275)</f>
        <v>0</v>
      </c>
    </row>
    <row r="276" spans="3:22" ht="13.5" customHeight="1">
      <c r="C276" s="4" t="str">
        <f>C270</f>
        <v>Treasury Fee</v>
      </c>
      <c r="J276" s="45">
        <v>250</v>
      </c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52"/>
      <c r="V276" s="21">
        <f>SUM(J276:U276)</f>
        <v>250</v>
      </c>
    </row>
    <row r="277" spans="3:22" ht="13.5" customHeight="1" thickBot="1">
      <c r="C277" s="4" t="str">
        <f>C271</f>
        <v>Intercept</v>
      </c>
      <c r="J277" s="45">
        <f aca="true" t="shared" si="3" ref="J277:S277">4166.67+9937.5</f>
        <v>14104.17</v>
      </c>
      <c r="K277" s="45">
        <f t="shared" si="3"/>
        <v>14104.17</v>
      </c>
      <c r="L277" s="45">
        <f t="shared" si="3"/>
        <v>14104.17</v>
      </c>
      <c r="M277" s="45">
        <f t="shared" si="3"/>
        <v>14104.17</v>
      </c>
      <c r="N277" s="45">
        <f t="shared" si="3"/>
        <v>14104.17</v>
      </c>
      <c r="O277" s="45">
        <f t="shared" si="3"/>
        <v>14104.17</v>
      </c>
      <c r="P277" s="45">
        <f t="shared" si="3"/>
        <v>14104.17</v>
      </c>
      <c r="Q277" s="45">
        <f t="shared" si="3"/>
        <v>14104.17</v>
      </c>
      <c r="R277" s="45">
        <f t="shared" si="3"/>
        <v>14104.17</v>
      </c>
      <c r="S277" s="45">
        <f t="shared" si="3"/>
        <v>14104.17</v>
      </c>
      <c r="T277" s="45">
        <f>4583.33+9625</f>
        <v>14208.33</v>
      </c>
      <c r="U277" s="52">
        <f>4583.33+9625</f>
        <v>14208.33</v>
      </c>
      <c r="V277" s="21">
        <f>SUM(J277:U277)</f>
        <v>169458.36</v>
      </c>
    </row>
    <row r="278" spans="3:22" ht="13.5" customHeight="1" thickBot="1">
      <c r="C278" s="12" t="s">
        <v>90</v>
      </c>
      <c r="J278" s="22">
        <f aca="true" t="shared" si="4" ref="J278:U278">SUM(J275:J277)</f>
        <v>14354.17</v>
      </c>
      <c r="K278" s="22">
        <f t="shared" si="4"/>
        <v>14104.17</v>
      </c>
      <c r="L278" s="22">
        <f t="shared" si="4"/>
        <v>14104.17</v>
      </c>
      <c r="M278" s="22">
        <f t="shared" si="4"/>
        <v>14104.17</v>
      </c>
      <c r="N278" s="22">
        <f t="shared" si="4"/>
        <v>14104.17</v>
      </c>
      <c r="O278" s="22">
        <f t="shared" si="4"/>
        <v>14104.17</v>
      </c>
      <c r="P278" s="22">
        <f t="shared" si="4"/>
        <v>14104.17</v>
      </c>
      <c r="Q278" s="22">
        <f t="shared" si="4"/>
        <v>14104.17</v>
      </c>
      <c r="R278" s="22">
        <f t="shared" si="4"/>
        <v>14104.17</v>
      </c>
      <c r="S278" s="22">
        <f t="shared" si="4"/>
        <v>14104.17</v>
      </c>
      <c r="T278" s="22">
        <f t="shared" si="4"/>
        <v>14208.33</v>
      </c>
      <c r="U278" s="30">
        <f t="shared" si="4"/>
        <v>14208.33</v>
      </c>
      <c r="V278" s="22">
        <f>SUM(V275:V277)</f>
        <v>169708.36</v>
      </c>
    </row>
    <row r="279" ht="13.5" customHeight="1">
      <c r="C279" s="13"/>
    </row>
    <row r="280" spans="1:3" ht="13.5" customHeight="1">
      <c r="A280" s="14"/>
      <c r="B280" s="35" t="s">
        <v>104</v>
      </c>
      <c r="C280" s="33" t="s">
        <v>91</v>
      </c>
    </row>
    <row r="281" ht="13.5" customHeight="1">
      <c r="C281" s="4" t="str">
        <f>C275</f>
        <v>Debt Reserve</v>
      </c>
    </row>
    <row r="282" ht="13.5" customHeight="1">
      <c r="C282" s="4" t="str">
        <f>C276</f>
        <v>Treasury Fee</v>
      </c>
    </row>
    <row r="283" ht="13.5" customHeight="1" thickBot="1">
      <c r="C283" s="4" t="str">
        <f>C277</f>
        <v>Intercept</v>
      </c>
    </row>
    <row r="284" ht="13.5" customHeight="1" thickBot="1">
      <c r="C284" s="12" t="s">
        <v>92</v>
      </c>
    </row>
    <row r="285" ht="13.5" customHeight="1">
      <c r="C285" s="13"/>
    </row>
    <row r="286" spans="1:3" ht="13.5" customHeight="1">
      <c r="A286" s="14"/>
      <c r="B286" s="37" t="s">
        <v>104</v>
      </c>
      <c r="C286" s="33" t="s">
        <v>157</v>
      </c>
    </row>
    <row r="287" ht="13.5" customHeight="1">
      <c r="C287" s="4" t="str">
        <f>C281</f>
        <v>Debt Reserve</v>
      </c>
    </row>
    <row r="288" ht="13.5" customHeight="1">
      <c r="C288" s="4" t="str">
        <f>C282</f>
        <v>Treasury Fee</v>
      </c>
    </row>
    <row r="289" ht="13.5" customHeight="1" thickBot="1">
      <c r="C289" s="4" t="str">
        <f>C283</f>
        <v>Intercept</v>
      </c>
    </row>
    <row r="290" ht="13.5" customHeight="1" thickBot="1">
      <c r="C290" s="12" t="s">
        <v>93</v>
      </c>
    </row>
    <row r="291" ht="13.5" customHeight="1">
      <c r="C291" s="13"/>
    </row>
    <row r="292" spans="1:3" ht="13.5" customHeight="1">
      <c r="A292" s="14"/>
      <c r="B292" s="35" t="s">
        <v>104</v>
      </c>
      <c r="C292" s="33" t="s">
        <v>94</v>
      </c>
    </row>
    <row r="293" ht="13.5" customHeight="1">
      <c r="C293" s="4" t="str">
        <f>C287</f>
        <v>Debt Reserve</v>
      </c>
    </row>
    <row r="294" ht="13.5" customHeight="1">
      <c r="C294" s="4" t="str">
        <f>C288</f>
        <v>Treasury Fee</v>
      </c>
    </row>
    <row r="295" ht="13.5" customHeight="1" thickBot="1">
      <c r="C295" s="4" t="str">
        <f>C289</f>
        <v>Intercept</v>
      </c>
    </row>
    <row r="296" ht="13.5" customHeight="1" thickBot="1">
      <c r="C296" s="12" t="s">
        <v>95</v>
      </c>
    </row>
    <row r="297" ht="13.5" customHeight="1">
      <c r="C297" s="13"/>
    </row>
    <row r="298" spans="1:3" ht="13.5" customHeight="1">
      <c r="A298" s="14"/>
      <c r="B298" s="38" t="s">
        <v>103</v>
      </c>
      <c r="C298" s="15" t="s">
        <v>96</v>
      </c>
    </row>
    <row r="299" ht="13.5" customHeight="1">
      <c r="C299" s="4" t="str">
        <f>C293</f>
        <v>Debt Reserve</v>
      </c>
    </row>
    <row r="300" ht="13.5" customHeight="1">
      <c r="C300" s="4" t="str">
        <f>C294</f>
        <v>Treasury Fee</v>
      </c>
    </row>
    <row r="301" ht="13.5" customHeight="1" thickBot="1">
      <c r="C301" s="4" t="str">
        <f>C295</f>
        <v>Intercept</v>
      </c>
    </row>
    <row r="302" ht="13.5" customHeight="1" thickBot="1">
      <c r="C302" s="12" t="s">
        <v>97</v>
      </c>
    </row>
    <row r="303" ht="13.5" customHeight="1">
      <c r="C303" s="13"/>
    </row>
    <row r="304" spans="1:3" ht="13.5" customHeight="1">
      <c r="A304" s="14"/>
      <c r="B304" s="35" t="s">
        <v>104</v>
      </c>
      <c r="C304" s="25" t="s">
        <v>98</v>
      </c>
    </row>
    <row r="305" ht="13.5" customHeight="1">
      <c r="C305" s="4" t="str">
        <f>C299</f>
        <v>Debt Reserve</v>
      </c>
    </row>
    <row r="306" ht="13.5" customHeight="1">
      <c r="C306" s="4" t="str">
        <f>C300</f>
        <v>Treasury Fee</v>
      </c>
    </row>
    <row r="307" ht="13.5" customHeight="1" thickBot="1">
      <c r="C307" s="4" t="str">
        <f>C301</f>
        <v>Intercept</v>
      </c>
    </row>
    <row r="308" ht="13.5" customHeight="1" thickBot="1">
      <c r="C308" s="6" t="s">
        <v>99</v>
      </c>
    </row>
    <row r="309" ht="13.5" customHeight="1">
      <c r="C309" s="13"/>
    </row>
    <row r="310" spans="1:3" ht="13.5" customHeight="1">
      <c r="A310" s="14">
        <f>+A274+1</f>
        <v>2</v>
      </c>
      <c r="B310" s="39"/>
      <c r="C310" s="5" t="s">
        <v>100</v>
      </c>
    </row>
    <row r="311" spans="3:22" ht="13.5" customHeight="1">
      <c r="C311" s="4" t="str">
        <f>C305</f>
        <v>Debt Reserve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9">
        <v>0</v>
      </c>
      <c r="V311" s="21">
        <f>SUM(J311:U311)</f>
        <v>0</v>
      </c>
    </row>
    <row r="312" spans="3:22" ht="13.5" customHeight="1">
      <c r="C312" s="4" t="str">
        <f>C306</f>
        <v>Treasury Fee</v>
      </c>
      <c r="J312" s="45">
        <v>250</v>
      </c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52"/>
      <c r="V312" s="21">
        <f>SUM(J312:U312)</f>
        <v>250</v>
      </c>
    </row>
    <row r="313" spans="3:22" ht="13.5" customHeight="1" thickBot="1">
      <c r="C313" s="4" t="str">
        <f>C307</f>
        <v>Intercept</v>
      </c>
      <c r="J313" s="45">
        <v>55951.04</v>
      </c>
      <c r="K313" s="45">
        <v>55951.04</v>
      </c>
      <c r="L313" s="45">
        <v>55951.04</v>
      </c>
      <c r="M313" s="45">
        <v>55951.04</v>
      </c>
      <c r="N313" s="45">
        <v>55951.04</v>
      </c>
      <c r="O313" s="45">
        <v>55951.04</v>
      </c>
      <c r="P313" s="45">
        <v>55951.04</v>
      </c>
      <c r="Q313" s="45">
        <v>55951.04</v>
      </c>
      <c r="R313" s="45">
        <v>55951.04</v>
      </c>
      <c r="S313" s="45">
        <v>55951.04</v>
      </c>
      <c r="T313" s="45">
        <v>55951.04</v>
      </c>
      <c r="U313" s="52">
        <v>55951.04</v>
      </c>
      <c r="V313" s="21">
        <f>SUM(J313:U313)</f>
        <v>671412.48</v>
      </c>
    </row>
    <row r="314" spans="3:22" ht="13.5" customHeight="1" thickBot="1">
      <c r="C314" s="6" t="s">
        <v>101</v>
      </c>
      <c r="J314" s="22">
        <f aca="true" t="shared" si="5" ref="J314:U314">SUM(J311:J313)</f>
        <v>56201.04</v>
      </c>
      <c r="K314" s="22">
        <f t="shared" si="5"/>
        <v>55951.04</v>
      </c>
      <c r="L314" s="22">
        <f t="shared" si="5"/>
        <v>55951.04</v>
      </c>
      <c r="M314" s="22">
        <f t="shared" si="5"/>
        <v>55951.04</v>
      </c>
      <c r="N314" s="22">
        <f t="shared" si="5"/>
        <v>55951.04</v>
      </c>
      <c r="O314" s="22">
        <f t="shared" si="5"/>
        <v>55951.04</v>
      </c>
      <c r="P314" s="22">
        <f t="shared" si="5"/>
        <v>55951.04</v>
      </c>
      <c r="Q314" s="22">
        <f t="shared" si="5"/>
        <v>55951.04</v>
      </c>
      <c r="R314" s="22">
        <f t="shared" si="5"/>
        <v>55951.04</v>
      </c>
      <c r="S314" s="22">
        <f t="shared" si="5"/>
        <v>55951.04</v>
      </c>
      <c r="T314" s="22">
        <f t="shared" si="5"/>
        <v>55951.04</v>
      </c>
      <c r="U314" s="30">
        <f t="shared" si="5"/>
        <v>55951.04</v>
      </c>
      <c r="V314" s="22">
        <f>SUM(V311:V313)</f>
        <v>671662.48</v>
      </c>
    </row>
    <row r="315" ht="13.5" customHeight="1">
      <c r="C315" s="13"/>
    </row>
    <row r="316" spans="1:3" ht="13.5" customHeight="1">
      <c r="A316" s="14"/>
      <c r="B316" s="35" t="s">
        <v>104</v>
      </c>
      <c r="C316" s="25" t="s">
        <v>105</v>
      </c>
    </row>
    <row r="317" ht="13.5" customHeight="1">
      <c r="C317" s="4" t="str">
        <f>C311</f>
        <v>Debt Reserve</v>
      </c>
    </row>
    <row r="318" ht="13.5" customHeight="1">
      <c r="C318" s="4" t="str">
        <f>C312</f>
        <v>Treasury Fee</v>
      </c>
    </row>
    <row r="319" ht="13.5" customHeight="1" thickBot="1">
      <c r="C319" s="4" t="str">
        <f>C313</f>
        <v>Intercept</v>
      </c>
    </row>
    <row r="320" ht="13.5" customHeight="1" thickBot="1">
      <c r="C320" s="6" t="s">
        <v>106</v>
      </c>
    </row>
    <row r="321" ht="13.5" customHeight="1">
      <c r="C321" s="10"/>
    </row>
    <row r="322" spans="1:3" ht="13.5" customHeight="1">
      <c r="A322" s="14"/>
      <c r="B322" s="35" t="s">
        <v>104</v>
      </c>
      <c r="C322" s="8" t="s">
        <v>107</v>
      </c>
    </row>
    <row r="323" ht="13.5" customHeight="1">
      <c r="C323" s="4" t="str">
        <f>C317</f>
        <v>Debt Reserve</v>
      </c>
    </row>
    <row r="324" ht="13.5" customHeight="1">
      <c r="C324" s="4" t="str">
        <f>C318</f>
        <v>Treasury Fee</v>
      </c>
    </row>
    <row r="325" ht="13.5" customHeight="1" thickBot="1">
      <c r="C325" s="4" t="str">
        <f>C319</f>
        <v>Intercept</v>
      </c>
    </row>
    <row r="326" ht="13.5" customHeight="1" thickBot="1">
      <c r="C326" s="6" t="s">
        <v>108</v>
      </c>
    </row>
    <row r="327" ht="13.5" customHeight="1">
      <c r="C327" s="10"/>
    </row>
    <row r="328" spans="1:3" ht="13.5" customHeight="1">
      <c r="A328" s="14"/>
      <c r="B328" s="35" t="s">
        <v>104</v>
      </c>
      <c r="C328" s="25" t="s">
        <v>109</v>
      </c>
    </row>
    <row r="329" ht="13.5" customHeight="1">
      <c r="C329" s="4" t="str">
        <f>C323</f>
        <v>Debt Reserve</v>
      </c>
    </row>
    <row r="330" ht="13.5" customHeight="1">
      <c r="C330" s="4" t="str">
        <f>C324</f>
        <v>Treasury Fee</v>
      </c>
    </row>
    <row r="331" ht="13.5" customHeight="1" thickBot="1">
      <c r="C331" s="4" t="str">
        <f>C325</f>
        <v>Intercept</v>
      </c>
    </row>
    <row r="332" ht="13.5" customHeight="1" thickBot="1">
      <c r="C332" s="6" t="s">
        <v>110</v>
      </c>
    </row>
    <row r="333" ht="13.5" customHeight="1">
      <c r="C333" s="10"/>
    </row>
    <row r="334" spans="1:3" ht="13.5" customHeight="1">
      <c r="A334" s="14"/>
      <c r="B334" s="35" t="s">
        <v>104</v>
      </c>
      <c r="C334" s="25" t="s">
        <v>111</v>
      </c>
    </row>
    <row r="335" ht="13.5" customHeight="1">
      <c r="C335" s="4" t="str">
        <f>C329</f>
        <v>Debt Reserve</v>
      </c>
    </row>
    <row r="336" ht="13.5" customHeight="1">
      <c r="C336" s="4" t="str">
        <f>C330</f>
        <v>Treasury Fee</v>
      </c>
    </row>
    <row r="337" ht="13.5" customHeight="1" thickBot="1">
      <c r="C337" s="4" t="str">
        <f>C331</f>
        <v>Intercept</v>
      </c>
    </row>
    <row r="338" ht="13.5" customHeight="1" thickBot="1">
      <c r="C338" s="6" t="s">
        <v>112</v>
      </c>
    </row>
    <row r="339" ht="13.5" customHeight="1">
      <c r="C339" s="10"/>
    </row>
    <row r="340" spans="1:3" ht="13.5" customHeight="1">
      <c r="A340" s="14"/>
      <c r="B340" s="35" t="s">
        <v>104</v>
      </c>
      <c r="C340" s="25" t="s">
        <v>113</v>
      </c>
    </row>
    <row r="341" ht="13.5" customHeight="1">
      <c r="C341" s="4" t="str">
        <f>C335</f>
        <v>Debt Reserve</v>
      </c>
    </row>
    <row r="342" ht="13.5" customHeight="1">
      <c r="C342" s="4" t="str">
        <f>C336</f>
        <v>Treasury Fee</v>
      </c>
    </row>
    <row r="343" ht="13.5" customHeight="1" thickBot="1">
      <c r="C343" s="4" t="str">
        <f>C337</f>
        <v>Intercept</v>
      </c>
    </row>
    <row r="344" ht="13.5" customHeight="1" thickBot="1">
      <c r="C344" s="6" t="s">
        <v>26</v>
      </c>
    </row>
    <row r="345" ht="13.5" customHeight="1">
      <c r="C345" s="10"/>
    </row>
    <row r="346" spans="1:3" ht="13.5" customHeight="1">
      <c r="A346" s="14"/>
      <c r="B346" s="35" t="s">
        <v>104</v>
      </c>
      <c r="C346" s="25" t="s">
        <v>114</v>
      </c>
    </row>
    <row r="347" ht="13.5" customHeight="1">
      <c r="C347" s="4" t="str">
        <f>C341</f>
        <v>Debt Reserve</v>
      </c>
    </row>
    <row r="348" ht="13.5" customHeight="1">
      <c r="C348" s="4" t="str">
        <f>C342</f>
        <v>Treasury Fee</v>
      </c>
    </row>
    <row r="349" ht="13.5" customHeight="1" thickBot="1">
      <c r="C349" s="4" t="str">
        <f>C343</f>
        <v>Intercept</v>
      </c>
    </row>
    <row r="350" ht="13.5" customHeight="1" thickBot="1">
      <c r="C350" s="6" t="s">
        <v>115</v>
      </c>
    </row>
    <row r="351" ht="13.5" customHeight="1">
      <c r="C351" s="10"/>
    </row>
    <row r="352" spans="1:3" ht="13.5" customHeight="1">
      <c r="A352" s="14"/>
      <c r="B352" s="35" t="s">
        <v>104</v>
      </c>
      <c r="C352" s="25" t="s">
        <v>116</v>
      </c>
    </row>
    <row r="353" ht="13.5" customHeight="1">
      <c r="C353" s="4" t="str">
        <f>C347</f>
        <v>Debt Reserve</v>
      </c>
    </row>
    <row r="354" ht="13.5" customHeight="1">
      <c r="C354" s="4" t="str">
        <f>C348</f>
        <v>Treasury Fee</v>
      </c>
    </row>
    <row r="355" ht="13.5" customHeight="1" thickBot="1">
      <c r="C355" s="4" t="str">
        <f>C349</f>
        <v>Intercept</v>
      </c>
    </row>
    <row r="356" ht="13.5" customHeight="1" thickBot="1">
      <c r="C356" s="6" t="s">
        <v>117</v>
      </c>
    </row>
    <row r="357" ht="13.5" customHeight="1">
      <c r="C357" s="10"/>
    </row>
    <row r="358" spans="1:3" ht="13.5" customHeight="1">
      <c r="A358" s="14"/>
      <c r="B358" s="35" t="s">
        <v>104</v>
      </c>
      <c r="C358" s="25" t="s">
        <v>118</v>
      </c>
    </row>
    <row r="359" ht="13.5" customHeight="1">
      <c r="C359" s="4" t="str">
        <f>C353</f>
        <v>Debt Reserve</v>
      </c>
    </row>
    <row r="360" ht="13.5" customHeight="1">
      <c r="C360" s="4" t="str">
        <f>C354</f>
        <v>Treasury Fee</v>
      </c>
    </row>
    <row r="361" ht="13.5" customHeight="1" thickBot="1">
      <c r="C361" s="4" t="str">
        <f>C355</f>
        <v>Intercept</v>
      </c>
    </row>
    <row r="362" ht="13.5" customHeight="1" thickBot="1">
      <c r="C362" s="6" t="s">
        <v>119</v>
      </c>
    </row>
    <row r="363" ht="13.5" customHeight="1">
      <c r="C363" s="10"/>
    </row>
    <row r="364" spans="1:3" ht="13.5" customHeight="1">
      <c r="A364" s="14"/>
      <c r="B364" s="35" t="s">
        <v>104</v>
      </c>
      <c r="C364" s="25" t="s">
        <v>120</v>
      </c>
    </row>
    <row r="365" spans="1:3" ht="13.5" customHeight="1">
      <c r="A365" s="16"/>
      <c r="B365" s="16"/>
      <c r="C365" s="4" t="str">
        <f>C359</f>
        <v>Debt Reserve</v>
      </c>
    </row>
    <row r="366" ht="13.5" customHeight="1">
      <c r="C366" s="4" t="str">
        <f>C360</f>
        <v>Treasury Fee</v>
      </c>
    </row>
    <row r="367" ht="13.5" customHeight="1" thickBot="1">
      <c r="C367" s="4" t="str">
        <f>C361</f>
        <v>Intercept</v>
      </c>
    </row>
    <row r="368" ht="13.5" customHeight="1" thickBot="1">
      <c r="C368" s="6" t="s">
        <v>121</v>
      </c>
    </row>
    <row r="369" ht="13.5" customHeight="1">
      <c r="C369" s="10"/>
    </row>
    <row r="370" spans="1:3" ht="13.5" customHeight="1">
      <c r="A370" s="14"/>
      <c r="B370" s="35" t="s">
        <v>104</v>
      </c>
      <c r="C370" s="25" t="s">
        <v>122</v>
      </c>
    </row>
    <row r="371" spans="1:3" ht="13.5" customHeight="1">
      <c r="A371" s="16"/>
      <c r="B371" s="16"/>
      <c r="C371" s="4" t="str">
        <f>C365</f>
        <v>Debt Reserve</v>
      </c>
    </row>
    <row r="372" ht="13.5" customHeight="1">
      <c r="C372" s="4" t="str">
        <f>C366</f>
        <v>Treasury Fee</v>
      </c>
    </row>
    <row r="373" ht="13.5" customHeight="1" thickBot="1">
      <c r="C373" s="4" t="str">
        <f>C367</f>
        <v>Intercept</v>
      </c>
    </row>
    <row r="374" ht="13.5" customHeight="1" thickBot="1">
      <c r="C374" s="6" t="s">
        <v>95</v>
      </c>
    </row>
    <row r="375" ht="13.5" customHeight="1">
      <c r="C375" s="10"/>
    </row>
    <row r="376" spans="1:3" ht="13.5" customHeight="1">
      <c r="A376" s="14"/>
      <c r="B376" s="35" t="s">
        <v>104</v>
      </c>
      <c r="C376" s="25" t="s">
        <v>125</v>
      </c>
    </row>
    <row r="377" spans="1:3" ht="13.5" customHeight="1">
      <c r="A377" s="16"/>
      <c r="B377" s="16"/>
      <c r="C377" s="4" t="str">
        <f>C371</f>
        <v>Debt Reserve</v>
      </c>
    </row>
    <row r="378" ht="13.5" customHeight="1">
      <c r="C378" s="4" t="str">
        <f>C372</f>
        <v>Treasury Fee</v>
      </c>
    </row>
    <row r="379" ht="13.5" customHeight="1" thickBot="1">
      <c r="C379" s="4" t="str">
        <f>C373</f>
        <v>Intercept</v>
      </c>
    </row>
    <row r="380" ht="13.5" customHeight="1" thickBot="1">
      <c r="C380" s="6" t="s">
        <v>126</v>
      </c>
    </row>
    <row r="381" ht="13.5" customHeight="1">
      <c r="C381" s="10"/>
    </row>
    <row r="382" spans="1:3" ht="13.5" customHeight="1">
      <c r="A382" s="14"/>
      <c r="B382" s="35" t="s">
        <v>104</v>
      </c>
      <c r="C382" s="25" t="s">
        <v>127</v>
      </c>
    </row>
    <row r="383" spans="1:3" ht="13.5" customHeight="1">
      <c r="A383" s="16"/>
      <c r="B383" s="16"/>
      <c r="C383" s="4" t="str">
        <f>C377</f>
        <v>Debt Reserve</v>
      </c>
    </row>
    <row r="384" spans="2:3" ht="13.5" customHeight="1">
      <c r="B384" s="16"/>
      <c r="C384" s="4" t="str">
        <f>C378</f>
        <v>Treasury Fee</v>
      </c>
    </row>
    <row r="385" spans="2:3" ht="13.5" customHeight="1" thickBot="1">
      <c r="B385" s="16"/>
      <c r="C385" s="4" t="str">
        <f>C379</f>
        <v>Intercept</v>
      </c>
    </row>
    <row r="386" spans="2:3" ht="13.5" customHeight="1" thickBot="1">
      <c r="B386" s="16"/>
      <c r="C386" s="6" t="s">
        <v>128</v>
      </c>
    </row>
    <row r="387" spans="2:3" ht="13.5" customHeight="1">
      <c r="B387" s="16"/>
      <c r="C387" s="10"/>
    </row>
    <row r="388" spans="1:3" ht="13.5" customHeight="1">
      <c r="A388" s="14"/>
      <c r="B388" s="35" t="s">
        <v>104</v>
      </c>
      <c r="C388" s="25" t="s">
        <v>129</v>
      </c>
    </row>
    <row r="389" spans="1:3" ht="13.5" customHeight="1">
      <c r="A389" s="16"/>
      <c r="B389" s="16"/>
      <c r="C389" s="4" t="str">
        <f>C383</f>
        <v>Debt Reserve</v>
      </c>
    </row>
    <row r="390" spans="2:3" ht="13.5" customHeight="1">
      <c r="B390" s="16"/>
      <c r="C390" s="4" t="str">
        <f>C384</f>
        <v>Treasury Fee</v>
      </c>
    </row>
    <row r="391" spans="2:3" ht="13.5" customHeight="1" thickBot="1">
      <c r="B391" s="16"/>
      <c r="C391" s="4" t="str">
        <f>C385</f>
        <v>Intercept</v>
      </c>
    </row>
    <row r="392" spans="2:3" ht="13.5" customHeight="1" thickBot="1">
      <c r="B392" s="16"/>
      <c r="C392" s="6" t="s">
        <v>130</v>
      </c>
    </row>
    <row r="393" spans="2:3" ht="13.5" customHeight="1">
      <c r="B393" s="16"/>
      <c r="C393" s="10"/>
    </row>
    <row r="394" spans="1:3" ht="13.5" customHeight="1">
      <c r="A394" s="14">
        <f>+A310+1</f>
        <v>3</v>
      </c>
      <c r="B394" s="39"/>
      <c r="C394" s="5" t="s">
        <v>131</v>
      </c>
    </row>
    <row r="395" spans="1:22" ht="13.5" customHeight="1">
      <c r="A395" s="16"/>
      <c r="B395" s="16"/>
      <c r="C395" s="4" t="str">
        <f>C389</f>
        <v>Debt Reserve</v>
      </c>
      <c r="J395" s="45">
        <v>487.5</v>
      </c>
      <c r="K395" s="45">
        <v>487.5</v>
      </c>
      <c r="L395" s="45">
        <v>487.5</v>
      </c>
      <c r="M395" s="45">
        <v>487.5</v>
      </c>
      <c r="N395" s="45">
        <v>487.5</v>
      </c>
      <c r="O395" s="45">
        <v>487.5</v>
      </c>
      <c r="P395" s="45">
        <v>487.5</v>
      </c>
      <c r="Q395" s="45">
        <v>487.5</v>
      </c>
      <c r="R395" s="45">
        <v>487.5</v>
      </c>
      <c r="S395" s="45">
        <v>487.5</v>
      </c>
      <c r="T395" s="45">
        <v>487.5</v>
      </c>
      <c r="U395" s="52">
        <v>472.08</v>
      </c>
      <c r="V395" s="21">
        <f>SUM(J395:U395)</f>
        <v>5834.58</v>
      </c>
    </row>
    <row r="396" spans="3:22" ht="13.5" customHeight="1">
      <c r="C396" s="4" t="str">
        <f>C390</f>
        <v>Treasury Fee</v>
      </c>
      <c r="J396" s="45">
        <v>250</v>
      </c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52"/>
      <c r="V396" s="21">
        <f>SUM(J396:U396)</f>
        <v>250</v>
      </c>
    </row>
    <row r="397" spans="3:22" ht="13.5" customHeight="1" thickBot="1">
      <c r="C397" s="4" t="str">
        <f>C391</f>
        <v>Intercept</v>
      </c>
      <c r="J397" s="45">
        <v>42065.63</v>
      </c>
      <c r="K397" s="45">
        <v>42065.63</v>
      </c>
      <c r="L397" s="45">
        <v>42065.63</v>
      </c>
      <c r="M397" s="45">
        <v>42065.63</v>
      </c>
      <c r="N397" s="45">
        <v>42065.63</v>
      </c>
      <c r="O397" s="45">
        <v>42065.63</v>
      </c>
      <c r="P397" s="45">
        <v>42065.63</v>
      </c>
      <c r="Q397" s="45">
        <v>42065.63</v>
      </c>
      <c r="R397" s="45">
        <v>42065.63</v>
      </c>
      <c r="S397" s="45">
        <v>42065.63</v>
      </c>
      <c r="T397" s="45">
        <v>42065.63</v>
      </c>
      <c r="U397" s="52">
        <v>42065.63</v>
      </c>
      <c r="V397" s="21">
        <f>SUM(J397:U397)</f>
        <v>504787.56</v>
      </c>
    </row>
    <row r="398" spans="3:22" ht="13.5" customHeight="1" thickBot="1">
      <c r="C398" s="6" t="s">
        <v>132</v>
      </c>
      <c r="J398" s="22">
        <f aca="true" t="shared" si="6" ref="J398:U398">SUM(J395:J397)</f>
        <v>42803.13</v>
      </c>
      <c r="K398" s="22">
        <f t="shared" si="6"/>
        <v>42553.13</v>
      </c>
      <c r="L398" s="22">
        <f t="shared" si="6"/>
        <v>42553.13</v>
      </c>
      <c r="M398" s="22">
        <f t="shared" si="6"/>
        <v>42553.13</v>
      </c>
      <c r="N398" s="22">
        <f t="shared" si="6"/>
        <v>42553.13</v>
      </c>
      <c r="O398" s="22">
        <f t="shared" si="6"/>
        <v>42553.13</v>
      </c>
      <c r="P398" s="22">
        <f t="shared" si="6"/>
        <v>42553.13</v>
      </c>
      <c r="Q398" s="22">
        <f t="shared" si="6"/>
        <v>42553.13</v>
      </c>
      <c r="R398" s="22">
        <f t="shared" si="6"/>
        <v>42553.13</v>
      </c>
      <c r="S398" s="22">
        <f t="shared" si="6"/>
        <v>42553.13</v>
      </c>
      <c r="T398" s="22">
        <f t="shared" si="6"/>
        <v>42553.13</v>
      </c>
      <c r="U398" s="30">
        <f t="shared" si="6"/>
        <v>42537.71</v>
      </c>
      <c r="V398" s="22">
        <f>SUM(V395:V397)</f>
        <v>510872.14</v>
      </c>
    </row>
    <row r="399" ht="13.5" customHeight="1">
      <c r="C399" s="10"/>
    </row>
    <row r="400" spans="1:3" ht="13.5" customHeight="1">
      <c r="A400" s="14"/>
      <c r="B400" s="35" t="s">
        <v>104</v>
      </c>
      <c r="C400" s="25" t="s">
        <v>134</v>
      </c>
    </row>
    <row r="401" spans="1:3" ht="13.5" customHeight="1">
      <c r="A401" s="16"/>
      <c r="B401" s="16"/>
      <c r="C401" s="4" t="str">
        <f>C395</f>
        <v>Debt Reserve</v>
      </c>
    </row>
    <row r="402" ht="13.5" customHeight="1">
      <c r="C402" s="4" t="str">
        <f>C396</f>
        <v>Treasury Fee</v>
      </c>
    </row>
    <row r="403" ht="13.5" customHeight="1" thickBot="1">
      <c r="C403" s="4" t="str">
        <f>C397</f>
        <v>Intercept</v>
      </c>
    </row>
    <row r="404" ht="13.5" customHeight="1" thickBot="1">
      <c r="C404" s="6" t="s">
        <v>135</v>
      </c>
    </row>
    <row r="405" ht="13.5" customHeight="1">
      <c r="C405" s="10"/>
    </row>
    <row r="406" spans="1:3" ht="13.5" customHeight="1">
      <c r="A406" s="14"/>
      <c r="B406" s="35" t="s">
        <v>104</v>
      </c>
      <c r="C406" s="25" t="s">
        <v>138</v>
      </c>
    </row>
    <row r="407" spans="1:3" ht="13.5" customHeight="1">
      <c r="A407" s="16"/>
      <c r="B407" s="16"/>
      <c r="C407" s="4" t="str">
        <f>C401</f>
        <v>Debt Reserve</v>
      </c>
    </row>
    <row r="408" ht="13.5" customHeight="1">
      <c r="C408" s="4" t="str">
        <f>C402</f>
        <v>Treasury Fee</v>
      </c>
    </row>
    <row r="409" ht="13.5" customHeight="1" thickBot="1">
      <c r="C409" s="4" t="str">
        <f>C403</f>
        <v>Intercept</v>
      </c>
    </row>
    <row r="410" ht="13.5" customHeight="1" thickBot="1">
      <c r="C410" s="6" t="s">
        <v>137</v>
      </c>
    </row>
    <row r="411" ht="13.5" customHeight="1">
      <c r="C411" s="10"/>
    </row>
    <row r="412" spans="1:3" ht="13.5" customHeight="1">
      <c r="A412" s="14"/>
      <c r="B412" s="37" t="s">
        <v>104</v>
      </c>
      <c r="C412" s="25" t="s">
        <v>139</v>
      </c>
    </row>
    <row r="413" spans="1:3" ht="13.5" customHeight="1">
      <c r="A413" s="16"/>
      <c r="B413" s="16"/>
      <c r="C413" s="4" t="str">
        <f>C407</f>
        <v>Debt Reserve</v>
      </c>
    </row>
    <row r="414" ht="13.5" customHeight="1">
      <c r="C414" s="4" t="str">
        <f>C408</f>
        <v>Treasury Fee</v>
      </c>
    </row>
    <row r="415" ht="13.5" customHeight="1" thickBot="1">
      <c r="C415" s="4" t="str">
        <f>C409</f>
        <v>Intercept</v>
      </c>
    </row>
    <row r="416" ht="13.5" customHeight="1" thickBot="1">
      <c r="C416" s="6" t="s">
        <v>140</v>
      </c>
    </row>
    <row r="417" ht="13.5" customHeight="1">
      <c r="C417" s="10"/>
    </row>
    <row r="418" spans="1:3" ht="13.5" customHeight="1">
      <c r="A418" s="14"/>
      <c r="B418" s="37" t="s">
        <v>104</v>
      </c>
      <c r="C418" s="25" t="s">
        <v>141</v>
      </c>
    </row>
    <row r="419" spans="1:3" ht="13.5" customHeight="1">
      <c r="A419" s="16"/>
      <c r="B419" s="16"/>
      <c r="C419" s="4" t="str">
        <f>C413</f>
        <v>Debt Reserve</v>
      </c>
    </row>
    <row r="420" ht="13.5" customHeight="1">
      <c r="C420" s="4" t="str">
        <f>C414</f>
        <v>Treasury Fee</v>
      </c>
    </row>
    <row r="421" ht="13.5" customHeight="1" thickBot="1">
      <c r="C421" s="4" t="str">
        <f>C415</f>
        <v>Intercept</v>
      </c>
    </row>
    <row r="422" ht="13.5" customHeight="1" thickBot="1">
      <c r="C422" s="6" t="s">
        <v>142</v>
      </c>
    </row>
    <row r="423" ht="13.5" customHeight="1">
      <c r="C423" s="10"/>
    </row>
    <row r="424" spans="1:3" ht="13.5" customHeight="1">
      <c r="A424" s="14"/>
      <c r="B424" s="37" t="s">
        <v>104</v>
      </c>
      <c r="C424" s="25" t="s">
        <v>143</v>
      </c>
    </row>
    <row r="425" spans="1:3" ht="13.5" customHeight="1">
      <c r="A425" s="16"/>
      <c r="B425" s="16"/>
      <c r="C425" s="4" t="str">
        <f>C419</f>
        <v>Debt Reserve</v>
      </c>
    </row>
    <row r="426" ht="13.5" customHeight="1">
      <c r="C426" s="4" t="str">
        <f>C420</f>
        <v>Treasury Fee</v>
      </c>
    </row>
    <row r="427" ht="13.5" customHeight="1" thickBot="1">
      <c r="C427" s="4" t="str">
        <f>C421</f>
        <v>Intercept</v>
      </c>
    </row>
    <row r="428" ht="13.5" customHeight="1" thickBot="1">
      <c r="C428" s="6" t="s">
        <v>144</v>
      </c>
    </row>
    <row r="429" ht="13.5" customHeight="1">
      <c r="C429" s="10"/>
    </row>
    <row r="430" spans="1:3" ht="13.5" customHeight="1">
      <c r="A430" s="14"/>
      <c r="B430" s="37" t="s">
        <v>104</v>
      </c>
      <c r="C430" s="25" t="s">
        <v>145</v>
      </c>
    </row>
    <row r="431" spans="1:22" ht="13.5" customHeight="1">
      <c r="A431" s="16"/>
      <c r="B431" s="16"/>
      <c r="C431" s="4" t="str">
        <f>C425</f>
        <v>Debt Reserve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/>
      <c r="Q431" s="21"/>
      <c r="R431" s="21"/>
      <c r="S431" s="21"/>
      <c r="T431" s="21"/>
      <c r="U431" s="29"/>
      <c r="V431" s="21">
        <f>SUM(J431:U431)</f>
        <v>0</v>
      </c>
    </row>
    <row r="432" spans="3:22" ht="13.5" customHeight="1">
      <c r="C432" s="4" t="str">
        <f>C426</f>
        <v>Treasury Fee</v>
      </c>
      <c r="J432" s="45">
        <v>250</v>
      </c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52"/>
      <c r="V432" s="21">
        <f>SUM(J432:U432)</f>
        <v>250</v>
      </c>
    </row>
    <row r="433" spans="3:22" ht="13.5" customHeight="1" thickBot="1">
      <c r="C433" s="4" t="str">
        <f>C427</f>
        <v>Intercept</v>
      </c>
      <c r="J433" s="45">
        <f>12916.67+46218.75</f>
        <v>59135.42</v>
      </c>
      <c r="K433" s="45">
        <f>12916.67+46218.75</f>
        <v>59135.42</v>
      </c>
      <c r="L433" s="45">
        <f>12916.67+46218.75</f>
        <v>59135.42</v>
      </c>
      <c r="M433" s="45">
        <f>12916.67+46218.75</f>
        <v>59135.42</v>
      </c>
      <c r="N433" s="45">
        <f>12916.67+46218.75</f>
        <v>59135.42</v>
      </c>
      <c r="O433" s="45">
        <f>13750+45250</f>
        <v>59000</v>
      </c>
      <c r="P433" s="45"/>
      <c r="Q433" s="45"/>
      <c r="R433" s="45"/>
      <c r="S433" s="45"/>
      <c r="T433" s="45"/>
      <c r="U433" s="52"/>
      <c r="V433" s="21">
        <f>SUM(J433:U433)</f>
        <v>354677.1</v>
      </c>
    </row>
    <row r="434" spans="3:22" ht="13.5" customHeight="1" thickBot="1">
      <c r="C434" s="6" t="s">
        <v>146</v>
      </c>
      <c r="J434" s="22">
        <f aca="true" t="shared" si="7" ref="J434:U434">SUM(J431:J433)</f>
        <v>59385.42</v>
      </c>
      <c r="K434" s="22">
        <f t="shared" si="7"/>
        <v>59135.42</v>
      </c>
      <c r="L434" s="22">
        <f t="shared" si="7"/>
        <v>59135.42</v>
      </c>
      <c r="M434" s="22">
        <f t="shared" si="7"/>
        <v>59135.42</v>
      </c>
      <c r="N434" s="22">
        <f t="shared" si="7"/>
        <v>59135.42</v>
      </c>
      <c r="O434" s="22">
        <f t="shared" si="7"/>
        <v>59000</v>
      </c>
      <c r="P434" s="22">
        <f t="shared" si="7"/>
        <v>0</v>
      </c>
      <c r="Q434" s="22">
        <f t="shared" si="7"/>
        <v>0</v>
      </c>
      <c r="R434" s="22">
        <f t="shared" si="7"/>
        <v>0</v>
      </c>
      <c r="S434" s="22">
        <f t="shared" si="7"/>
        <v>0</v>
      </c>
      <c r="T434" s="22">
        <f t="shared" si="7"/>
        <v>0</v>
      </c>
      <c r="U434" s="30">
        <f t="shared" si="7"/>
        <v>0</v>
      </c>
      <c r="V434" s="22">
        <f>SUM(V431:V433)</f>
        <v>354927.1</v>
      </c>
    </row>
    <row r="435" ht="13.5" customHeight="1">
      <c r="C435" s="10"/>
    </row>
    <row r="436" spans="1:3" ht="13.5" customHeight="1">
      <c r="A436" s="14"/>
      <c r="B436" s="37" t="s">
        <v>104</v>
      </c>
      <c r="C436" s="25" t="s">
        <v>147</v>
      </c>
    </row>
    <row r="437" spans="1:3" ht="13.5" customHeight="1">
      <c r="A437" s="16"/>
      <c r="B437" s="16"/>
      <c r="C437" s="4" t="str">
        <f>C431</f>
        <v>Debt Reserve</v>
      </c>
    </row>
    <row r="438" ht="13.5" customHeight="1">
      <c r="C438" s="4" t="str">
        <f>C432</f>
        <v>Treasury Fee</v>
      </c>
    </row>
    <row r="439" ht="13.5" customHeight="1" thickBot="1">
      <c r="C439" s="4" t="str">
        <f>C433</f>
        <v>Intercept</v>
      </c>
    </row>
    <row r="440" ht="13.5" customHeight="1" thickBot="1">
      <c r="C440" s="6" t="s">
        <v>108</v>
      </c>
    </row>
    <row r="441" ht="13.5" customHeight="1">
      <c r="C441" s="10"/>
    </row>
    <row r="442" spans="1:3" ht="13.5" customHeight="1">
      <c r="A442" s="14">
        <f>+A394+1</f>
        <v>4</v>
      </c>
      <c r="B442" s="39"/>
      <c r="C442" s="5" t="s">
        <v>148</v>
      </c>
    </row>
    <row r="443" spans="1:22" ht="13.5" customHeight="1">
      <c r="A443" s="16"/>
      <c r="B443" s="16"/>
      <c r="C443" s="4" t="str">
        <f>C437</f>
        <v>Debt Reserve</v>
      </c>
      <c r="J443" s="21">
        <v>209.58</v>
      </c>
      <c r="K443" s="21">
        <v>209.58</v>
      </c>
      <c r="L443" s="21">
        <v>209.58</v>
      </c>
      <c r="M443" s="21">
        <v>209.58</v>
      </c>
      <c r="N443" s="21">
        <v>209.58</v>
      </c>
      <c r="O443" s="21">
        <v>209.58</v>
      </c>
      <c r="P443" s="21">
        <v>209.58</v>
      </c>
      <c r="Q443" s="21">
        <v>209.58</v>
      </c>
      <c r="R443" s="21">
        <v>209.58</v>
      </c>
      <c r="S443" s="21">
        <v>209.58</v>
      </c>
      <c r="T443" s="21">
        <v>209.58</v>
      </c>
      <c r="U443" s="29">
        <v>209.58</v>
      </c>
      <c r="V443" s="21">
        <f>SUM(J443:U443)</f>
        <v>2514.9599999999996</v>
      </c>
    </row>
    <row r="444" spans="3:22" ht="13.5" customHeight="1">
      <c r="C444" s="4" t="str">
        <f>C438</f>
        <v>Treasury Fee</v>
      </c>
      <c r="J444" s="45">
        <v>250</v>
      </c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52"/>
      <c r="V444" s="21">
        <f>SUM(J444:U444)</f>
        <v>250</v>
      </c>
    </row>
    <row r="445" spans="3:22" ht="13.5" customHeight="1" thickBot="1">
      <c r="C445" s="4" t="str">
        <f>C439</f>
        <v>Intercept</v>
      </c>
      <c r="J445" s="45">
        <f aca="true" t="shared" si="8" ref="J445:Q445">6250+24370.31</f>
        <v>30620.31</v>
      </c>
      <c r="K445" s="45">
        <f t="shared" si="8"/>
        <v>30620.31</v>
      </c>
      <c r="L445" s="45">
        <f t="shared" si="8"/>
        <v>30620.31</v>
      </c>
      <c r="M445" s="45">
        <f t="shared" si="8"/>
        <v>30620.31</v>
      </c>
      <c r="N445" s="45">
        <f t="shared" si="8"/>
        <v>30620.31</v>
      </c>
      <c r="O445" s="45">
        <f t="shared" si="8"/>
        <v>30620.31</v>
      </c>
      <c r="P445" s="45">
        <f t="shared" si="8"/>
        <v>30620.31</v>
      </c>
      <c r="Q445" s="45">
        <f t="shared" si="8"/>
        <v>30620.31</v>
      </c>
      <c r="R445" s="45">
        <f>6666.67+23901.56</f>
        <v>30568.230000000003</v>
      </c>
      <c r="S445" s="45">
        <f>6666.67+23901.56</f>
        <v>30568.230000000003</v>
      </c>
      <c r="T445" s="45">
        <f>6666.67+23901.56</f>
        <v>30568.230000000003</v>
      </c>
      <c r="U445" s="52">
        <f>6666.67+23901.56</f>
        <v>30568.230000000003</v>
      </c>
      <c r="V445" s="21">
        <f>SUM(J445:U445)</f>
        <v>367235.39999999997</v>
      </c>
    </row>
    <row r="446" spans="3:22" ht="13.5" customHeight="1" thickBot="1">
      <c r="C446" s="6" t="s">
        <v>119</v>
      </c>
      <c r="J446" s="22">
        <f aca="true" t="shared" si="9" ref="J446:U446">SUM(J443:J445)</f>
        <v>31079.890000000003</v>
      </c>
      <c r="K446" s="22">
        <f t="shared" si="9"/>
        <v>30829.890000000003</v>
      </c>
      <c r="L446" s="22">
        <f t="shared" si="9"/>
        <v>30829.890000000003</v>
      </c>
      <c r="M446" s="22">
        <f t="shared" si="9"/>
        <v>30829.890000000003</v>
      </c>
      <c r="N446" s="22">
        <f t="shared" si="9"/>
        <v>30829.890000000003</v>
      </c>
      <c r="O446" s="22">
        <f t="shared" si="9"/>
        <v>30829.890000000003</v>
      </c>
      <c r="P446" s="22">
        <f t="shared" si="9"/>
        <v>30829.890000000003</v>
      </c>
      <c r="Q446" s="22">
        <f t="shared" si="9"/>
        <v>30829.890000000003</v>
      </c>
      <c r="R446" s="22">
        <f t="shared" si="9"/>
        <v>30777.810000000005</v>
      </c>
      <c r="S446" s="22">
        <f t="shared" si="9"/>
        <v>30777.810000000005</v>
      </c>
      <c r="T446" s="22">
        <f t="shared" si="9"/>
        <v>30777.810000000005</v>
      </c>
      <c r="U446" s="30">
        <f t="shared" si="9"/>
        <v>30777.810000000005</v>
      </c>
      <c r="V446" s="22">
        <f>SUM(V443:V445)</f>
        <v>370000.36</v>
      </c>
    </row>
    <row r="447" ht="13.5" customHeight="1">
      <c r="C447" s="10"/>
    </row>
    <row r="448" spans="1:3" ht="13.5" customHeight="1">
      <c r="A448" s="14"/>
      <c r="B448" s="37" t="s">
        <v>104</v>
      </c>
      <c r="C448" s="25" t="s">
        <v>149</v>
      </c>
    </row>
    <row r="449" spans="1:3" ht="13.5" customHeight="1">
      <c r="A449" s="16"/>
      <c r="B449" s="16"/>
      <c r="C449" s="4" t="str">
        <f>C443</f>
        <v>Debt Reserve</v>
      </c>
    </row>
    <row r="450" ht="13.5" customHeight="1">
      <c r="C450" s="4" t="str">
        <f>C444</f>
        <v>Treasury Fee</v>
      </c>
    </row>
    <row r="451" ht="13.5" customHeight="1" thickBot="1">
      <c r="C451" s="4" t="str">
        <f>C445</f>
        <v>Intercept</v>
      </c>
    </row>
    <row r="452" ht="13.5" customHeight="1" thickBot="1">
      <c r="C452" s="6" t="s">
        <v>150</v>
      </c>
    </row>
    <row r="453" ht="13.5" customHeight="1">
      <c r="C453" s="10"/>
    </row>
    <row r="454" spans="1:3" ht="13.5" customHeight="1">
      <c r="A454" s="14"/>
      <c r="B454" s="37" t="s">
        <v>104</v>
      </c>
      <c r="C454" s="25" t="s">
        <v>151</v>
      </c>
    </row>
    <row r="455" spans="1:3" ht="13.5" customHeight="1">
      <c r="A455" s="16"/>
      <c r="B455" s="16"/>
      <c r="C455" s="4" t="str">
        <f>C449</f>
        <v>Debt Reserve</v>
      </c>
    </row>
    <row r="456" ht="13.5" customHeight="1">
      <c r="C456" s="4" t="str">
        <f>C450</f>
        <v>Treasury Fee</v>
      </c>
    </row>
    <row r="457" ht="13.5" customHeight="1" thickBot="1">
      <c r="C457" s="4" t="str">
        <f>C451</f>
        <v>Intercept</v>
      </c>
    </row>
    <row r="458" ht="13.5" customHeight="1" thickBot="1">
      <c r="C458" s="6" t="s">
        <v>74</v>
      </c>
    </row>
    <row r="459" ht="13.5" customHeight="1">
      <c r="C459" s="10"/>
    </row>
    <row r="460" spans="1:3" ht="13.5" customHeight="1">
      <c r="A460" s="34">
        <f>+A442+1</f>
        <v>5</v>
      </c>
      <c r="B460" s="39"/>
      <c r="C460" s="5" t="s">
        <v>152</v>
      </c>
    </row>
    <row r="461" spans="1:22" ht="13.5" customHeight="1">
      <c r="A461" s="16"/>
      <c r="B461" s="16"/>
      <c r="C461" s="4" t="str">
        <f>C455</f>
        <v>Debt Reserve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  <c r="Q461" s="21">
        <v>0</v>
      </c>
      <c r="R461" s="21">
        <v>0</v>
      </c>
      <c r="S461" s="21">
        <v>0</v>
      </c>
      <c r="T461" s="21">
        <v>0</v>
      </c>
      <c r="U461" s="29">
        <v>0</v>
      </c>
      <c r="V461" s="21">
        <f>SUM(J461:U461)</f>
        <v>0</v>
      </c>
    </row>
    <row r="462" spans="3:22" ht="13.5" customHeight="1">
      <c r="C462" s="4" t="str">
        <f>C456</f>
        <v>Treasury Fee</v>
      </c>
      <c r="J462" s="45">
        <v>250</v>
      </c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52"/>
      <c r="V462" s="21">
        <f>SUM(J462:U462)</f>
        <v>250</v>
      </c>
    </row>
    <row r="463" spans="3:22" ht="13.5" customHeight="1" thickBot="1">
      <c r="C463" s="4" t="str">
        <f>C457</f>
        <v>Intercept</v>
      </c>
      <c r="J463" s="45">
        <f aca="true" t="shared" si="10" ref="J463:Q463">14583.33+8440.63</f>
        <v>23023.96</v>
      </c>
      <c r="K463" s="45">
        <f t="shared" si="10"/>
        <v>23023.96</v>
      </c>
      <c r="L463" s="45">
        <f t="shared" si="10"/>
        <v>23023.96</v>
      </c>
      <c r="M463" s="45">
        <f t="shared" si="10"/>
        <v>23023.96</v>
      </c>
      <c r="N463" s="45">
        <f t="shared" si="10"/>
        <v>23023.96</v>
      </c>
      <c r="O463" s="45">
        <f t="shared" si="10"/>
        <v>23023.96</v>
      </c>
      <c r="P463" s="45">
        <f t="shared" si="10"/>
        <v>23023.96</v>
      </c>
      <c r="Q463" s="45">
        <f t="shared" si="10"/>
        <v>23023.96</v>
      </c>
      <c r="R463" s="45">
        <f>15000+7857.29</f>
        <v>22857.29</v>
      </c>
      <c r="S463" s="45">
        <f>15000+7857.29</f>
        <v>22857.29</v>
      </c>
      <c r="T463" s="45">
        <f>15000+7857.29</f>
        <v>22857.29</v>
      </c>
      <c r="U463" s="52">
        <f>15000+7857.29</f>
        <v>22857.29</v>
      </c>
      <c r="V463" s="21">
        <f>SUM(J463:U463)</f>
        <v>275620.83999999997</v>
      </c>
    </row>
    <row r="464" spans="3:22" ht="13.5" customHeight="1" thickBot="1">
      <c r="C464" s="6" t="s">
        <v>153</v>
      </c>
      <c r="J464" s="22">
        <f aca="true" t="shared" si="11" ref="J464:U464">SUM(J461:J463)</f>
        <v>23273.96</v>
      </c>
      <c r="K464" s="22">
        <f t="shared" si="11"/>
        <v>23023.96</v>
      </c>
      <c r="L464" s="22">
        <f t="shared" si="11"/>
        <v>23023.96</v>
      </c>
      <c r="M464" s="22">
        <f t="shared" si="11"/>
        <v>23023.96</v>
      </c>
      <c r="N464" s="22">
        <f t="shared" si="11"/>
        <v>23023.96</v>
      </c>
      <c r="O464" s="22">
        <f t="shared" si="11"/>
        <v>23023.96</v>
      </c>
      <c r="P464" s="22">
        <f t="shared" si="11"/>
        <v>23023.96</v>
      </c>
      <c r="Q464" s="22">
        <f t="shared" si="11"/>
        <v>23023.96</v>
      </c>
      <c r="R464" s="22">
        <f t="shared" si="11"/>
        <v>22857.29</v>
      </c>
      <c r="S464" s="22">
        <f t="shared" si="11"/>
        <v>22857.29</v>
      </c>
      <c r="T464" s="22">
        <f t="shared" si="11"/>
        <v>22857.29</v>
      </c>
      <c r="U464" s="30">
        <f t="shared" si="11"/>
        <v>22857.29</v>
      </c>
      <c r="V464" s="22">
        <f>SUM(V461:V463)</f>
        <v>275870.83999999997</v>
      </c>
    </row>
    <row r="465" ht="13.5" customHeight="1">
      <c r="C465" s="10"/>
    </row>
    <row r="466" spans="1:3" ht="13.5" customHeight="1">
      <c r="A466" s="14"/>
      <c r="B466" s="37" t="s">
        <v>104</v>
      </c>
      <c r="C466" s="25" t="s">
        <v>154</v>
      </c>
    </row>
    <row r="467" spans="1:3" ht="13.5" customHeight="1">
      <c r="A467" s="16"/>
      <c r="B467" s="16"/>
      <c r="C467" s="4" t="str">
        <f>C461</f>
        <v>Debt Reserve</v>
      </c>
    </row>
    <row r="468" ht="13.5" customHeight="1">
      <c r="C468" s="4" t="str">
        <f>C462</f>
        <v>Treasury Fee</v>
      </c>
    </row>
    <row r="469" ht="13.5" customHeight="1" thickBot="1">
      <c r="C469" s="4" t="str">
        <f>C463</f>
        <v>Intercept</v>
      </c>
    </row>
    <row r="470" ht="13.5" customHeight="1" thickBot="1">
      <c r="C470" s="6" t="s">
        <v>155</v>
      </c>
    </row>
    <row r="471" ht="13.5" customHeight="1">
      <c r="C471" s="10"/>
    </row>
    <row r="472" spans="1:3" ht="13.5" customHeight="1">
      <c r="A472" s="14"/>
      <c r="B472" s="37" t="s">
        <v>104</v>
      </c>
      <c r="C472" s="25" t="s">
        <v>179</v>
      </c>
    </row>
    <row r="473" spans="1:3" ht="13.5" customHeight="1">
      <c r="A473" s="16"/>
      <c r="B473" s="16"/>
      <c r="C473" s="4" t="str">
        <f>C467</f>
        <v>Debt Reserve</v>
      </c>
    </row>
    <row r="474" ht="13.5" customHeight="1">
      <c r="C474" s="4" t="str">
        <f>C468</f>
        <v>Treasury Fee</v>
      </c>
    </row>
    <row r="475" ht="13.5" customHeight="1" thickBot="1">
      <c r="C475" s="4" t="str">
        <f>C469</f>
        <v>Intercept</v>
      </c>
    </row>
    <row r="476" ht="13.5" customHeight="1" thickBot="1">
      <c r="C476" s="6" t="s">
        <v>158</v>
      </c>
    </row>
    <row r="477" ht="13.5" customHeight="1">
      <c r="C477" s="10"/>
    </row>
    <row r="478" spans="1:3" ht="13.5" customHeight="1">
      <c r="A478" s="14"/>
      <c r="B478" s="37" t="s">
        <v>104</v>
      </c>
      <c r="C478" s="25" t="s">
        <v>159</v>
      </c>
    </row>
    <row r="479" spans="1:3" ht="13.5" customHeight="1">
      <c r="A479" s="16"/>
      <c r="B479" s="16"/>
      <c r="C479" s="4" t="str">
        <f>C473</f>
        <v>Debt Reserve</v>
      </c>
    </row>
    <row r="480" ht="13.5" customHeight="1">
      <c r="C480" s="4" t="str">
        <f>C474</f>
        <v>Treasury Fee</v>
      </c>
    </row>
    <row r="481" ht="13.5" customHeight="1" thickBot="1">
      <c r="C481" s="4" t="str">
        <f>C475</f>
        <v>Intercept</v>
      </c>
    </row>
    <row r="482" ht="13.5" customHeight="1" thickBot="1">
      <c r="C482" s="6" t="s">
        <v>160</v>
      </c>
    </row>
    <row r="483" ht="13.5" customHeight="1">
      <c r="C483" s="10"/>
    </row>
    <row r="484" spans="1:3" ht="13.5" customHeight="1">
      <c r="A484" s="14"/>
      <c r="B484" s="37" t="s">
        <v>104</v>
      </c>
      <c r="C484" s="25" t="s">
        <v>161</v>
      </c>
    </row>
    <row r="485" spans="1:3" ht="13.5" customHeight="1">
      <c r="A485" s="16"/>
      <c r="B485" s="16"/>
      <c r="C485" s="4" t="str">
        <f>C479</f>
        <v>Debt Reserve</v>
      </c>
    </row>
    <row r="486" ht="13.5" customHeight="1">
      <c r="C486" s="4" t="str">
        <f>C480</f>
        <v>Treasury Fee</v>
      </c>
    </row>
    <row r="487" ht="13.5" customHeight="1" thickBot="1">
      <c r="C487" s="4" t="str">
        <f>C481</f>
        <v>Intercept</v>
      </c>
    </row>
    <row r="488" ht="13.5" customHeight="1" thickBot="1">
      <c r="C488" s="6" t="s">
        <v>162</v>
      </c>
    </row>
    <row r="489" ht="13.5" customHeight="1">
      <c r="C489" s="10"/>
    </row>
    <row r="490" spans="1:3" ht="13.5" customHeight="1">
      <c r="A490" s="14">
        <f>+A460+1</f>
        <v>6</v>
      </c>
      <c r="B490" s="39"/>
      <c r="C490" s="5" t="s">
        <v>163</v>
      </c>
    </row>
    <row r="491" spans="1:22" ht="13.5" customHeight="1">
      <c r="A491" s="16"/>
      <c r="B491" s="16"/>
      <c r="C491" s="4" t="str">
        <f>C485</f>
        <v>Debt Reserve</v>
      </c>
      <c r="J491" s="45">
        <v>592.5</v>
      </c>
      <c r="K491" s="45">
        <v>592.5</v>
      </c>
      <c r="L491" s="45">
        <v>592.5</v>
      </c>
      <c r="M491" s="45">
        <v>592.5</v>
      </c>
      <c r="N491" s="45">
        <v>592.5</v>
      </c>
      <c r="O491" s="45">
        <v>592.5</v>
      </c>
      <c r="P491" s="45">
        <v>592.5</v>
      </c>
      <c r="Q491" s="45">
        <v>592.5</v>
      </c>
      <c r="R491" s="45">
        <v>592.5</v>
      </c>
      <c r="S491" s="45">
        <v>592.5</v>
      </c>
      <c r="T491" s="45">
        <v>592.5</v>
      </c>
      <c r="U491" s="52">
        <v>592.5</v>
      </c>
      <c r="V491" s="21">
        <f>SUM(J491:U491)</f>
        <v>7110</v>
      </c>
    </row>
    <row r="492" spans="3:22" ht="13.5" customHeight="1">
      <c r="C492" s="4" t="str">
        <f>C486</f>
        <v>Treasury Fee</v>
      </c>
      <c r="J492" s="45">
        <v>250</v>
      </c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52"/>
      <c r="V492" s="21">
        <f>SUM(J492:U492)</f>
        <v>250</v>
      </c>
    </row>
    <row r="493" spans="3:22" ht="13.5" customHeight="1" thickBot="1">
      <c r="C493" s="4" t="str">
        <f>C487</f>
        <v>Intercept</v>
      </c>
      <c r="J493" s="45">
        <f>25833.33+27706.25</f>
        <v>53539.58</v>
      </c>
      <c r="K493" s="45">
        <f>25833.33+27706.25</f>
        <v>53539.58</v>
      </c>
      <c r="L493" s="45">
        <f>25833.33+27706.25</f>
        <v>53539.58</v>
      </c>
      <c r="M493" s="45">
        <f>25833.33+27706.25</f>
        <v>53539.58</v>
      </c>
      <c r="N493" s="45">
        <f>25833.33+27706.25</f>
        <v>53539.58</v>
      </c>
      <c r="O493" s="45">
        <f>25833.35+27706.25</f>
        <v>53539.6</v>
      </c>
      <c r="P493" s="45">
        <f>25833.33+27286.46</f>
        <v>53119.79</v>
      </c>
      <c r="Q493" s="45">
        <f>25833.33+27286.46</f>
        <v>53119.79</v>
      </c>
      <c r="R493" s="45">
        <f>25833.33+27286.46</f>
        <v>53119.79</v>
      </c>
      <c r="S493" s="45">
        <f>25833.33+27286.46</f>
        <v>53119.79</v>
      </c>
      <c r="T493" s="45">
        <f>25833.33+27286.46</f>
        <v>53119.79</v>
      </c>
      <c r="U493" s="52">
        <f>25833.35+27286.45</f>
        <v>53119.8</v>
      </c>
      <c r="V493" s="21">
        <f>SUM(J493:U493)</f>
        <v>639956.25</v>
      </c>
    </row>
    <row r="494" spans="3:22" ht="13.5" customHeight="1" thickBot="1">
      <c r="C494" s="6" t="s">
        <v>164</v>
      </c>
      <c r="J494" s="22">
        <f aca="true" t="shared" si="12" ref="J494:U494">SUM(J491:J493)</f>
        <v>54382.08</v>
      </c>
      <c r="K494" s="22">
        <f t="shared" si="12"/>
        <v>54132.08</v>
      </c>
      <c r="L494" s="22">
        <f t="shared" si="12"/>
        <v>54132.08</v>
      </c>
      <c r="M494" s="22">
        <f t="shared" si="12"/>
        <v>54132.08</v>
      </c>
      <c r="N494" s="22">
        <f t="shared" si="12"/>
        <v>54132.08</v>
      </c>
      <c r="O494" s="22">
        <f t="shared" si="12"/>
        <v>54132.1</v>
      </c>
      <c r="P494" s="22">
        <f t="shared" si="12"/>
        <v>53712.29</v>
      </c>
      <c r="Q494" s="22">
        <f t="shared" si="12"/>
        <v>53712.29</v>
      </c>
      <c r="R494" s="22">
        <f t="shared" si="12"/>
        <v>53712.29</v>
      </c>
      <c r="S494" s="22">
        <f t="shared" si="12"/>
        <v>53712.29</v>
      </c>
      <c r="T494" s="22">
        <f t="shared" si="12"/>
        <v>53712.29</v>
      </c>
      <c r="U494" s="30">
        <f t="shared" si="12"/>
        <v>53712.3</v>
      </c>
      <c r="V494" s="22">
        <f>SUM(V491:V493)</f>
        <v>647316.25</v>
      </c>
    </row>
    <row r="495" ht="13.5" customHeight="1">
      <c r="C495" s="10"/>
    </row>
    <row r="496" spans="1:3" ht="13.5" customHeight="1">
      <c r="A496" s="14">
        <f>+A490+1</f>
        <v>7</v>
      </c>
      <c r="B496" s="39"/>
      <c r="C496" s="5" t="s">
        <v>165</v>
      </c>
    </row>
    <row r="497" spans="1:22" ht="13.5" customHeight="1">
      <c r="A497" s="16"/>
      <c r="B497" s="16"/>
      <c r="C497" s="4" t="str">
        <f>C491</f>
        <v>Debt Reserve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  <c r="Q497" s="21">
        <v>0</v>
      </c>
      <c r="R497" s="21">
        <v>0</v>
      </c>
      <c r="S497" s="21">
        <v>0</v>
      </c>
      <c r="T497" s="21">
        <v>0</v>
      </c>
      <c r="U497" s="29">
        <v>0</v>
      </c>
      <c r="V497" s="21">
        <f>SUM(J497:U497)</f>
        <v>0</v>
      </c>
    </row>
    <row r="498" spans="3:22" ht="13.5" customHeight="1">
      <c r="C498" s="4" t="str">
        <f>C492</f>
        <v>Treasury Fee</v>
      </c>
      <c r="J498" s="45">
        <v>250</v>
      </c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52"/>
      <c r="V498" s="21">
        <f>SUM(J498:U498)</f>
        <v>250</v>
      </c>
    </row>
    <row r="499" spans="3:22" ht="13.5" customHeight="1" thickBot="1">
      <c r="C499" s="4" t="str">
        <f>C493</f>
        <v>Intercept</v>
      </c>
      <c r="J499" s="45">
        <f>10833.33+38208.33</f>
        <v>49041.66</v>
      </c>
      <c r="K499" s="45">
        <f>10833.33+38208.33</f>
        <v>49041.66</v>
      </c>
      <c r="L499" s="45">
        <f>10833.37+38208.35</f>
        <v>49041.72</v>
      </c>
      <c r="M499" s="45">
        <f>11666.67+37450</f>
        <v>49116.67</v>
      </c>
      <c r="N499" s="45">
        <f aca="true" t="shared" si="13" ref="N499:U499">11666.67+37450</f>
        <v>49116.67</v>
      </c>
      <c r="O499" s="45">
        <f t="shared" si="13"/>
        <v>49116.67</v>
      </c>
      <c r="P499" s="45">
        <f t="shared" si="13"/>
        <v>49116.67</v>
      </c>
      <c r="Q499" s="45">
        <f t="shared" si="13"/>
        <v>49116.67</v>
      </c>
      <c r="R499" s="45">
        <f t="shared" si="13"/>
        <v>49116.67</v>
      </c>
      <c r="S499" s="45">
        <f t="shared" si="13"/>
        <v>49116.67</v>
      </c>
      <c r="T499" s="45">
        <f t="shared" si="13"/>
        <v>49116.67</v>
      </c>
      <c r="U499" s="52">
        <f t="shared" si="13"/>
        <v>49116.67</v>
      </c>
      <c r="V499" s="21">
        <f>SUM(J499:U499)</f>
        <v>589175.07</v>
      </c>
    </row>
    <row r="500" spans="3:22" ht="13.5" customHeight="1" thickBot="1">
      <c r="C500" s="6" t="s">
        <v>166</v>
      </c>
      <c r="J500" s="22">
        <f aca="true" t="shared" si="14" ref="J500:U500">SUM(J497:J499)</f>
        <v>49291.66</v>
      </c>
      <c r="K500" s="22">
        <f t="shared" si="14"/>
        <v>49041.66</v>
      </c>
      <c r="L500" s="22">
        <f t="shared" si="14"/>
        <v>49041.72</v>
      </c>
      <c r="M500" s="22">
        <f t="shared" si="14"/>
        <v>49116.67</v>
      </c>
      <c r="N500" s="22">
        <f t="shared" si="14"/>
        <v>49116.67</v>
      </c>
      <c r="O500" s="22">
        <f t="shared" si="14"/>
        <v>49116.67</v>
      </c>
      <c r="P500" s="22">
        <f t="shared" si="14"/>
        <v>49116.67</v>
      </c>
      <c r="Q500" s="22">
        <f t="shared" si="14"/>
        <v>49116.67</v>
      </c>
      <c r="R500" s="22">
        <f t="shared" si="14"/>
        <v>49116.67</v>
      </c>
      <c r="S500" s="22">
        <f t="shared" si="14"/>
        <v>49116.67</v>
      </c>
      <c r="T500" s="22">
        <f t="shared" si="14"/>
        <v>49116.67</v>
      </c>
      <c r="U500" s="30">
        <f t="shared" si="14"/>
        <v>49116.67</v>
      </c>
      <c r="V500" s="22">
        <f>SUM(V497:V499)</f>
        <v>589425.07</v>
      </c>
    </row>
    <row r="501" ht="13.5" customHeight="1">
      <c r="C501" s="10"/>
    </row>
    <row r="502" spans="1:3" ht="13.5" customHeight="1">
      <c r="A502" s="14"/>
      <c r="B502" s="37" t="s">
        <v>104</v>
      </c>
      <c r="C502" s="25" t="s">
        <v>167</v>
      </c>
    </row>
    <row r="503" spans="1:3" ht="13.5" customHeight="1">
      <c r="A503" s="16"/>
      <c r="B503" s="16"/>
      <c r="C503" s="4" t="str">
        <f>C497</f>
        <v>Debt Reserve</v>
      </c>
    </row>
    <row r="504" ht="13.5" customHeight="1">
      <c r="C504" s="4" t="str">
        <f>C498</f>
        <v>Treasury Fee</v>
      </c>
    </row>
    <row r="505" ht="13.5" customHeight="1" thickBot="1">
      <c r="C505" s="4" t="str">
        <f>C499</f>
        <v>Intercept</v>
      </c>
    </row>
    <row r="506" ht="13.5" customHeight="1" thickBot="1">
      <c r="C506" s="6" t="s">
        <v>168</v>
      </c>
    </row>
    <row r="507" ht="13.5" customHeight="1">
      <c r="C507" s="10"/>
    </row>
    <row r="508" spans="1:3" ht="13.5" customHeight="1">
      <c r="A508" s="14"/>
      <c r="B508" s="37" t="s">
        <v>104</v>
      </c>
      <c r="C508" s="25" t="s">
        <v>169</v>
      </c>
    </row>
    <row r="509" spans="1:3" ht="13.5" customHeight="1">
      <c r="A509" s="16"/>
      <c r="B509" s="16"/>
      <c r="C509" s="4" t="str">
        <f>C503</f>
        <v>Debt Reserve</v>
      </c>
    </row>
    <row r="510" ht="13.5" customHeight="1">
      <c r="C510" s="4" t="str">
        <f>C504</f>
        <v>Treasury Fee</v>
      </c>
    </row>
    <row r="511" ht="13.5" customHeight="1" thickBot="1">
      <c r="C511" s="4" t="str">
        <f>C505</f>
        <v>Intercept</v>
      </c>
    </row>
    <row r="512" ht="13.5" customHeight="1" thickBot="1">
      <c r="C512" s="6" t="s">
        <v>115</v>
      </c>
    </row>
    <row r="513" ht="13.5" customHeight="1">
      <c r="C513" s="10"/>
    </row>
    <row r="514" spans="1:3" ht="13.5" customHeight="1">
      <c r="A514" s="14">
        <f>A496+1</f>
        <v>8</v>
      </c>
      <c r="B514" s="39"/>
      <c r="C514" s="5" t="s">
        <v>170</v>
      </c>
    </row>
    <row r="515" spans="1:22" ht="13.5" customHeight="1">
      <c r="A515" s="16"/>
      <c r="B515" s="16"/>
      <c r="C515" s="4" t="str">
        <f>C509</f>
        <v>Debt Reserve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  <c r="S515" s="21">
        <v>0</v>
      </c>
      <c r="T515" s="21">
        <v>0</v>
      </c>
      <c r="U515" s="29">
        <v>0</v>
      </c>
      <c r="V515" s="21">
        <f>SUM(J515:U515)</f>
        <v>0</v>
      </c>
    </row>
    <row r="516" spans="3:22" ht="13.5" customHeight="1">
      <c r="C516" s="4" t="str">
        <f>C510</f>
        <v>Treasury Fee</v>
      </c>
      <c r="J516" s="45">
        <v>250</v>
      </c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52"/>
      <c r="V516" s="21">
        <f>SUM(J516:U516)</f>
        <v>250</v>
      </c>
    </row>
    <row r="517" spans="3:22" ht="13.5" customHeight="1" thickBot="1">
      <c r="C517" s="4" t="str">
        <f>C511</f>
        <v>Intercept</v>
      </c>
      <c r="J517" s="45">
        <f>12916.67+26916.67</f>
        <v>39833.34</v>
      </c>
      <c r="K517" s="45">
        <f>12916.67+26916.67</f>
        <v>39833.34</v>
      </c>
      <c r="L517" s="45">
        <f>12916.67+26916.67</f>
        <v>39833.34</v>
      </c>
      <c r="M517" s="45">
        <f>12916.63+26916.65</f>
        <v>39833.28</v>
      </c>
      <c r="N517" s="45">
        <f>13333.33+26270.83</f>
        <v>39604.16</v>
      </c>
      <c r="O517" s="45">
        <f aca="true" t="shared" si="15" ref="O517:U517">13333.33+26270.83</f>
        <v>39604.16</v>
      </c>
      <c r="P517" s="45">
        <f t="shared" si="15"/>
        <v>39604.16</v>
      </c>
      <c r="Q517" s="45">
        <f t="shared" si="15"/>
        <v>39604.16</v>
      </c>
      <c r="R517" s="45">
        <f t="shared" si="15"/>
        <v>39604.16</v>
      </c>
      <c r="S517" s="45">
        <f>13333.33+26270.85</f>
        <v>39604.18</v>
      </c>
      <c r="T517" s="45">
        <f t="shared" si="15"/>
        <v>39604.16</v>
      </c>
      <c r="U517" s="52">
        <f t="shared" si="15"/>
        <v>39604.16</v>
      </c>
      <c r="V517" s="21">
        <f>SUM(J517:U517)</f>
        <v>476166.6000000001</v>
      </c>
    </row>
    <row r="518" spans="3:22" ht="13.5" customHeight="1" thickBot="1">
      <c r="C518" s="6" t="s">
        <v>171</v>
      </c>
      <c r="J518" s="22">
        <f aca="true" t="shared" si="16" ref="J518:U518">SUM(J515:J517)</f>
        <v>40083.34</v>
      </c>
      <c r="K518" s="22">
        <f t="shared" si="16"/>
        <v>39833.34</v>
      </c>
      <c r="L518" s="22">
        <f t="shared" si="16"/>
        <v>39833.34</v>
      </c>
      <c r="M518" s="22">
        <f t="shared" si="16"/>
        <v>39833.28</v>
      </c>
      <c r="N518" s="22">
        <f t="shared" si="16"/>
        <v>39604.16</v>
      </c>
      <c r="O518" s="22">
        <f t="shared" si="16"/>
        <v>39604.16</v>
      </c>
      <c r="P518" s="22">
        <f t="shared" si="16"/>
        <v>39604.16</v>
      </c>
      <c r="Q518" s="22">
        <f t="shared" si="16"/>
        <v>39604.16</v>
      </c>
      <c r="R518" s="22">
        <f t="shared" si="16"/>
        <v>39604.16</v>
      </c>
      <c r="S518" s="22">
        <f t="shared" si="16"/>
        <v>39604.18</v>
      </c>
      <c r="T518" s="22">
        <f t="shared" si="16"/>
        <v>39604.16</v>
      </c>
      <c r="U518" s="30">
        <f t="shared" si="16"/>
        <v>39604.16</v>
      </c>
      <c r="V518" s="22">
        <f>SUM(V515:V517)</f>
        <v>476416.6000000001</v>
      </c>
    </row>
    <row r="519" ht="13.5" customHeight="1">
      <c r="C519" s="10"/>
    </row>
    <row r="520" spans="1:3" ht="13.5" customHeight="1">
      <c r="A520" s="14">
        <f>+A514+1</f>
        <v>9</v>
      </c>
      <c r="B520" s="39"/>
      <c r="C520" s="5" t="s">
        <v>172</v>
      </c>
    </row>
    <row r="521" spans="1:22" ht="13.5" customHeight="1">
      <c r="A521" s="16"/>
      <c r="B521" s="16"/>
      <c r="C521" s="4" t="str">
        <f>C515</f>
        <v>Debt Reserve</v>
      </c>
      <c r="J521" s="45">
        <v>1125.83</v>
      </c>
      <c r="K521" s="45">
        <v>1125.83</v>
      </c>
      <c r="L521" s="45">
        <v>1125.83</v>
      </c>
      <c r="M521" s="45">
        <v>1125.83</v>
      </c>
      <c r="N521" s="45">
        <v>1125.83</v>
      </c>
      <c r="O521" s="45">
        <v>1125.83</v>
      </c>
      <c r="P521" s="45">
        <v>1125.83</v>
      </c>
      <c r="Q521" s="45">
        <v>1125.83</v>
      </c>
      <c r="R521" s="45">
        <v>1061.25</v>
      </c>
      <c r="S521" s="45">
        <v>1061.25</v>
      </c>
      <c r="T521" s="45">
        <v>1061.25</v>
      </c>
      <c r="U521" s="52">
        <v>1061.25</v>
      </c>
      <c r="V521" s="21">
        <f>SUM(J521:U521)</f>
        <v>13251.64</v>
      </c>
    </row>
    <row r="522" spans="3:22" ht="13.5" customHeight="1">
      <c r="C522" s="4" t="str">
        <f>C516</f>
        <v>Treasury Fee</v>
      </c>
      <c r="J522" s="45">
        <v>250</v>
      </c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52"/>
      <c r="V522" s="21">
        <f>SUM(J522:U522)</f>
        <v>250</v>
      </c>
    </row>
    <row r="523" spans="3:22" ht="13.5" customHeight="1" thickBot="1">
      <c r="C523" s="4" t="str">
        <f>C517</f>
        <v>Intercept</v>
      </c>
      <c r="J523" s="45">
        <f aca="true" t="shared" si="17" ref="J523:T523">67500+47682.29</f>
        <v>115182.29000000001</v>
      </c>
      <c r="K523" s="45">
        <f t="shared" si="17"/>
        <v>115182.29000000001</v>
      </c>
      <c r="L523" s="45">
        <f t="shared" si="17"/>
        <v>115182.29000000001</v>
      </c>
      <c r="M523" s="45">
        <f t="shared" si="17"/>
        <v>115182.29000000001</v>
      </c>
      <c r="N523" s="45">
        <f t="shared" si="17"/>
        <v>115182.29000000001</v>
      </c>
      <c r="O523" s="45">
        <f t="shared" si="17"/>
        <v>115182.29000000001</v>
      </c>
      <c r="P523" s="45">
        <f t="shared" si="17"/>
        <v>115182.29000000001</v>
      </c>
      <c r="Q523" s="45">
        <f t="shared" si="17"/>
        <v>115182.29000000001</v>
      </c>
      <c r="R523" s="45">
        <f t="shared" si="17"/>
        <v>115182.29000000001</v>
      </c>
      <c r="S523" s="45">
        <f t="shared" si="17"/>
        <v>115182.29000000001</v>
      </c>
      <c r="T523" s="45">
        <f t="shared" si="17"/>
        <v>115182.29000000001</v>
      </c>
      <c r="U523" s="52">
        <f>70416.67+44982.29</f>
        <v>115398.95999999999</v>
      </c>
      <c r="V523" s="21">
        <f>SUM(J523:U523)</f>
        <v>1382404.1500000001</v>
      </c>
    </row>
    <row r="524" spans="3:22" ht="13.5" customHeight="1" thickBot="1">
      <c r="C524" s="6" t="s">
        <v>128</v>
      </c>
      <c r="J524" s="22">
        <f aca="true" t="shared" si="18" ref="J524:U524">SUM(J521:J523)</f>
        <v>116558.12000000001</v>
      </c>
      <c r="K524" s="22">
        <f t="shared" si="18"/>
        <v>116308.12000000001</v>
      </c>
      <c r="L524" s="22">
        <f t="shared" si="18"/>
        <v>116308.12000000001</v>
      </c>
      <c r="M524" s="22">
        <f t="shared" si="18"/>
        <v>116308.12000000001</v>
      </c>
      <c r="N524" s="22">
        <f t="shared" si="18"/>
        <v>116308.12000000001</v>
      </c>
      <c r="O524" s="22">
        <f t="shared" si="18"/>
        <v>116308.12000000001</v>
      </c>
      <c r="P524" s="22">
        <f t="shared" si="18"/>
        <v>116308.12000000001</v>
      </c>
      <c r="Q524" s="22">
        <f t="shared" si="18"/>
        <v>116308.12000000001</v>
      </c>
      <c r="R524" s="22">
        <f t="shared" si="18"/>
        <v>116243.54000000001</v>
      </c>
      <c r="S524" s="22">
        <f t="shared" si="18"/>
        <v>116243.54000000001</v>
      </c>
      <c r="T524" s="22">
        <f t="shared" si="18"/>
        <v>116243.54000000001</v>
      </c>
      <c r="U524" s="30">
        <f t="shared" si="18"/>
        <v>116460.20999999999</v>
      </c>
      <c r="V524" s="22">
        <f>SUM(V521:V523)</f>
        <v>1395905.79</v>
      </c>
    </row>
    <row r="525" ht="13.5" customHeight="1">
      <c r="C525" s="10"/>
    </row>
    <row r="526" spans="1:3" ht="13.5" customHeight="1">
      <c r="A526" s="14"/>
      <c r="B526" s="37" t="s">
        <v>104</v>
      </c>
      <c r="C526" s="25" t="s">
        <v>173</v>
      </c>
    </row>
    <row r="527" spans="1:3" ht="13.5" customHeight="1">
      <c r="A527" s="16"/>
      <c r="B527" s="16"/>
      <c r="C527" s="4" t="str">
        <f>C521</f>
        <v>Debt Reserve</v>
      </c>
    </row>
    <row r="528" ht="13.5" customHeight="1">
      <c r="C528" s="4" t="str">
        <f>C522</f>
        <v>Treasury Fee</v>
      </c>
    </row>
    <row r="529" ht="13.5" customHeight="1" thickBot="1">
      <c r="C529" s="4" t="str">
        <f>C523</f>
        <v>Intercept</v>
      </c>
    </row>
    <row r="530" ht="13.5" customHeight="1" thickBot="1">
      <c r="C530" s="6" t="s">
        <v>174</v>
      </c>
    </row>
    <row r="531" ht="13.5" customHeight="1">
      <c r="C531" s="10"/>
    </row>
    <row r="532" spans="1:3" ht="13.5" customHeight="1">
      <c r="A532" s="14">
        <f>+A520+1</f>
        <v>10</v>
      </c>
      <c r="B532" s="39"/>
      <c r="C532" s="5" t="s">
        <v>175</v>
      </c>
    </row>
    <row r="533" spans="1:22" ht="13.5" customHeight="1">
      <c r="A533" s="16"/>
      <c r="B533" s="16"/>
      <c r="C533" s="4" t="str">
        <f>C527</f>
        <v>Debt Reserve</v>
      </c>
      <c r="J533" s="45">
        <v>367.09</v>
      </c>
      <c r="K533" s="45">
        <v>367.09</v>
      </c>
      <c r="L533" s="45">
        <v>367.09</v>
      </c>
      <c r="M533" s="45">
        <v>367.09</v>
      </c>
      <c r="N533" s="45">
        <v>367.09</v>
      </c>
      <c r="O533" s="45">
        <v>367.09</v>
      </c>
      <c r="P533" s="45">
        <v>367.09</v>
      </c>
      <c r="Q533" s="45">
        <v>344.04</v>
      </c>
      <c r="R533" s="45">
        <v>344.04</v>
      </c>
      <c r="S533" s="45">
        <v>344.04</v>
      </c>
      <c r="T533" s="45">
        <v>344.04</v>
      </c>
      <c r="U533" s="52">
        <v>344.04</v>
      </c>
      <c r="V533" s="21">
        <f>SUM(J533:U533)</f>
        <v>4289.83</v>
      </c>
    </row>
    <row r="534" spans="3:22" ht="13.5" customHeight="1">
      <c r="C534" s="4" t="str">
        <f>C528</f>
        <v>Treasury Fee</v>
      </c>
      <c r="J534" s="45">
        <v>250</v>
      </c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52"/>
      <c r="V534" s="21">
        <f>SUM(J534:U534)</f>
        <v>250</v>
      </c>
    </row>
    <row r="535" spans="3:22" ht="13.5" customHeight="1" thickBot="1">
      <c r="C535" s="4" t="str">
        <f>C529</f>
        <v>Intercept</v>
      </c>
      <c r="J535" s="45">
        <f>23054.61+11783.63</f>
        <v>34838.24</v>
      </c>
      <c r="K535" s="45">
        <f>23054.61+11783.64</f>
        <v>34838.25</v>
      </c>
      <c r="L535" s="45">
        <f>23054.61+11783.64</f>
        <v>34838.25</v>
      </c>
      <c r="M535" s="45">
        <f>23054.61+11783.63</f>
        <v>34838.24</v>
      </c>
      <c r="N535" s="45">
        <f>23054.61+11783.63</f>
        <v>34838.24</v>
      </c>
      <c r="O535" s="45">
        <f>23054.6+11783.63</f>
        <v>34838.229999999996</v>
      </c>
      <c r="P535" s="45">
        <f>23054.6+11783.63</f>
        <v>34838.229999999996</v>
      </c>
      <c r="Q535" s="45">
        <f>23817.72+11043.58</f>
        <v>34861.3</v>
      </c>
      <c r="R535" s="45">
        <f>23817.72+11043.58</f>
        <v>34861.3</v>
      </c>
      <c r="S535" s="45">
        <f>23817.72+11043.58</f>
        <v>34861.3</v>
      </c>
      <c r="T535" s="45">
        <f>23817.72+11043.58</f>
        <v>34861.3</v>
      </c>
      <c r="U535" s="52">
        <f>23817.72+11043.58</f>
        <v>34861.3</v>
      </c>
      <c r="V535" s="21">
        <f>SUM(J535:U535)</f>
        <v>418174.1799999999</v>
      </c>
    </row>
    <row r="536" spans="3:22" ht="13.5" customHeight="1" thickBot="1">
      <c r="C536" s="6" t="s">
        <v>176</v>
      </c>
      <c r="J536" s="22">
        <f aca="true" t="shared" si="19" ref="J536:U536">SUM(J533:J535)</f>
        <v>35455.329999999994</v>
      </c>
      <c r="K536" s="22">
        <f t="shared" si="19"/>
        <v>35205.34</v>
      </c>
      <c r="L536" s="22">
        <f t="shared" si="19"/>
        <v>35205.34</v>
      </c>
      <c r="M536" s="22">
        <f t="shared" si="19"/>
        <v>35205.329999999994</v>
      </c>
      <c r="N536" s="22">
        <f t="shared" si="19"/>
        <v>35205.329999999994</v>
      </c>
      <c r="O536" s="22">
        <f t="shared" si="19"/>
        <v>35205.31999999999</v>
      </c>
      <c r="P536" s="22">
        <f t="shared" si="19"/>
        <v>35205.31999999999</v>
      </c>
      <c r="Q536" s="22">
        <f t="shared" si="19"/>
        <v>35205.340000000004</v>
      </c>
      <c r="R536" s="22">
        <f t="shared" si="19"/>
        <v>35205.340000000004</v>
      </c>
      <c r="S536" s="22">
        <f t="shared" si="19"/>
        <v>35205.340000000004</v>
      </c>
      <c r="T536" s="22">
        <f t="shared" si="19"/>
        <v>35205.340000000004</v>
      </c>
      <c r="U536" s="30">
        <f t="shared" si="19"/>
        <v>35205.340000000004</v>
      </c>
      <c r="V536" s="22">
        <f>SUM(V533:V535)</f>
        <v>422714.0099999999</v>
      </c>
    </row>
    <row r="537" ht="13.5" customHeight="1">
      <c r="C537" s="10"/>
    </row>
    <row r="538" spans="1:3" ht="13.5" customHeight="1">
      <c r="A538" s="14"/>
      <c r="B538" s="37" t="s">
        <v>104</v>
      </c>
      <c r="C538" s="25" t="s">
        <v>177</v>
      </c>
    </row>
    <row r="539" spans="1:3" ht="13.5" customHeight="1">
      <c r="A539" s="16"/>
      <c r="B539" s="16"/>
      <c r="C539" s="4" t="str">
        <f>C533</f>
        <v>Debt Reserve</v>
      </c>
    </row>
    <row r="540" ht="13.5" customHeight="1">
      <c r="C540" s="4" t="str">
        <f>C534</f>
        <v>Treasury Fee</v>
      </c>
    </row>
    <row r="541" ht="13.5" customHeight="1" thickBot="1">
      <c r="C541" s="4" t="str">
        <f>C535</f>
        <v>Intercept</v>
      </c>
    </row>
    <row r="542" ht="13.5" customHeight="1" thickBot="1">
      <c r="C542" s="6" t="s">
        <v>123</v>
      </c>
    </row>
    <row r="543" ht="13.5" customHeight="1">
      <c r="C543" s="10"/>
    </row>
    <row r="544" spans="1:3" ht="13.5" customHeight="1">
      <c r="A544" s="14"/>
      <c r="B544" s="37" t="s">
        <v>104</v>
      </c>
      <c r="C544" s="25" t="s">
        <v>180</v>
      </c>
    </row>
    <row r="545" spans="1:3" ht="13.5" customHeight="1">
      <c r="A545" s="16"/>
      <c r="B545" s="16"/>
      <c r="C545" s="4" t="str">
        <f>C539</f>
        <v>Debt Reserve</v>
      </c>
    </row>
    <row r="546" ht="13.5" customHeight="1">
      <c r="C546" s="4" t="str">
        <f>C540</f>
        <v>Treasury Fee</v>
      </c>
    </row>
    <row r="547" ht="13.5" customHeight="1" thickBot="1">
      <c r="C547" s="4" t="str">
        <f>C541</f>
        <v>Intercept</v>
      </c>
    </row>
    <row r="548" ht="13.5" customHeight="1" thickBot="1">
      <c r="C548" s="6" t="s">
        <v>158</v>
      </c>
    </row>
    <row r="549" ht="13.5" customHeight="1">
      <c r="C549" s="10"/>
    </row>
    <row r="550" spans="1:3" ht="13.5" customHeight="1">
      <c r="A550" s="14">
        <f>+A532+1</f>
        <v>11</v>
      </c>
      <c r="B550" s="39"/>
      <c r="C550" s="5" t="s">
        <v>178</v>
      </c>
    </row>
    <row r="551" spans="1:22" ht="13.5" customHeight="1">
      <c r="A551" s="16"/>
      <c r="B551" s="16"/>
      <c r="C551" s="4" t="str">
        <f>C545</f>
        <v>Debt Reserve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21">
        <v>0</v>
      </c>
      <c r="S551" s="21">
        <v>0</v>
      </c>
      <c r="T551" s="21">
        <v>0</v>
      </c>
      <c r="U551" s="29">
        <v>0</v>
      </c>
      <c r="V551" s="21">
        <f>SUM(J551:U551)</f>
        <v>0</v>
      </c>
    </row>
    <row r="552" spans="3:22" ht="13.5" customHeight="1">
      <c r="C552" s="4" t="str">
        <f>C546</f>
        <v>Treasury Fee</v>
      </c>
      <c r="J552" s="45">
        <v>250</v>
      </c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52"/>
      <c r="V552" s="21">
        <f>SUM(J552:U552)</f>
        <v>250</v>
      </c>
    </row>
    <row r="553" spans="3:22" ht="13.5" customHeight="1" thickBot="1">
      <c r="C553" s="4" t="str">
        <f>C547</f>
        <v>Intercept</v>
      </c>
      <c r="J553" s="45">
        <v>103134.79</v>
      </c>
      <c r="K553" s="45">
        <v>103134.79</v>
      </c>
      <c r="L553" s="45">
        <v>103134.79</v>
      </c>
      <c r="M553" s="45">
        <v>103134.79</v>
      </c>
      <c r="N553" s="45">
        <v>103134.79</v>
      </c>
      <c r="O553" s="45">
        <v>103134.79</v>
      </c>
      <c r="P553" s="45">
        <v>103134.79</v>
      </c>
      <c r="Q553" s="45">
        <v>103134.79</v>
      </c>
      <c r="R553" s="45">
        <v>103134.79</v>
      </c>
      <c r="S553" s="45">
        <v>103134.79</v>
      </c>
      <c r="T553" s="45">
        <v>103134.79</v>
      </c>
      <c r="U553" s="52">
        <v>103134.79</v>
      </c>
      <c r="V553" s="21">
        <f>SUM(J553:U553)</f>
        <v>1237617.4800000002</v>
      </c>
    </row>
    <row r="554" spans="3:22" ht="13.5" customHeight="1" thickBot="1">
      <c r="C554" s="6" t="s">
        <v>101</v>
      </c>
      <c r="J554" s="22">
        <f aca="true" t="shared" si="20" ref="J554:U554">SUM(J551:J553)</f>
        <v>103384.79</v>
      </c>
      <c r="K554" s="22">
        <f t="shared" si="20"/>
        <v>103134.79</v>
      </c>
      <c r="L554" s="22">
        <f t="shared" si="20"/>
        <v>103134.79</v>
      </c>
      <c r="M554" s="22">
        <f t="shared" si="20"/>
        <v>103134.79</v>
      </c>
      <c r="N554" s="22">
        <f t="shared" si="20"/>
        <v>103134.79</v>
      </c>
      <c r="O554" s="22">
        <f t="shared" si="20"/>
        <v>103134.79</v>
      </c>
      <c r="P554" s="22">
        <f t="shared" si="20"/>
        <v>103134.79</v>
      </c>
      <c r="Q554" s="22">
        <f t="shared" si="20"/>
        <v>103134.79</v>
      </c>
      <c r="R554" s="22">
        <f t="shared" si="20"/>
        <v>103134.79</v>
      </c>
      <c r="S554" s="22">
        <f t="shared" si="20"/>
        <v>103134.79</v>
      </c>
      <c r="T554" s="22">
        <f t="shared" si="20"/>
        <v>103134.79</v>
      </c>
      <c r="U554" s="30">
        <f t="shared" si="20"/>
        <v>103134.79</v>
      </c>
      <c r="V554" s="22">
        <f>SUM(V551:V553)</f>
        <v>1237867.4800000002</v>
      </c>
    </row>
    <row r="555" ht="13.5" customHeight="1">
      <c r="C555" s="10"/>
    </row>
    <row r="556" spans="1:3" ht="13.5" customHeight="1">
      <c r="A556" s="14"/>
      <c r="B556" s="37" t="s">
        <v>104</v>
      </c>
      <c r="C556" s="25" t="s">
        <v>181</v>
      </c>
    </row>
    <row r="557" spans="1:3" ht="13.5" customHeight="1">
      <c r="A557" s="16"/>
      <c r="B557" s="16"/>
      <c r="C557" s="4" t="str">
        <f>C551</f>
        <v>Debt Reserve</v>
      </c>
    </row>
    <row r="558" ht="13.5" customHeight="1">
      <c r="C558" s="4" t="str">
        <f>C552</f>
        <v>Treasury Fee</v>
      </c>
    </row>
    <row r="559" ht="13.5" customHeight="1" thickBot="1">
      <c r="C559" s="4" t="str">
        <f>C553</f>
        <v>Intercept</v>
      </c>
    </row>
    <row r="560" ht="13.5" customHeight="1" thickBot="1">
      <c r="C560" s="6" t="s">
        <v>182</v>
      </c>
    </row>
    <row r="561" ht="13.5" customHeight="1">
      <c r="C561" s="10"/>
    </row>
    <row r="562" spans="1:3" ht="13.5" customHeight="1">
      <c r="A562" s="14"/>
      <c r="B562" s="37" t="s">
        <v>104</v>
      </c>
      <c r="C562" s="25" t="s">
        <v>183</v>
      </c>
    </row>
    <row r="563" spans="1:3" ht="13.5" customHeight="1">
      <c r="A563" s="16"/>
      <c r="B563" s="16"/>
      <c r="C563" s="4" t="str">
        <f>C557</f>
        <v>Debt Reserve</v>
      </c>
    </row>
    <row r="564" ht="13.5" customHeight="1">
      <c r="C564" s="4" t="str">
        <f>C558</f>
        <v>Treasury Fee</v>
      </c>
    </row>
    <row r="565" ht="13.5" customHeight="1" thickBot="1">
      <c r="C565" s="4" t="str">
        <f>C559</f>
        <v>Intercept</v>
      </c>
    </row>
    <row r="566" ht="13.5" customHeight="1" thickBot="1">
      <c r="C566" s="6" t="s">
        <v>184</v>
      </c>
    </row>
    <row r="567" ht="13.5" customHeight="1">
      <c r="C567" s="10"/>
    </row>
    <row r="568" spans="1:3" ht="13.5" customHeight="1">
      <c r="A568" s="14"/>
      <c r="B568" s="37" t="s">
        <v>104</v>
      </c>
      <c r="C568" s="25" t="s">
        <v>185</v>
      </c>
    </row>
    <row r="569" spans="1:3" ht="13.5" customHeight="1">
      <c r="A569" s="16"/>
      <c r="B569" s="16"/>
      <c r="C569" s="4" t="str">
        <f>C563</f>
        <v>Debt Reserve</v>
      </c>
    </row>
    <row r="570" ht="13.5" customHeight="1">
      <c r="C570" s="4" t="str">
        <f>C564</f>
        <v>Treasury Fee</v>
      </c>
    </row>
    <row r="571" ht="13.5" customHeight="1" thickBot="1">
      <c r="C571" s="4" t="str">
        <f>C565</f>
        <v>Intercept</v>
      </c>
    </row>
    <row r="572" ht="13.5" customHeight="1" thickBot="1">
      <c r="C572" s="6" t="s">
        <v>186</v>
      </c>
    </row>
    <row r="573" ht="13.5" customHeight="1">
      <c r="C573" s="10"/>
    </row>
    <row r="574" spans="1:3" ht="13.5" customHeight="1">
      <c r="A574" s="14">
        <f>+A550+1</f>
        <v>12</v>
      </c>
      <c r="B574" s="39"/>
      <c r="C574" s="5" t="s">
        <v>187</v>
      </c>
    </row>
    <row r="575" spans="1:22" ht="13.5" customHeight="1">
      <c r="A575" s="16"/>
      <c r="B575" s="16"/>
      <c r="C575" s="4" t="str">
        <f>C569</f>
        <v>Debt Reserve</v>
      </c>
      <c r="J575" s="45">
        <v>1093.33</v>
      </c>
      <c r="K575" s="45">
        <v>1093.33</v>
      </c>
      <c r="L575" s="45">
        <v>1093.33</v>
      </c>
      <c r="M575" s="45">
        <v>1093.33</v>
      </c>
      <c r="N575" s="45">
        <v>1093.33</v>
      </c>
      <c r="O575" s="45">
        <v>1093.33</v>
      </c>
      <c r="P575" s="45">
        <v>1093.33</v>
      </c>
      <c r="Q575" s="45">
        <v>1093.33</v>
      </c>
      <c r="R575" s="45">
        <v>1065.42</v>
      </c>
      <c r="S575" s="45">
        <v>1065.42</v>
      </c>
      <c r="T575" s="45">
        <v>1065.42</v>
      </c>
      <c r="U575" s="52">
        <v>1065.42</v>
      </c>
      <c r="V575" s="21">
        <f>SUM(J575:U575)</f>
        <v>13008.32</v>
      </c>
    </row>
    <row r="576" spans="3:22" ht="13.5" customHeight="1">
      <c r="C576" s="4" t="str">
        <f>C570</f>
        <v>Treasury Fee</v>
      </c>
      <c r="J576" s="45">
        <v>250</v>
      </c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52"/>
      <c r="V576" s="21">
        <f>SUM(J576:U576)</f>
        <v>250</v>
      </c>
    </row>
    <row r="577" spans="3:22" ht="13.5" customHeight="1" thickBot="1">
      <c r="C577" s="4" t="str">
        <f>C571</f>
        <v>Intercept</v>
      </c>
      <c r="J577" s="45">
        <f>30416.67+58952.61</f>
        <v>89369.28</v>
      </c>
      <c r="K577" s="45">
        <f>30416.67+58952.61</f>
        <v>89369.28</v>
      </c>
      <c r="L577" s="45">
        <f>30416.67+58952.61</f>
        <v>89369.28</v>
      </c>
      <c r="M577" s="45">
        <f>30416.67+58952.61</f>
        <v>89369.28</v>
      </c>
      <c r="N577" s="45">
        <f>30416.67+58952.61</f>
        <v>89369.28</v>
      </c>
      <c r="O577" s="45">
        <f>30416.63+58952.58</f>
        <v>89369.21</v>
      </c>
      <c r="P577" s="45">
        <f>31666.67+57939.58</f>
        <v>89606.25</v>
      </c>
      <c r="Q577" s="45">
        <f>31666.67+57939.58</f>
        <v>89606.25</v>
      </c>
      <c r="R577" s="45">
        <f>31666.67+57939.58</f>
        <v>89606.25</v>
      </c>
      <c r="S577" s="45">
        <f>31666.67+57939.58</f>
        <v>89606.25</v>
      </c>
      <c r="T577" s="45">
        <f>31666.67+57939.58</f>
        <v>89606.25</v>
      </c>
      <c r="U577" s="52">
        <f>31666.67+57939.6</f>
        <v>89606.26999999999</v>
      </c>
      <c r="V577" s="21">
        <f>SUM(J577:U577)</f>
        <v>1073853.13</v>
      </c>
    </row>
    <row r="578" spans="3:22" ht="13.5" customHeight="1" thickBot="1">
      <c r="C578" s="6" t="s">
        <v>188</v>
      </c>
      <c r="J578" s="22">
        <f aca="true" t="shared" si="21" ref="J578:U578">SUM(J575:J577)</f>
        <v>90712.61</v>
      </c>
      <c r="K578" s="22">
        <f t="shared" si="21"/>
        <v>90462.61</v>
      </c>
      <c r="L578" s="22">
        <f t="shared" si="21"/>
        <v>90462.61</v>
      </c>
      <c r="M578" s="22">
        <f t="shared" si="21"/>
        <v>90462.61</v>
      </c>
      <c r="N578" s="22">
        <f t="shared" si="21"/>
        <v>90462.61</v>
      </c>
      <c r="O578" s="22">
        <f t="shared" si="21"/>
        <v>90462.54000000001</v>
      </c>
      <c r="P578" s="22">
        <f t="shared" si="21"/>
        <v>90699.58</v>
      </c>
      <c r="Q578" s="22">
        <f t="shared" si="21"/>
        <v>90699.58</v>
      </c>
      <c r="R578" s="22">
        <f t="shared" si="21"/>
        <v>90671.67</v>
      </c>
      <c r="S578" s="22">
        <f t="shared" si="21"/>
        <v>90671.67</v>
      </c>
      <c r="T578" s="22">
        <f t="shared" si="21"/>
        <v>90671.67</v>
      </c>
      <c r="U578" s="30">
        <f t="shared" si="21"/>
        <v>90671.68999999999</v>
      </c>
      <c r="V578" s="22">
        <f>SUM(V575:V577)</f>
        <v>1087111.45</v>
      </c>
    </row>
    <row r="579" ht="13.5" customHeight="1">
      <c r="C579" s="10"/>
    </row>
    <row r="580" spans="1:3" ht="13.5" customHeight="1">
      <c r="A580" s="14">
        <f>+A574+1</f>
        <v>13</v>
      </c>
      <c r="B580" s="39"/>
      <c r="C580" s="5" t="s">
        <v>189</v>
      </c>
    </row>
    <row r="581" spans="1:22" ht="13.5" customHeight="1">
      <c r="A581" s="16"/>
      <c r="B581" s="16"/>
      <c r="C581" s="4" t="str">
        <f>C575</f>
        <v>Debt Reserve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1">
        <v>0</v>
      </c>
      <c r="T581" s="21">
        <v>0</v>
      </c>
      <c r="U581" s="29">
        <v>0</v>
      </c>
      <c r="V581" s="21">
        <f>SUM(J581:U581)</f>
        <v>0</v>
      </c>
    </row>
    <row r="582" spans="3:22" ht="13.5" customHeight="1">
      <c r="C582" s="4" t="str">
        <f>C576</f>
        <v>Treasury Fee</v>
      </c>
      <c r="J582" s="45">
        <v>250</v>
      </c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52"/>
      <c r="V582" s="21">
        <f>SUM(J582:U582)</f>
        <v>250</v>
      </c>
    </row>
    <row r="583" spans="3:22" ht="13.5" customHeight="1" thickBot="1">
      <c r="C583" s="4" t="str">
        <f>C577</f>
        <v>Intercept</v>
      </c>
      <c r="J583" s="45">
        <f>22144.1+17180.41</f>
        <v>39324.509999999995</v>
      </c>
      <c r="K583" s="45">
        <f>22587.01+16737.52</f>
        <v>39324.53</v>
      </c>
      <c r="L583" s="45">
        <f>22587.01+16737.52</f>
        <v>39324.53</v>
      </c>
      <c r="M583" s="45">
        <f>22587.01+16737.52</f>
        <v>39324.53</v>
      </c>
      <c r="N583" s="45">
        <f>22587.01+16737.52</f>
        <v>39324.53</v>
      </c>
      <c r="O583" s="45">
        <f>22587.01+16737.52</f>
        <v>39324.53</v>
      </c>
      <c r="P583" s="45">
        <f>22586.99+16737.51</f>
        <v>39324.5</v>
      </c>
      <c r="Q583" s="45">
        <f>23038.75+16285.78</f>
        <v>39324.53</v>
      </c>
      <c r="R583" s="45">
        <f>23038.75+16285.78</f>
        <v>39324.53</v>
      </c>
      <c r="S583" s="45">
        <f>23038.75+16285.78</f>
        <v>39324.53</v>
      </c>
      <c r="T583" s="45">
        <f>23038.75+16285.78</f>
        <v>39324.53</v>
      </c>
      <c r="U583" s="52">
        <f>23038.75+16285.78</f>
        <v>39324.53</v>
      </c>
      <c r="V583" s="21">
        <f>SUM(J583:U583)</f>
        <v>471894.31000000006</v>
      </c>
    </row>
    <row r="584" spans="3:22" ht="13.5" customHeight="1" thickBot="1">
      <c r="C584" s="6" t="s">
        <v>190</v>
      </c>
      <c r="J584" s="22">
        <f aca="true" t="shared" si="22" ref="J584:U584">SUM(J581:J583)</f>
        <v>39574.509999999995</v>
      </c>
      <c r="K584" s="22">
        <f t="shared" si="22"/>
        <v>39324.53</v>
      </c>
      <c r="L584" s="22">
        <f t="shared" si="22"/>
        <v>39324.53</v>
      </c>
      <c r="M584" s="22">
        <f t="shared" si="22"/>
        <v>39324.53</v>
      </c>
      <c r="N584" s="22">
        <f t="shared" si="22"/>
        <v>39324.53</v>
      </c>
      <c r="O584" s="22">
        <f t="shared" si="22"/>
        <v>39324.53</v>
      </c>
      <c r="P584" s="22">
        <f t="shared" si="22"/>
        <v>39324.5</v>
      </c>
      <c r="Q584" s="22">
        <f t="shared" si="22"/>
        <v>39324.53</v>
      </c>
      <c r="R584" s="22">
        <f t="shared" si="22"/>
        <v>39324.53</v>
      </c>
      <c r="S584" s="22">
        <f t="shared" si="22"/>
        <v>39324.53</v>
      </c>
      <c r="T584" s="22">
        <f t="shared" si="22"/>
        <v>39324.53</v>
      </c>
      <c r="U584" s="30">
        <f t="shared" si="22"/>
        <v>39324.53</v>
      </c>
      <c r="V584" s="22">
        <f>SUM(V581:V583)</f>
        <v>472144.31000000006</v>
      </c>
    </row>
    <row r="585" ht="13.5" customHeight="1">
      <c r="C585" s="10"/>
    </row>
    <row r="586" spans="1:3" ht="13.5" customHeight="1">
      <c r="A586" s="14">
        <f>+A580+1</f>
        <v>14</v>
      </c>
      <c r="B586" s="39"/>
      <c r="C586" s="5" t="s">
        <v>191</v>
      </c>
    </row>
    <row r="587" spans="1:22" ht="13.5" customHeight="1">
      <c r="A587" s="16"/>
      <c r="B587" s="16"/>
      <c r="C587" s="4" t="str">
        <f>C581</f>
        <v>Debt Reserve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1">
        <v>0</v>
      </c>
      <c r="U587" s="29">
        <v>0</v>
      </c>
      <c r="V587" s="21">
        <f>SUM(J587:U587)</f>
        <v>0</v>
      </c>
    </row>
    <row r="588" spans="3:22" ht="13.5" customHeight="1">
      <c r="C588" s="4" t="str">
        <f>C582</f>
        <v>Treasury Fee</v>
      </c>
      <c r="J588" s="45">
        <v>250</v>
      </c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52"/>
      <c r="V588" s="21">
        <f>SUM(J588:U588)</f>
        <v>250</v>
      </c>
    </row>
    <row r="589" spans="3:22" ht="13.5" customHeight="1" thickBot="1">
      <c r="C589" s="4" t="str">
        <f>C583</f>
        <v>Intercept</v>
      </c>
      <c r="J589" s="45">
        <f>5000+15002.29</f>
        <v>20002.29</v>
      </c>
      <c r="K589" s="45">
        <f>5000+15002.29</f>
        <v>20002.29</v>
      </c>
      <c r="L589" s="45">
        <f>5000+15002.29</f>
        <v>20002.29</v>
      </c>
      <c r="M589" s="45">
        <f>5000+15002.3</f>
        <v>20002.3</v>
      </c>
      <c r="N589" s="45">
        <f>5000+14734.79</f>
        <v>19734.79</v>
      </c>
      <c r="O589" s="45">
        <f aca="true" t="shared" si="23" ref="O589:U589">5000+14734.79</f>
        <v>19734.79</v>
      </c>
      <c r="P589" s="45">
        <f t="shared" si="23"/>
        <v>19734.79</v>
      </c>
      <c r="Q589" s="45">
        <f t="shared" si="23"/>
        <v>19734.79</v>
      </c>
      <c r="R589" s="45">
        <f t="shared" si="23"/>
        <v>19734.79</v>
      </c>
      <c r="S589" s="45">
        <f>5000+14734.8</f>
        <v>19734.8</v>
      </c>
      <c r="T589" s="45">
        <f t="shared" si="23"/>
        <v>19734.79</v>
      </c>
      <c r="U589" s="52">
        <f t="shared" si="23"/>
        <v>19734.79</v>
      </c>
      <c r="V589" s="21">
        <f>SUM(J589:U589)</f>
        <v>237887.50000000003</v>
      </c>
    </row>
    <row r="590" spans="3:22" ht="13.5" customHeight="1" thickBot="1">
      <c r="C590" s="6" t="s">
        <v>192</v>
      </c>
      <c r="J590" s="22">
        <f aca="true" t="shared" si="24" ref="J590:U590">SUM(J587:J589)</f>
        <v>20252.29</v>
      </c>
      <c r="K590" s="22">
        <f t="shared" si="24"/>
        <v>20002.29</v>
      </c>
      <c r="L590" s="22">
        <f t="shared" si="24"/>
        <v>20002.29</v>
      </c>
      <c r="M590" s="22">
        <f t="shared" si="24"/>
        <v>20002.3</v>
      </c>
      <c r="N590" s="22">
        <f t="shared" si="24"/>
        <v>19734.79</v>
      </c>
      <c r="O590" s="22">
        <f t="shared" si="24"/>
        <v>19734.79</v>
      </c>
      <c r="P590" s="22">
        <f t="shared" si="24"/>
        <v>19734.79</v>
      </c>
      <c r="Q590" s="22">
        <f t="shared" si="24"/>
        <v>19734.79</v>
      </c>
      <c r="R590" s="22">
        <f t="shared" si="24"/>
        <v>19734.79</v>
      </c>
      <c r="S590" s="22">
        <f t="shared" si="24"/>
        <v>19734.8</v>
      </c>
      <c r="T590" s="22">
        <f t="shared" si="24"/>
        <v>19734.79</v>
      </c>
      <c r="U590" s="30">
        <f t="shared" si="24"/>
        <v>19734.79</v>
      </c>
      <c r="V590" s="22">
        <f>SUM(V587:V589)</f>
        <v>238137.50000000003</v>
      </c>
    </row>
    <row r="591" ht="13.5" customHeight="1">
      <c r="C591" s="10"/>
    </row>
    <row r="592" spans="1:3" ht="13.5" customHeight="1">
      <c r="A592" s="14">
        <f>+A586+1</f>
        <v>15</v>
      </c>
      <c r="B592" s="39"/>
      <c r="C592" s="5" t="s">
        <v>193</v>
      </c>
    </row>
    <row r="593" spans="1:22" ht="13.5" customHeight="1">
      <c r="A593" s="16"/>
      <c r="B593" s="16"/>
      <c r="C593" s="4" t="str">
        <f>C587</f>
        <v>Debt Reserve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  <c r="Q593" s="21">
        <v>0</v>
      </c>
      <c r="R593" s="21">
        <v>0</v>
      </c>
      <c r="S593" s="21">
        <v>0</v>
      </c>
      <c r="T593" s="21">
        <v>0</v>
      </c>
      <c r="U593" s="29">
        <v>0</v>
      </c>
      <c r="V593" s="21">
        <f>SUM(J593:U593)</f>
        <v>0</v>
      </c>
    </row>
    <row r="594" spans="3:22" ht="13.5" customHeight="1">
      <c r="C594" s="4" t="str">
        <f>C588</f>
        <v>Treasury Fee</v>
      </c>
      <c r="J594" s="45">
        <v>250</v>
      </c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52"/>
      <c r="V594" s="21">
        <f>SUM(J594:U594)</f>
        <v>250</v>
      </c>
    </row>
    <row r="595" spans="3:22" ht="13.5" customHeight="1" thickBot="1">
      <c r="C595" s="4" t="str">
        <f>C589</f>
        <v>Intercept</v>
      </c>
      <c r="J595" s="45">
        <f aca="true" t="shared" si="25" ref="J595:S595">38750+119210.42</f>
        <v>157960.41999999998</v>
      </c>
      <c r="K595" s="45">
        <f t="shared" si="25"/>
        <v>157960.41999999998</v>
      </c>
      <c r="L595" s="45">
        <f t="shared" si="25"/>
        <v>157960.41999999998</v>
      </c>
      <c r="M595" s="45">
        <f t="shared" si="25"/>
        <v>157960.41999999998</v>
      </c>
      <c r="N595" s="45">
        <f t="shared" si="25"/>
        <v>157960.41999999998</v>
      </c>
      <c r="O595" s="45">
        <f t="shared" si="25"/>
        <v>157960.41999999998</v>
      </c>
      <c r="P595" s="45">
        <f t="shared" si="25"/>
        <v>157960.41999999998</v>
      </c>
      <c r="Q595" s="45">
        <f t="shared" si="25"/>
        <v>157960.41999999998</v>
      </c>
      <c r="R595" s="45">
        <f t="shared" si="25"/>
        <v>157960.41999999998</v>
      </c>
      <c r="S595" s="45">
        <f t="shared" si="25"/>
        <v>157960.41999999998</v>
      </c>
      <c r="T595" s="45">
        <f>40000+117611.98</f>
        <v>157611.97999999998</v>
      </c>
      <c r="U595" s="52">
        <f>40000+117611.98</f>
        <v>157611.97999999998</v>
      </c>
      <c r="V595" s="21">
        <f>SUM(J595:U595)</f>
        <v>1894828.1599999995</v>
      </c>
    </row>
    <row r="596" spans="3:22" ht="13.5" customHeight="1" thickBot="1">
      <c r="C596" s="6" t="s">
        <v>160</v>
      </c>
      <c r="J596" s="22">
        <f aca="true" t="shared" si="26" ref="J596:U596">SUM(J593:J595)</f>
        <v>158210.41999999998</v>
      </c>
      <c r="K596" s="22">
        <f t="shared" si="26"/>
        <v>157960.41999999998</v>
      </c>
      <c r="L596" s="22">
        <f t="shared" si="26"/>
        <v>157960.41999999998</v>
      </c>
      <c r="M596" s="22">
        <f t="shared" si="26"/>
        <v>157960.41999999998</v>
      </c>
      <c r="N596" s="22">
        <f t="shared" si="26"/>
        <v>157960.41999999998</v>
      </c>
      <c r="O596" s="22">
        <f t="shared" si="26"/>
        <v>157960.41999999998</v>
      </c>
      <c r="P596" s="22">
        <f t="shared" si="26"/>
        <v>157960.41999999998</v>
      </c>
      <c r="Q596" s="22">
        <f t="shared" si="26"/>
        <v>157960.41999999998</v>
      </c>
      <c r="R596" s="22">
        <f t="shared" si="26"/>
        <v>157960.41999999998</v>
      </c>
      <c r="S596" s="22">
        <f t="shared" si="26"/>
        <v>157960.41999999998</v>
      </c>
      <c r="T596" s="22">
        <f t="shared" si="26"/>
        <v>157611.97999999998</v>
      </c>
      <c r="U596" s="30">
        <f t="shared" si="26"/>
        <v>157611.97999999998</v>
      </c>
      <c r="V596" s="22">
        <f>SUM(V593:V595)</f>
        <v>1895078.1599999995</v>
      </c>
    </row>
    <row r="597" ht="13.5" customHeight="1">
      <c r="C597" s="10"/>
    </row>
    <row r="598" spans="1:3" ht="13.5" customHeight="1">
      <c r="A598" s="14">
        <f>+A592+1</f>
        <v>16</v>
      </c>
      <c r="B598" s="39"/>
      <c r="C598" s="5" t="s">
        <v>194</v>
      </c>
    </row>
    <row r="599" spans="1:22" ht="13.5" customHeight="1">
      <c r="A599" s="16"/>
      <c r="B599" s="16"/>
      <c r="C599" s="4" t="str">
        <f>C593</f>
        <v>Debt Reserve</v>
      </c>
      <c r="J599" s="45">
        <v>1107.92</v>
      </c>
      <c r="K599" s="45">
        <v>1107.92</v>
      </c>
      <c r="L599" s="45">
        <v>1107.92</v>
      </c>
      <c r="M599" s="45">
        <v>1107.92</v>
      </c>
      <c r="N599" s="45">
        <v>1107.92</v>
      </c>
      <c r="O599" s="45">
        <v>1107.92</v>
      </c>
      <c r="P599" s="45">
        <v>1107.92</v>
      </c>
      <c r="Q599" s="45">
        <v>1107.92</v>
      </c>
      <c r="R599" s="45">
        <v>1107.92</v>
      </c>
      <c r="S599" s="45">
        <v>1107.92</v>
      </c>
      <c r="T599" s="45">
        <v>1107.92</v>
      </c>
      <c r="U599" s="52">
        <v>1107.92</v>
      </c>
      <c r="V599" s="21">
        <f>SUM(J599:U599)</f>
        <v>13295.04</v>
      </c>
    </row>
    <row r="600" spans="3:22" ht="13.5" customHeight="1">
      <c r="C600" s="4" t="str">
        <f>C594</f>
        <v>Treasury Fee</v>
      </c>
      <c r="J600" s="45">
        <v>250</v>
      </c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52"/>
      <c r="V600" s="21">
        <f>SUM(J600:U600)</f>
        <v>250</v>
      </c>
    </row>
    <row r="601" spans="3:22" ht="13.5" customHeight="1" thickBot="1">
      <c r="C601" s="4" t="str">
        <f>C595</f>
        <v>Intercept</v>
      </c>
      <c r="J601" s="45">
        <f>61666.67+56845.83</f>
        <v>118512.5</v>
      </c>
      <c r="K601" s="45">
        <f>64166.67+54379.17</f>
        <v>118545.84</v>
      </c>
      <c r="L601" s="45">
        <f aca="true" t="shared" si="27" ref="L601:U601">64166.67+54379.17</f>
        <v>118545.84</v>
      </c>
      <c r="M601" s="45">
        <f t="shared" si="27"/>
        <v>118545.84</v>
      </c>
      <c r="N601" s="45">
        <f t="shared" si="27"/>
        <v>118545.84</v>
      </c>
      <c r="O601" s="45">
        <f t="shared" si="27"/>
        <v>118545.84</v>
      </c>
      <c r="P601" s="45">
        <f t="shared" si="27"/>
        <v>118545.84</v>
      </c>
      <c r="Q601" s="45">
        <f t="shared" si="27"/>
        <v>118545.84</v>
      </c>
      <c r="R601" s="45">
        <f t="shared" si="27"/>
        <v>118545.84</v>
      </c>
      <c r="S601" s="45">
        <f t="shared" si="27"/>
        <v>118545.84</v>
      </c>
      <c r="T601" s="45">
        <f t="shared" si="27"/>
        <v>118545.84</v>
      </c>
      <c r="U601" s="52">
        <f t="shared" si="27"/>
        <v>118545.84</v>
      </c>
      <c r="V601" s="21">
        <f>SUM(J601:U601)</f>
        <v>1422516.7400000002</v>
      </c>
    </row>
    <row r="602" spans="3:22" ht="13.5" customHeight="1" thickBot="1">
      <c r="C602" s="6" t="s">
        <v>22</v>
      </c>
      <c r="J602" s="22">
        <f aca="true" t="shared" si="28" ref="J602:U602">SUM(J599:J601)</f>
        <v>119870.42</v>
      </c>
      <c r="K602" s="22">
        <f t="shared" si="28"/>
        <v>119653.76</v>
      </c>
      <c r="L602" s="22">
        <f t="shared" si="28"/>
        <v>119653.76</v>
      </c>
      <c r="M602" s="22">
        <f t="shared" si="28"/>
        <v>119653.76</v>
      </c>
      <c r="N602" s="22">
        <f t="shared" si="28"/>
        <v>119653.76</v>
      </c>
      <c r="O602" s="22">
        <f t="shared" si="28"/>
        <v>119653.76</v>
      </c>
      <c r="P602" s="22">
        <f t="shared" si="28"/>
        <v>119653.76</v>
      </c>
      <c r="Q602" s="22">
        <f t="shared" si="28"/>
        <v>119653.76</v>
      </c>
      <c r="R602" s="22">
        <f t="shared" si="28"/>
        <v>119653.76</v>
      </c>
      <c r="S602" s="22">
        <f t="shared" si="28"/>
        <v>119653.76</v>
      </c>
      <c r="T602" s="22">
        <f t="shared" si="28"/>
        <v>119653.76</v>
      </c>
      <c r="U602" s="30">
        <f t="shared" si="28"/>
        <v>119653.76</v>
      </c>
      <c r="V602" s="22">
        <f>SUM(V599:V601)</f>
        <v>1436061.7800000003</v>
      </c>
    </row>
    <row r="603" ht="13.5" customHeight="1">
      <c r="C603" s="10"/>
    </row>
    <row r="604" spans="1:3" ht="13.5" customHeight="1">
      <c r="A604" s="14">
        <f>+A598+1</f>
        <v>17</v>
      </c>
      <c r="B604" s="39"/>
      <c r="C604" s="5" t="s">
        <v>199</v>
      </c>
    </row>
    <row r="605" spans="1:22" ht="13.5" customHeight="1">
      <c r="A605" s="16"/>
      <c r="B605" s="16"/>
      <c r="C605" s="4" t="str">
        <f>C599</f>
        <v>Debt Reserve</v>
      </c>
      <c r="J605" s="45">
        <v>1620.42</v>
      </c>
      <c r="K605" s="45">
        <v>1620.42</v>
      </c>
      <c r="L605" s="45">
        <v>1620.42</v>
      </c>
      <c r="M605" s="45">
        <v>1620.42</v>
      </c>
      <c r="N605" s="45">
        <v>1580.83</v>
      </c>
      <c r="O605" s="45">
        <v>1580.83</v>
      </c>
      <c r="P605" s="45">
        <v>1580.83</v>
      </c>
      <c r="Q605" s="45">
        <v>1580.83</v>
      </c>
      <c r="R605" s="45">
        <v>1580.83</v>
      </c>
      <c r="S605" s="45">
        <v>1580.83</v>
      </c>
      <c r="T605" s="45">
        <v>1580.83</v>
      </c>
      <c r="U605" s="52">
        <v>1580.83</v>
      </c>
      <c r="V605" s="21">
        <f>SUM(J605:U605)</f>
        <v>19128.32</v>
      </c>
    </row>
    <row r="606" spans="3:22" ht="13.5" customHeight="1">
      <c r="C606" s="4" t="str">
        <f>C600</f>
        <v>Treasury Fee</v>
      </c>
      <c r="J606" s="45">
        <v>250</v>
      </c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52"/>
      <c r="V606" s="21">
        <f>SUM(J606:U606)</f>
        <v>250</v>
      </c>
    </row>
    <row r="607" spans="3:22" ht="13.5" customHeight="1" thickBot="1">
      <c r="C607" s="4" t="str">
        <f>C601</f>
        <v>Intercept</v>
      </c>
      <c r="J607" s="45">
        <f>39583.33+68998.96</f>
        <v>108582.29000000001</v>
      </c>
      <c r="K607" s="45">
        <f>39583.33+68998.96</f>
        <v>108582.29000000001</v>
      </c>
      <c r="L607" s="45">
        <f>39583.33+68998.96</f>
        <v>108582.29000000001</v>
      </c>
      <c r="M607" s="45">
        <f>39583.37+68998.95</f>
        <v>108582.32</v>
      </c>
      <c r="N607" s="45">
        <f>41250+67415.63</f>
        <v>108665.63</v>
      </c>
      <c r="O607" s="45">
        <f aca="true" t="shared" si="29" ref="O607:U607">41250+67415.63</f>
        <v>108665.63</v>
      </c>
      <c r="P607" s="45">
        <f t="shared" si="29"/>
        <v>108665.63</v>
      </c>
      <c r="Q607" s="45">
        <f t="shared" si="29"/>
        <v>108665.63</v>
      </c>
      <c r="R607" s="45">
        <f t="shared" si="29"/>
        <v>108665.63</v>
      </c>
      <c r="S607" s="45">
        <f>41250+67415.6</f>
        <v>108665.6</v>
      </c>
      <c r="T607" s="45">
        <f t="shared" si="29"/>
        <v>108665.63</v>
      </c>
      <c r="U607" s="52">
        <f t="shared" si="29"/>
        <v>108665.63</v>
      </c>
      <c r="V607" s="21">
        <f>SUM(J607:U607)</f>
        <v>1303654.2000000002</v>
      </c>
    </row>
    <row r="608" spans="3:22" ht="13.5" customHeight="1" thickBot="1">
      <c r="C608" s="6" t="s">
        <v>119</v>
      </c>
      <c r="J608" s="22">
        <f aca="true" t="shared" si="30" ref="J608:U608">SUM(J605:J607)</f>
        <v>110452.71</v>
      </c>
      <c r="K608" s="22">
        <f t="shared" si="30"/>
        <v>110202.71</v>
      </c>
      <c r="L608" s="22">
        <f t="shared" si="30"/>
        <v>110202.71</v>
      </c>
      <c r="M608" s="22">
        <f t="shared" si="30"/>
        <v>110202.74</v>
      </c>
      <c r="N608" s="22">
        <f t="shared" si="30"/>
        <v>110246.46</v>
      </c>
      <c r="O608" s="22">
        <f t="shared" si="30"/>
        <v>110246.46</v>
      </c>
      <c r="P608" s="22">
        <f t="shared" si="30"/>
        <v>110246.46</v>
      </c>
      <c r="Q608" s="22">
        <f t="shared" si="30"/>
        <v>110246.46</v>
      </c>
      <c r="R608" s="22">
        <f t="shared" si="30"/>
        <v>110246.46</v>
      </c>
      <c r="S608" s="22">
        <f t="shared" si="30"/>
        <v>110246.43000000001</v>
      </c>
      <c r="T608" s="22">
        <f t="shared" si="30"/>
        <v>110246.46</v>
      </c>
      <c r="U608" s="30">
        <f t="shared" si="30"/>
        <v>110246.46</v>
      </c>
      <c r="V608" s="22">
        <f>SUM(V605:V607)</f>
        <v>1323032.5200000003</v>
      </c>
    </row>
    <row r="609" ht="13.5" customHeight="1">
      <c r="C609" s="10"/>
    </row>
    <row r="610" spans="1:3" ht="13.5" customHeight="1">
      <c r="A610" s="14">
        <f>+A604+1</f>
        <v>18</v>
      </c>
      <c r="C610" s="5" t="s">
        <v>205</v>
      </c>
    </row>
    <row r="611" spans="3:22" ht="13.5" customHeight="1">
      <c r="C611" s="4" t="s">
        <v>3</v>
      </c>
      <c r="J611" s="45">
        <v>2569.58</v>
      </c>
      <c r="K611" s="45">
        <v>2569.58</v>
      </c>
      <c r="L611" s="45">
        <v>2569.58</v>
      </c>
      <c r="M611" s="45">
        <v>2569.58</v>
      </c>
      <c r="N611" s="45">
        <v>2569.58</v>
      </c>
      <c r="O611" s="45">
        <v>2569.58</v>
      </c>
      <c r="P611" s="45">
        <v>2481.25</v>
      </c>
      <c r="Q611" s="45">
        <v>2481.25</v>
      </c>
      <c r="R611" s="45">
        <v>2481.25</v>
      </c>
      <c r="S611" s="45">
        <v>2481.25</v>
      </c>
      <c r="T611" s="45">
        <v>2481.25</v>
      </c>
      <c r="U611" s="52">
        <v>2481.25</v>
      </c>
      <c r="V611" s="21">
        <f>SUM(J611:U611)</f>
        <v>30304.98</v>
      </c>
    </row>
    <row r="612" spans="3:22" ht="13.5" customHeight="1">
      <c r="C612" s="4" t="s">
        <v>4</v>
      </c>
      <c r="J612" s="45">
        <v>250</v>
      </c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52"/>
      <c r="V612" s="21">
        <f>SUM(J612:U612)</f>
        <v>250</v>
      </c>
    </row>
    <row r="613" spans="3:22" ht="13.5" customHeight="1" thickBot="1">
      <c r="C613" s="4" t="s">
        <v>5</v>
      </c>
      <c r="J613" s="45">
        <f>88333.33+111464.58</f>
        <v>199797.91</v>
      </c>
      <c r="K613" s="45">
        <f>88333.33+111464.58</f>
        <v>199797.91</v>
      </c>
      <c r="L613" s="45">
        <f>88333.33+111464.58</f>
        <v>199797.91</v>
      </c>
      <c r="M613" s="45">
        <f>88333.33+111464.58</f>
        <v>199797.91</v>
      </c>
      <c r="N613" s="45">
        <f>88333.37+111464.6</f>
        <v>199797.97</v>
      </c>
      <c r="O613" s="45">
        <f>92083.33+107931.25</f>
        <v>200014.58000000002</v>
      </c>
      <c r="P613" s="45">
        <f aca="true" t="shared" si="31" ref="P613:U613">92083.33+107931.25</f>
        <v>200014.58000000002</v>
      </c>
      <c r="Q613" s="45">
        <f t="shared" si="31"/>
        <v>200014.58000000002</v>
      </c>
      <c r="R613" s="45">
        <f t="shared" si="31"/>
        <v>200014.58000000002</v>
      </c>
      <c r="S613" s="45">
        <f t="shared" si="31"/>
        <v>200014.58000000002</v>
      </c>
      <c r="T613" s="45">
        <f t="shared" si="31"/>
        <v>200014.58000000002</v>
      </c>
      <c r="U613" s="52">
        <f t="shared" si="31"/>
        <v>200014.58000000002</v>
      </c>
      <c r="V613" s="21">
        <f>SUM(J613:U613)</f>
        <v>2399091.6700000004</v>
      </c>
    </row>
    <row r="614" spans="3:22" ht="13.5" customHeight="1" thickBot="1">
      <c r="C614" s="6" t="s">
        <v>206</v>
      </c>
      <c r="J614" s="22">
        <f aca="true" t="shared" si="32" ref="J614:U614">SUM(J611:J613)</f>
        <v>202617.49</v>
      </c>
      <c r="K614" s="22">
        <f t="shared" si="32"/>
        <v>202367.49</v>
      </c>
      <c r="L614" s="22">
        <f t="shared" si="32"/>
        <v>202367.49</v>
      </c>
      <c r="M614" s="22">
        <f t="shared" si="32"/>
        <v>202367.49</v>
      </c>
      <c r="N614" s="22">
        <f t="shared" si="32"/>
        <v>202367.55</v>
      </c>
      <c r="O614" s="22">
        <f t="shared" si="32"/>
        <v>202584.16</v>
      </c>
      <c r="P614" s="22">
        <f t="shared" si="32"/>
        <v>202495.83000000002</v>
      </c>
      <c r="Q614" s="22">
        <f t="shared" si="32"/>
        <v>202495.83000000002</v>
      </c>
      <c r="R614" s="22">
        <f t="shared" si="32"/>
        <v>202495.83000000002</v>
      </c>
      <c r="S614" s="22">
        <f t="shared" si="32"/>
        <v>202495.83000000002</v>
      </c>
      <c r="T614" s="22">
        <f t="shared" si="32"/>
        <v>202495.83000000002</v>
      </c>
      <c r="U614" s="30">
        <f t="shared" si="32"/>
        <v>202495.83000000002</v>
      </c>
      <c r="V614" s="22">
        <f>SUM(V611:V613)</f>
        <v>2429646.6500000004</v>
      </c>
    </row>
    <row r="615" ht="13.5" customHeight="1">
      <c r="C615" s="10"/>
    </row>
    <row r="616" spans="1:3" ht="13.5" customHeight="1">
      <c r="A616" s="14">
        <f>+A610+1</f>
        <v>19</v>
      </c>
      <c r="C616" s="5" t="s">
        <v>200</v>
      </c>
    </row>
    <row r="617" spans="3:22" ht="13.5" customHeight="1">
      <c r="C617" s="4" t="s">
        <v>3</v>
      </c>
      <c r="J617" s="45">
        <v>429.17</v>
      </c>
      <c r="K617" s="45">
        <v>429.17</v>
      </c>
      <c r="L617" s="45">
        <v>429.17</v>
      </c>
      <c r="M617" s="45">
        <v>429.17</v>
      </c>
      <c r="N617" s="45">
        <v>418.33</v>
      </c>
      <c r="O617" s="45">
        <v>418.33</v>
      </c>
      <c r="P617" s="45">
        <v>418.33</v>
      </c>
      <c r="Q617" s="45">
        <v>418.33</v>
      </c>
      <c r="R617" s="45">
        <v>418.33</v>
      </c>
      <c r="S617" s="45">
        <v>418.33</v>
      </c>
      <c r="T617" s="45">
        <v>418.33</v>
      </c>
      <c r="U617" s="52">
        <v>418.33</v>
      </c>
      <c r="V617" s="21">
        <f>SUM(J617:U617)</f>
        <v>5063.32</v>
      </c>
    </row>
    <row r="618" spans="3:22" ht="13.5" customHeight="1">
      <c r="C618" s="4" t="s">
        <v>4</v>
      </c>
      <c r="J618" s="45">
        <v>250</v>
      </c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52"/>
      <c r="V618" s="21">
        <f>SUM(J618:U618)</f>
        <v>250</v>
      </c>
    </row>
    <row r="619" spans="3:22" ht="13.5" customHeight="1" thickBot="1">
      <c r="C619" s="4" t="s">
        <v>5</v>
      </c>
      <c r="J619" s="45">
        <f>10833.33+17510.42</f>
        <v>28343.75</v>
      </c>
      <c r="K619" s="45">
        <f>11250+17077.08</f>
        <v>28327.08</v>
      </c>
      <c r="L619" s="45">
        <f aca="true" t="shared" si="33" ref="L619:U619">11250+17077.08</f>
        <v>28327.08</v>
      </c>
      <c r="M619" s="45">
        <f t="shared" si="33"/>
        <v>28327.08</v>
      </c>
      <c r="N619" s="45">
        <f t="shared" si="33"/>
        <v>28327.08</v>
      </c>
      <c r="O619" s="45">
        <f t="shared" si="33"/>
        <v>28327.08</v>
      </c>
      <c r="P619" s="45">
        <f t="shared" si="33"/>
        <v>28327.08</v>
      </c>
      <c r="Q619" s="45">
        <f t="shared" si="33"/>
        <v>28327.08</v>
      </c>
      <c r="R619" s="45">
        <f t="shared" si="33"/>
        <v>28327.08</v>
      </c>
      <c r="S619" s="45">
        <f t="shared" si="33"/>
        <v>28327.08</v>
      </c>
      <c r="T619" s="45">
        <f t="shared" si="33"/>
        <v>28327.08</v>
      </c>
      <c r="U619" s="52">
        <f t="shared" si="33"/>
        <v>28327.08</v>
      </c>
      <c r="V619" s="21">
        <f>SUM(J619:U619)</f>
        <v>339941.6300000001</v>
      </c>
    </row>
    <row r="620" spans="3:22" ht="13.5" customHeight="1" thickBot="1">
      <c r="C620" s="6" t="s">
        <v>201</v>
      </c>
      <c r="J620" s="22">
        <f aca="true" t="shared" si="34" ref="J620:U620">SUM(J617:J619)</f>
        <v>29022.92</v>
      </c>
      <c r="K620" s="22">
        <f t="shared" si="34"/>
        <v>28756.25</v>
      </c>
      <c r="L620" s="22">
        <f t="shared" si="34"/>
        <v>28756.25</v>
      </c>
      <c r="M620" s="22">
        <f t="shared" si="34"/>
        <v>28756.25</v>
      </c>
      <c r="N620" s="22">
        <f t="shared" si="34"/>
        <v>28745.410000000003</v>
      </c>
      <c r="O620" s="22">
        <f t="shared" si="34"/>
        <v>28745.410000000003</v>
      </c>
      <c r="P620" s="22">
        <f t="shared" si="34"/>
        <v>28745.410000000003</v>
      </c>
      <c r="Q620" s="22">
        <f t="shared" si="34"/>
        <v>28745.410000000003</v>
      </c>
      <c r="R620" s="22">
        <f t="shared" si="34"/>
        <v>28745.410000000003</v>
      </c>
      <c r="S620" s="22">
        <f t="shared" si="34"/>
        <v>28745.410000000003</v>
      </c>
      <c r="T620" s="22">
        <f t="shared" si="34"/>
        <v>28745.410000000003</v>
      </c>
      <c r="U620" s="30">
        <f t="shared" si="34"/>
        <v>28745.410000000003</v>
      </c>
      <c r="V620" s="22">
        <f>SUM(V617:V619)</f>
        <v>345254.9500000001</v>
      </c>
    </row>
    <row r="621" ht="13.5" customHeight="1">
      <c r="C621" s="10"/>
    </row>
    <row r="622" spans="1:3" ht="13.5" customHeight="1">
      <c r="A622" s="14"/>
      <c r="B622" s="46" t="s">
        <v>104</v>
      </c>
      <c r="C622" s="25" t="s">
        <v>202</v>
      </c>
    </row>
    <row r="623" ht="13.5" customHeight="1">
      <c r="C623" s="4" t="s">
        <v>3</v>
      </c>
    </row>
    <row r="624" ht="13.5" customHeight="1">
      <c r="C624" s="4" t="s">
        <v>4</v>
      </c>
    </row>
    <row r="625" ht="13.5" customHeight="1" thickBot="1">
      <c r="C625" s="4" t="s">
        <v>5</v>
      </c>
    </row>
    <row r="626" ht="13.5" customHeight="1" thickBot="1">
      <c r="C626" s="6" t="s">
        <v>155</v>
      </c>
    </row>
    <row r="627" ht="13.5" customHeight="1">
      <c r="C627" s="10"/>
    </row>
    <row r="628" spans="1:3" ht="13.5" customHeight="1">
      <c r="A628" s="14">
        <f>+A616+1</f>
        <v>20</v>
      </c>
      <c r="C628" s="5" t="s">
        <v>203</v>
      </c>
    </row>
    <row r="629" spans="3:22" ht="13.5" customHeight="1">
      <c r="C629" s="4" t="s">
        <v>3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  <c r="Q629" s="21">
        <v>0</v>
      </c>
      <c r="R629" s="21">
        <v>0</v>
      </c>
      <c r="S629" s="21">
        <v>0</v>
      </c>
      <c r="T629" s="21">
        <v>0</v>
      </c>
      <c r="U629" s="29">
        <v>0</v>
      </c>
      <c r="V629" s="21">
        <f>SUM(J629:U629)</f>
        <v>0</v>
      </c>
    </row>
    <row r="630" spans="3:22" ht="13.5" customHeight="1">
      <c r="C630" s="4" t="s">
        <v>4</v>
      </c>
      <c r="J630" s="45">
        <v>250</v>
      </c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52"/>
      <c r="V630" s="21">
        <f>SUM(J630:U630)</f>
        <v>250</v>
      </c>
    </row>
    <row r="631" spans="3:22" ht="13.5" customHeight="1" thickBot="1">
      <c r="C631" s="4" t="s">
        <v>5</v>
      </c>
      <c r="J631" s="45">
        <v>73884.9</v>
      </c>
      <c r="K631" s="45">
        <v>73884.9</v>
      </c>
      <c r="L631" s="45">
        <v>73884.9</v>
      </c>
      <c r="M631" s="45">
        <v>73884.9</v>
      </c>
      <c r="N631" s="49">
        <v>73591.56</v>
      </c>
      <c r="O631" s="49">
        <f>20000+53951.56+360</f>
        <v>74311.56</v>
      </c>
      <c r="P631" s="45">
        <f aca="true" t="shared" si="35" ref="P631:U631">20000+53951.56</f>
        <v>73951.56</v>
      </c>
      <c r="Q631" s="45">
        <f t="shared" si="35"/>
        <v>73951.56</v>
      </c>
      <c r="R631" s="45">
        <f t="shared" si="35"/>
        <v>73951.56</v>
      </c>
      <c r="S631" s="45">
        <f t="shared" si="35"/>
        <v>73951.56</v>
      </c>
      <c r="T631" s="45">
        <f t="shared" si="35"/>
        <v>73951.56</v>
      </c>
      <c r="U631" s="52">
        <f t="shared" si="35"/>
        <v>73951.56</v>
      </c>
      <c r="V631" s="21">
        <f>SUM(J631:U631)</f>
        <v>887152.0800000001</v>
      </c>
    </row>
    <row r="632" spans="3:22" ht="13.5" customHeight="1" thickBot="1">
      <c r="C632" s="6" t="s">
        <v>158</v>
      </c>
      <c r="J632" s="22">
        <f aca="true" t="shared" si="36" ref="J632:U632">SUM(J629:J631)</f>
        <v>74134.9</v>
      </c>
      <c r="K632" s="22">
        <f t="shared" si="36"/>
        <v>73884.9</v>
      </c>
      <c r="L632" s="22">
        <f t="shared" si="36"/>
        <v>73884.9</v>
      </c>
      <c r="M632" s="22">
        <f t="shared" si="36"/>
        <v>73884.9</v>
      </c>
      <c r="N632" s="22">
        <f t="shared" si="36"/>
        <v>73591.56</v>
      </c>
      <c r="O632" s="22">
        <f t="shared" si="36"/>
        <v>74311.56</v>
      </c>
      <c r="P632" s="22">
        <f t="shared" si="36"/>
        <v>73951.56</v>
      </c>
      <c r="Q632" s="22">
        <f t="shared" si="36"/>
        <v>73951.56</v>
      </c>
      <c r="R632" s="22">
        <f t="shared" si="36"/>
        <v>73951.56</v>
      </c>
      <c r="S632" s="22">
        <f t="shared" si="36"/>
        <v>73951.56</v>
      </c>
      <c r="T632" s="22">
        <f t="shared" si="36"/>
        <v>73951.56</v>
      </c>
      <c r="U632" s="30">
        <f t="shared" si="36"/>
        <v>73951.56</v>
      </c>
      <c r="V632" s="22">
        <f>SUM(V629:V631)</f>
        <v>887402.0800000001</v>
      </c>
    </row>
    <row r="633" ht="13.5" customHeight="1">
      <c r="C633" s="10"/>
    </row>
    <row r="634" spans="1:3" ht="13.5" customHeight="1">
      <c r="A634" s="14"/>
      <c r="B634" s="46" t="s">
        <v>104</v>
      </c>
      <c r="C634" s="25" t="s">
        <v>204</v>
      </c>
    </row>
    <row r="635" spans="3:22" ht="13.5" customHeight="1">
      <c r="C635" s="4" t="s">
        <v>3</v>
      </c>
      <c r="J635" s="21">
        <v>0</v>
      </c>
      <c r="K635" s="21">
        <v>0</v>
      </c>
      <c r="L635" s="21">
        <v>0</v>
      </c>
      <c r="M635" s="21">
        <v>0</v>
      </c>
      <c r="N635" s="21">
        <v>0</v>
      </c>
      <c r="O635" s="21">
        <v>0</v>
      </c>
      <c r="P635" s="21"/>
      <c r="Q635" s="21"/>
      <c r="R635" s="21"/>
      <c r="S635" s="21"/>
      <c r="T635" s="21"/>
      <c r="U635" s="29"/>
      <c r="V635" s="21">
        <f>SUM(J635:U635)</f>
        <v>0</v>
      </c>
    </row>
    <row r="636" spans="3:22" ht="13.5" customHeight="1">
      <c r="C636" s="4" t="s">
        <v>4</v>
      </c>
      <c r="J636" s="45">
        <v>250</v>
      </c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52"/>
      <c r="V636" s="21">
        <f>SUM(J636:U636)</f>
        <v>250</v>
      </c>
    </row>
    <row r="637" spans="3:22" ht="13.5" customHeight="1" thickBot="1">
      <c r="C637" s="4" t="s">
        <v>5</v>
      </c>
      <c r="J637" s="45">
        <f>10416.67+33333.17</f>
        <v>43749.84</v>
      </c>
      <c r="K637" s="45">
        <f>10416.67+33333.17</f>
        <v>43749.84</v>
      </c>
      <c r="L637" s="45">
        <f>10416.67+33333.17</f>
        <v>43749.84</v>
      </c>
      <c r="M637" s="45">
        <f>10416.67+33333.17</f>
        <v>43749.84</v>
      </c>
      <c r="N637" s="45">
        <f>10416.63+33333.15</f>
        <v>43749.78</v>
      </c>
      <c r="O637" s="45">
        <f>10833.33+32763.38</f>
        <v>43596.71</v>
      </c>
      <c r="P637" s="45"/>
      <c r="Q637" s="45"/>
      <c r="R637" s="45"/>
      <c r="S637" s="45"/>
      <c r="T637" s="45"/>
      <c r="U637" s="52"/>
      <c r="V637" s="21">
        <f>SUM(J637:U637)</f>
        <v>262345.85</v>
      </c>
    </row>
    <row r="638" spans="3:22" ht="13.5" customHeight="1" thickBot="1">
      <c r="C638" s="6" t="s">
        <v>146</v>
      </c>
      <c r="J638" s="22">
        <f aca="true" t="shared" si="37" ref="J638:U638">SUM(J635:J637)</f>
        <v>43999.84</v>
      </c>
      <c r="K638" s="22">
        <f t="shared" si="37"/>
        <v>43749.84</v>
      </c>
      <c r="L638" s="22">
        <f t="shared" si="37"/>
        <v>43749.84</v>
      </c>
      <c r="M638" s="22">
        <f t="shared" si="37"/>
        <v>43749.84</v>
      </c>
      <c r="N638" s="22">
        <f t="shared" si="37"/>
        <v>43749.78</v>
      </c>
      <c r="O638" s="22">
        <f t="shared" si="37"/>
        <v>43596.71</v>
      </c>
      <c r="P638" s="22">
        <f t="shared" si="37"/>
        <v>0</v>
      </c>
      <c r="Q638" s="22">
        <f t="shared" si="37"/>
        <v>0</v>
      </c>
      <c r="R638" s="22">
        <f t="shared" si="37"/>
        <v>0</v>
      </c>
      <c r="S638" s="22">
        <f t="shared" si="37"/>
        <v>0</v>
      </c>
      <c r="T638" s="22">
        <f t="shared" si="37"/>
        <v>0</v>
      </c>
      <c r="U638" s="30">
        <f t="shared" si="37"/>
        <v>0</v>
      </c>
      <c r="V638" s="22">
        <f>SUM(V635:V637)</f>
        <v>262595.85</v>
      </c>
    </row>
    <row r="639" ht="13.5" customHeight="1">
      <c r="C639" s="10"/>
    </row>
    <row r="640" spans="1:3" ht="13.5" customHeight="1">
      <c r="A640" s="14">
        <f>+A628+1</f>
        <v>21</v>
      </c>
      <c r="C640" s="5" t="s">
        <v>350</v>
      </c>
    </row>
    <row r="641" spans="3:22" ht="13.5" customHeight="1">
      <c r="C641" s="4" t="s">
        <v>3</v>
      </c>
      <c r="J641" s="45">
        <v>1007.92</v>
      </c>
      <c r="K641" s="45">
        <v>1007.92</v>
      </c>
      <c r="L641" s="45">
        <v>1007.92</v>
      </c>
      <c r="M641" s="45">
        <v>1007.92</v>
      </c>
      <c r="N641" s="45">
        <v>1007.92</v>
      </c>
      <c r="O641" s="45">
        <v>1007.92</v>
      </c>
      <c r="P641" s="45">
        <v>971.67</v>
      </c>
      <c r="Q641" s="45">
        <v>971.67</v>
      </c>
      <c r="R641" s="45">
        <v>971.67</v>
      </c>
      <c r="S641" s="45">
        <v>971.67</v>
      </c>
      <c r="T641" s="45">
        <v>971.67</v>
      </c>
      <c r="U641" s="52">
        <v>971.67</v>
      </c>
      <c r="V641" s="21">
        <f>SUM(J641:U641)</f>
        <v>11877.539999999999</v>
      </c>
    </row>
    <row r="642" spans="3:22" ht="13.5" customHeight="1">
      <c r="C642" s="4" t="s">
        <v>4</v>
      </c>
      <c r="J642" s="45">
        <v>250</v>
      </c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52"/>
      <c r="V642" s="21">
        <f>SUM(J642:U642)</f>
        <v>250</v>
      </c>
    </row>
    <row r="643" spans="3:22" ht="13.5" customHeight="1" thickBot="1">
      <c r="C643" s="4" t="s">
        <v>5</v>
      </c>
      <c r="J643" s="45">
        <f>36250+41361.46</f>
        <v>77611.45999999999</v>
      </c>
      <c r="K643" s="45">
        <f>36250+41361.46</f>
        <v>77611.45999999999</v>
      </c>
      <c r="L643" s="45">
        <f>36250+41361.45</f>
        <v>77611.45</v>
      </c>
      <c r="M643" s="45">
        <f>37500+39911.46</f>
        <v>77411.45999999999</v>
      </c>
      <c r="N643" s="45">
        <f aca="true" t="shared" si="38" ref="N643:U643">37500+39911.46</f>
        <v>77411.45999999999</v>
      </c>
      <c r="O643" s="45">
        <f t="shared" si="38"/>
        <v>77411.45999999999</v>
      </c>
      <c r="P643" s="45">
        <f t="shared" si="38"/>
        <v>77411.45999999999</v>
      </c>
      <c r="Q643" s="45">
        <f t="shared" si="38"/>
        <v>77411.45999999999</v>
      </c>
      <c r="R643" s="45">
        <f>37500+39911.45</f>
        <v>77411.45</v>
      </c>
      <c r="S643" s="45">
        <f t="shared" si="38"/>
        <v>77411.45999999999</v>
      </c>
      <c r="T643" s="45">
        <f t="shared" si="38"/>
        <v>77411.45999999999</v>
      </c>
      <c r="U643" s="52">
        <f t="shared" si="38"/>
        <v>77411.45999999999</v>
      </c>
      <c r="V643" s="21">
        <f>SUM(J643:U643)</f>
        <v>929537.4999999997</v>
      </c>
    </row>
    <row r="644" spans="3:22" ht="13.5" customHeight="1" thickBot="1">
      <c r="C644" s="6" t="s">
        <v>95</v>
      </c>
      <c r="J644" s="22">
        <f aca="true" t="shared" si="39" ref="J644:U644">SUM(J641:J643)</f>
        <v>78869.37999999999</v>
      </c>
      <c r="K644" s="22">
        <f t="shared" si="39"/>
        <v>78619.37999999999</v>
      </c>
      <c r="L644" s="22">
        <f t="shared" si="39"/>
        <v>78619.37</v>
      </c>
      <c r="M644" s="22">
        <f t="shared" si="39"/>
        <v>78419.37999999999</v>
      </c>
      <c r="N644" s="22">
        <f t="shared" si="39"/>
        <v>78419.37999999999</v>
      </c>
      <c r="O644" s="22">
        <f t="shared" si="39"/>
        <v>78419.37999999999</v>
      </c>
      <c r="P644" s="22">
        <f t="shared" si="39"/>
        <v>78383.12999999999</v>
      </c>
      <c r="Q644" s="22">
        <f t="shared" si="39"/>
        <v>78383.12999999999</v>
      </c>
      <c r="R644" s="22">
        <f t="shared" si="39"/>
        <v>78383.12</v>
      </c>
      <c r="S644" s="22">
        <f t="shared" si="39"/>
        <v>78383.12999999999</v>
      </c>
      <c r="T644" s="22">
        <f t="shared" si="39"/>
        <v>78383.12999999999</v>
      </c>
      <c r="U644" s="30">
        <f t="shared" si="39"/>
        <v>78383.12999999999</v>
      </c>
      <c r="V644" s="22">
        <f>SUM(V641:V643)</f>
        <v>941665.0399999997</v>
      </c>
    </row>
    <row r="645" ht="13.5" customHeight="1">
      <c r="C645" s="10"/>
    </row>
    <row r="646" spans="1:3" ht="13.5" customHeight="1">
      <c r="A646" s="14">
        <f>+A640+1</f>
        <v>22</v>
      </c>
      <c r="C646" s="5" t="s">
        <v>207</v>
      </c>
    </row>
    <row r="647" spans="3:22" ht="13.5" customHeight="1">
      <c r="C647" s="4" t="s">
        <v>3</v>
      </c>
      <c r="J647" s="45">
        <v>950.83</v>
      </c>
      <c r="K647" s="45">
        <v>950.83</v>
      </c>
      <c r="L647" s="45">
        <v>950.83</v>
      </c>
      <c r="M647" s="45">
        <v>950.83</v>
      </c>
      <c r="N647" s="45">
        <v>950.83</v>
      </c>
      <c r="O647" s="45">
        <v>950.83</v>
      </c>
      <c r="P647" s="45">
        <v>950.83</v>
      </c>
      <c r="Q647" s="45">
        <v>915.83</v>
      </c>
      <c r="R647" s="45">
        <v>915.83</v>
      </c>
      <c r="S647" s="45">
        <v>915.83</v>
      </c>
      <c r="T647" s="45">
        <v>915.83</v>
      </c>
      <c r="U647" s="52">
        <v>915.83</v>
      </c>
      <c r="V647" s="21">
        <f>SUM(J647:U647)</f>
        <v>11234.960000000001</v>
      </c>
    </row>
    <row r="648" spans="3:22" ht="13.5" customHeight="1">
      <c r="C648" s="4" t="s">
        <v>4</v>
      </c>
      <c r="J648" s="45">
        <v>250</v>
      </c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52"/>
      <c r="V648" s="21">
        <f>SUM(J648:U648)</f>
        <v>250</v>
      </c>
    </row>
    <row r="649" spans="3:22" ht="13.5" customHeight="1" thickBot="1">
      <c r="C649" s="4" t="s">
        <v>5</v>
      </c>
      <c r="J649" s="45">
        <f>39166.67+50042.71</f>
        <v>89209.38</v>
      </c>
      <c r="K649" s="45">
        <f>39166.67+50042.71</f>
        <v>89209.38</v>
      </c>
      <c r="L649" s="45">
        <f>39166.67+50042.71</f>
        <v>89209.38</v>
      </c>
      <c r="M649" s="45">
        <f>39166.67+50042.71</f>
        <v>89209.38</v>
      </c>
      <c r="N649" s="45">
        <f>39166.63+50042.7</f>
        <v>89209.32999999999</v>
      </c>
      <c r="O649" s="45">
        <f>40416.67+48507.29</f>
        <v>88923.95999999999</v>
      </c>
      <c r="P649" s="45">
        <f aca="true" t="shared" si="40" ref="P649:U649">40416.67+48507.29</f>
        <v>88923.95999999999</v>
      </c>
      <c r="Q649" s="45">
        <f t="shared" si="40"/>
        <v>88923.95999999999</v>
      </c>
      <c r="R649" s="45">
        <f t="shared" si="40"/>
        <v>88923.95999999999</v>
      </c>
      <c r="S649" s="45">
        <f t="shared" si="40"/>
        <v>88923.95999999999</v>
      </c>
      <c r="T649" s="45">
        <f>40416.67+48507.3</f>
        <v>88923.97</v>
      </c>
      <c r="U649" s="52">
        <f t="shared" si="40"/>
        <v>88923.95999999999</v>
      </c>
      <c r="V649" s="21">
        <f>SUM(J649:U649)</f>
        <v>1068514.5799999998</v>
      </c>
    </row>
    <row r="650" spans="3:22" ht="13.5" customHeight="1" thickBot="1">
      <c r="C650" s="6" t="s">
        <v>206</v>
      </c>
      <c r="J650" s="22">
        <f aca="true" t="shared" si="41" ref="J650:U650">SUM(J647:J649)</f>
        <v>90410.21</v>
      </c>
      <c r="K650" s="22">
        <f t="shared" si="41"/>
        <v>90160.21</v>
      </c>
      <c r="L650" s="22">
        <f t="shared" si="41"/>
        <v>90160.21</v>
      </c>
      <c r="M650" s="22">
        <f t="shared" si="41"/>
        <v>90160.21</v>
      </c>
      <c r="N650" s="22">
        <f t="shared" si="41"/>
        <v>90160.15999999999</v>
      </c>
      <c r="O650" s="22">
        <f t="shared" si="41"/>
        <v>89874.79</v>
      </c>
      <c r="P650" s="22">
        <f t="shared" si="41"/>
        <v>89874.79</v>
      </c>
      <c r="Q650" s="22">
        <f t="shared" si="41"/>
        <v>89839.79</v>
      </c>
      <c r="R650" s="22">
        <f t="shared" si="41"/>
        <v>89839.79</v>
      </c>
      <c r="S650" s="22">
        <f t="shared" si="41"/>
        <v>89839.79</v>
      </c>
      <c r="T650" s="22">
        <f t="shared" si="41"/>
        <v>89839.8</v>
      </c>
      <c r="U650" s="30">
        <f t="shared" si="41"/>
        <v>89839.79</v>
      </c>
      <c r="V650" s="22">
        <f>SUM(V647:V649)</f>
        <v>1079999.5399999998</v>
      </c>
    </row>
    <row r="651" ht="13.5" customHeight="1">
      <c r="C651" s="10"/>
    </row>
    <row r="652" spans="1:3" ht="13.5" customHeight="1">
      <c r="A652" s="14">
        <f>+A646+1</f>
        <v>23</v>
      </c>
      <c r="C652" s="5" t="s">
        <v>208</v>
      </c>
    </row>
    <row r="653" spans="3:22" ht="13.5" customHeight="1">
      <c r="C653" s="4" t="s">
        <v>3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  <c r="Q653" s="21">
        <v>0</v>
      </c>
      <c r="R653" s="21">
        <v>0</v>
      </c>
      <c r="S653" s="21">
        <v>0</v>
      </c>
      <c r="T653" s="21">
        <v>0</v>
      </c>
      <c r="U653" s="29">
        <v>0</v>
      </c>
      <c r="V653" s="21">
        <f>SUM(J653:U653)</f>
        <v>0</v>
      </c>
    </row>
    <row r="654" spans="3:22" ht="13.5" customHeight="1">
      <c r="C654" s="4" t="s">
        <v>4</v>
      </c>
      <c r="J654" s="45">
        <v>250</v>
      </c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52"/>
      <c r="V654" s="21">
        <f>SUM(J654:U654)</f>
        <v>250</v>
      </c>
    </row>
    <row r="655" spans="3:22" ht="13.5" customHeight="1" thickBot="1">
      <c r="C655" s="4" t="s">
        <v>5</v>
      </c>
      <c r="J655" s="45">
        <f>48750+109283.33</f>
        <v>158033.33000000002</v>
      </c>
      <c r="K655" s="45">
        <f>48750+109283.33</f>
        <v>158033.33000000002</v>
      </c>
      <c r="L655" s="45">
        <f>48750+109283.33</f>
        <v>158033.33000000002</v>
      </c>
      <c r="M655" s="45">
        <f>48750+109283.33</f>
        <v>158033.33000000002</v>
      </c>
      <c r="N655" s="45">
        <f>48750+109283.35</f>
        <v>158033.35</v>
      </c>
      <c r="O655" s="45">
        <f>51250+107333.33</f>
        <v>158583.33000000002</v>
      </c>
      <c r="P655" s="45">
        <f aca="true" t="shared" si="42" ref="P655:U655">51250+107333.33</f>
        <v>158583.33000000002</v>
      </c>
      <c r="Q655" s="45">
        <f t="shared" si="42"/>
        <v>158583.33000000002</v>
      </c>
      <c r="R655" s="45">
        <f t="shared" si="42"/>
        <v>158583.33000000002</v>
      </c>
      <c r="S655" s="45">
        <f t="shared" si="42"/>
        <v>158583.33000000002</v>
      </c>
      <c r="T655" s="45">
        <f>51250+107333.35</f>
        <v>158583.35</v>
      </c>
      <c r="U655" s="52">
        <f t="shared" si="42"/>
        <v>158583.33000000002</v>
      </c>
      <c r="V655" s="21">
        <f>SUM(J655:U655)</f>
        <v>1900250.0000000005</v>
      </c>
    </row>
    <row r="656" spans="3:22" ht="13.5" customHeight="1" thickBot="1">
      <c r="C656" s="6" t="s">
        <v>209</v>
      </c>
      <c r="J656" s="22">
        <f aca="true" t="shared" si="43" ref="J656:U656">SUM(J653:J655)</f>
        <v>158283.33000000002</v>
      </c>
      <c r="K656" s="22">
        <f t="shared" si="43"/>
        <v>158033.33000000002</v>
      </c>
      <c r="L656" s="22">
        <f t="shared" si="43"/>
        <v>158033.33000000002</v>
      </c>
      <c r="M656" s="22">
        <f t="shared" si="43"/>
        <v>158033.33000000002</v>
      </c>
      <c r="N656" s="22">
        <f t="shared" si="43"/>
        <v>158033.35</v>
      </c>
      <c r="O656" s="22">
        <f t="shared" si="43"/>
        <v>158583.33000000002</v>
      </c>
      <c r="P656" s="22">
        <f t="shared" si="43"/>
        <v>158583.33000000002</v>
      </c>
      <c r="Q656" s="22">
        <f t="shared" si="43"/>
        <v>158583.33000000002</v>
      </c>
      <c r="R656" s="22">
        <f t="shared" si="43"/>
        <v>158583.33000000002</v>
      </c>
      <c r="S656" s="22">
        <f t="shared" si="43"/>
        <v>158583.33000000002</v>
      </c>
      <c r="T656" s="22">
        <f t="shared" si="43"/>
        <v>158583.35</v>
      </c>
      <c r="U656" s="30">
        <f t="shared" si="43"/>
        <v>158583.33000000002</v>
      </c>
      <c r="V656" s="22">
        <f>SUM(V653:V655)</f>
        <v>1900500.0000000005</v>
      </c>
    </row>
    <row r="657" ht="13.5" customHeight="1">
      <c r="C657" s="10"/>
    </row>
    <row r="658" spans="1:3" ht="13.5" customHeight="1">
      <c r="A658" s="14"/>
      <c r="B658" s="37" t="s">
        <v>104</v>
      </c>
      <c r="C658" s="25" t="s">
        <v>210</v>
      </c>
    </row>
    <row r="659" spans="3:22" ht="13.5" customHeight="1">
      <c r="C659" s="4" t="s">
        <v>3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  <c r="Q659" s="21">
        <v>0</v>
      </c>
      <c r="R659" s="21">
        <v>0</v>
      </c>
      <c r="S659" s="21">
        <v>0</v>
      </c>
      <c r="T659" s="21">
        <v>0</v>
      </c>
      <c r="U659" s="29"/>
      <c r="V659" s="21">
        <f>SUM(J659:U659)</f>
        <v>0</v>
      </c>
    </row>
    <row r="660" spans="3:22" ht="13.5" customHeight="1">
      <c r="C660" s="4" t="s">
        <v>4</v>
      </c>
      <c r="J660" s="45">
        <v>250</v>
      </c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52"/>
      <c r="V660" s="21">
        <f>SUM(J660:U660)</f>
        <v>250</v>
      </c>
    </row>
    <row r="661" spans="3:22" ht="13.5" customHeight="1" thickBot="1">
      <c r="C661" s="4" t="s">
        <v>5</v>
      </c>
      <c r="J661" s="45">
        <f aca="true" t="shared" si="44" ref="J661:R661">20416.67+46731.77</f>
        <v>67148.44</v>
      </c>
      <c r="K661" s="45">
        <f t="shared" si="44"/>
        <v>67148.44</v>
      </c>
      <c r="L661" s="45">
        <f t="shared" si="44"/>
        <v>67148.44</v>
      </c>
      <c r="M661" s="45">
        <f t="shared" si="44"/>
        <v>67148.44</v>
      </c>
      <c r="N661" s="45">
        <f t="shared" si="44"/>
        <v>67148.44</v>
      </c>
      <c r="O661" s="45">
        <f t="shared" si="44"/>
        <v>67148.44</v>
      </c>
      <c r="P661" s="45">
        <f t="shared" si="44"/>
        <v>67148.44</v>
      </c>
      <c r="Q661" s="45">
        <f t="shared" si="44"/>
        <v>67148.44</v>
      </c>
      <c r="R661" s="45">
        <f t="shared" si="44"/>
        <v>67148.44</v>
      </c>
      <c r="S661" s="45">
        <f>21250+45813.02</f>
        <v>67063.01999999999</v>
      </c>
      <c r="T661" s="45">
        <f>21250+45813.02</f>
        <v>67063.01999999999</v>
      </c>
      <c r="U661" s="52"/>
      <c r="V661" s="21">
        <f>SUM(J661:U661)</f>
        <v>738462</v>
      </c>
    </row>
    <row r="662" spans="3:22" ht="13.5" customHeight="1" thickBot="1">
      <c r="C662" s="6" t="s">
        <v>211</v>
      </c>
      <c r="J662" s="22">
        <f aca="true" t="shared" si="45" ref="J662:U662">SUM(J659:J661)</f>
        <v>67398.44</v>
      </c>
      <c r="K662" s="22">
        <f t="shared" si="45"/>
        <v>67148.44</v>
      </c>
      <c r="L662" s="22">
        <f t="shared" si="45"/>
        <v>67148.44</v>
      </c>
      <c r="M662" s="22">
        <f t="shared" si="45"/>
        <v>67148.44</v>
      </c>
      <c r="N662" s="22">
        <f t="shared" si="45"/>
        <v>67148.44</v>
      </c>
      <c r="O662" s="22">
        <f t="shared" si="45"/>
        <v>67148.44</v>
      </c>
      <c r="P662" s="22">
        <f t="shared" si="45"/>
        <v>67148.44</v>
      </c>
      <c r="Q662" s="22">
        <f t="shared" si="45"/>
        <v>67148.44</v>
      </c>
      <c r="R662" s="22">
        <f t="shared" si="45"/>
        <v>67148.44</v>
      </c>
      <c r="S662" s="22">
        <f t="shared" si="45"/>
        <v>67063.01999999999</v>
      </c>
      <c r="T662" s="22">
        <f t="shared" si="45"/>
        <v>67063.01999999999</v>
      </c>
      <c r="U662" s="30">
        <f t="shared" si="45"/>
        <v>0</v>
      </c>
      <c r="V662" s="22">
        <f>SUM(V659:V661)</f>
        <v>738712</v>
      </c>
    </row>
    <row r="663" ht="13.5" customHeight="1">
      <c r="C663" s="10"/>
    </row>
    <row r="664" spans="1:3" ht="13.5" customHeight="1">
      <c r="A664" s="14"/>
      <c r="B664" s="37" t="s">
        <v>104</v>
      </c>
      <c r="C664" s="25" t="s">
        <v>212</v>
      </c>
    </row>
    <row r="665" ht="13.5" customHeight="1">
      <c r="C665" s="4" t="s">
        <v>3</v>
      </c>
    </row>
    <row r="666" ht="13.5" customHeight="1">
      <c r="C666" s="4" t="s">
        <v>4</v>
      </c>
    </row>
    <row r="667" ht="13.5" customHeight="1" thickBot="1">
      <c r="C667" s="4" t="s">
        <v>5</v>
      </c>
    </row>
    <row r="668" ht="13.5" customHeight="1" thickBot="1">
      <c r="C668" s="6" t="s">
        <v>52</v>
      </c>
    </row>
    <row r="669" ht="13.5" customHeight="1">
      <c r="C669" s="10"/>
    </row>
    <row r="670" spans="1:3" ht="13.5" customHeight="1">
      <c r="A670" s="14">
        <f>+A652+1</f>
        <v>24</v>
      </c>
      <c r="C670" s="5" t="s">
        <v>213</v>
      </c>
    </row>
    <row r="671" spans="3:22" ht="13.5" customHeight="1">
      <c r="C671" s="4" t="s">
        <v>3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  <c r="Q671" s="21">
        <v>0</v>
      </c>
      <c r="R671" s="21">
        <v>0</v>
      </c>
      <c r="S671" s="21">
        <v>0</v>
      </c>
      <c r="T671" s="21">
        <v>0</v>
      </c>
      <c r="U671" s="29">
        <v>0</v>
      </c>
      <c r="V671" s="21">
        <f>SUM(J671:U671)</f>
        <v>0</v>
      </c>
    </row>
    <row r="672" spans="3:22" ht="13.5" customHeight="1">
      <c r="C672" s="4" t="s">
        <v>4</v>
      </c>
      <c r="J672" s="45">
        <v>250</v>
      </c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52"/>
      <c r="V672" s="21">
        <f>SUM(J672:U672)</f>
        <v>250</v>
      </c>
    </row>
    <row r="673" spans="3:22" ht="13.5" customHeight="1" thickBot="1">
      <c r="C673" s="4" t="s">
        <v>5</v>
      </c>
      <c r="J673" s="45">
        <f aca="true" t="shared" si="46" ref="J673:T673">18750+43002.61</f>
        <v>61752.61</v>
      </c>
      <c r="K673" s="45">
        <f t="shared" si="46"/>
        <v>61752.61</v>
      </c>
      <c r="L673" s="45">
        <f t="shared" si="46"/>
        <v>61752.61</v>
      </c>
      <c r="M673" s="45">
        <f t="shared" si="46"/>
        <v>61752.61</v>
      </c>
      <c r="N673" s="45">
        <f t="shared" si="46"/>
        <v>61752.61</v>
      </c>
      <c r="O673" s="45">
        <f t="shared" si="46"/>
        <v>61752.61</v>
      </c>
      <c r="P673" s="45">
        <f t="shared" si="46"/>
        <v>61752.61</v>
      </c>
      <c r="Q673" s="45">
        <f t="shared" si="46"/>
        <v>61752.61</v>
      </c>
      <c r="R673" s="45">
        <f t="shared" si="46"/>
        <v>61752.61</v>
      </c>
      <c r="S673" s="45">
        <f t="shared" si="46"/>
        <v>61752.61</v>
      </c>
      <c r="T673" s="45">
        <f t="shared" si="46"/>
        <v>61752.61</v>
      </c>
      <c r="U673" s="52">
        <f>19166.67+42229.17</f>
        <v>61395.84</v>
      </c>
      <c r="V673" s="21">
        <f>SUM(J673:U673)</f>
        <v>740674.5499999999</v>
      </c>
    </row>
    <row r="674" spans="3:22" ht="13.5" customHeight="1" thickBot="1">
      <c r="C674" s="6" t="s">
        <v>214</v>
      </c>
      <c r="J674" s="22">
        <f aca="true" t="shared" si="47" ref="J674:U674">SUM(J671:J673)</f>
        <v>62002.61</v>
      </c>
      <c r="K674" s="22">
        <f t="shared" si="47"/>
        <v>61752.61</v>
      </c>
      <c r="L674" s="22">
        <f t="shared" si="47"/>
        <v>61752.61</v>
      </c>
      <c r="M674" s="22">
        <f t="shared" si="47"/>
        <v>61752.61</v>
      </c>
      <c r="N674" s="22">
        <f t="shared" si="47"/>
        <v>61752.61</v>
      </c>
      <c r="O674" s="22">
        <f t="shared" si="47"/>
        <v>61752.61</v>
      </c>
      <c r="P674" s="22">
        <f t="shared" si="47"/>
        <v>61752.61</v>
      </c>
      <c r="Q674" s="22">
        <f t="shared" si="47"/>
        <v>61752.61</v>
      </c>
      <c r="R674" s="22">
        <f t="shared" si="47"/>
        <v>61752.61</v>
      </c>
      <c r="S674" s="22">
        <f t="shared" si="47"/>
        <v>61752.61</v>
      </c>
      <c r="T674" s="22">
        <f t="shared" si="47"/>
        <v>61752.61</v>
      </c>
      <c r="U674" s="30">
        <f t="shared" si="47"/>
        <v>61395.84</v>
      </c>
      <c r="V674" s="22">
        <f>SUM(V671:V673)</f>
        <v>740924.5499999999</v>
      </c>
    </row>
    <row r="675" ht="13.5" customHeight="1">
      <c r="C675" s="10"/>
    </row>
    <row r="676" spans="1:3" ht="13.5" customHeight="1">
      <c r="A676" s="14"/>
      <c r="B676" s="37" t="s">
        <v>104</v>
      </c>
      <c r="C676" s="25" t="s">
        <v>272</v>
      </c>
    </row>
    <row r="677" ht="13.5" customHeight="1">
      <c r="C677" s="4" t="s">
        <v>3</v>
      </c>
    </row>
    <row r="678" ht="13.5" customHeight="1">
      <c r="C678" s="4" t="s">
        <v>4</v>
      </c>
    </row>
    <row r="679" ht="13.5" customHeight="1" thickBot="1">
      <c r="C679" s="4" t="s">
        <v>5</v>
      </c>
    </row>
    <row r="680" ht="13.5" customHeight="1" thickBot="1">
      <c r="C680" s="6" t="s">
        <v>117</v>
      </c>
    </row>
    <row r="681" ht="13.5" customHeight="1">
      <c r="C681" s="10"/>
    </row>
    <row r="682" spans="1:3" ht="13.5" customHeight="1">
      <c r="A682" s="14"/>
      <c r="B682" s="37" t="s">
        <v>104</v>
      </c>
      <c r="C682" s="25" t="s">
        <v>215</v>
      </c>
    </row>
    <row r="683" ht="13.5" customHeight="1">
      <c r="C683" s="4" t="s">
        <v>3</v>
      </c>
    </row>
    <row r="684" ht="13.5" customHeight="1">
      <c r="C684" s="4" t="s">
        <v>4</v>
      </c>
    </row>
    <row r="685" ht="13.5" customHeight="1" thickBot="1">
      <c r="C685" s="4" t="s">
        <v>5</v>
      </c>
    </row>
    <row r="686" ht="13.5" customHeight="1" thickBot="1">
      <c r="C686" s="6" t="s">
        <v>74</v>
      </c>
    </row>
    <row r="687" ht="13.5" customHeight="1">
      <c r="C687" s="10"/>
    </row>
    <row r="688" spans="1:3" ht="13.5" customHeight="1">
      <c r="A688" s="14"/>
      <c r="B688" s="37" t="s">
        <v>104</v>
      </c>
      <c r="C688" s="25" t="s">
        <v>216</v>
      </c>
    </row>
    <row r="689" ht="13.5" customHeight="1">
      <c r="C689" s="4" t="s">
        <v>3</v>
      </c>
    </row>
    <row r="690" ht="13.5" customHeight="1">
      <c r="C690" s="4" t="s">
        <v>4</v>
      </c>
    </row>
    <row r="691" ht="13.5" customHeight="1" thickBot="1">
      <c r="C691" s="4" t="s">
        <v>5</v>
      </c>
    </row>
    <row r="692" ht="13.5" customHeight="1" thickBot="1">
      <c r="C692" s="6" t="s">
        <v>217</v>
      </c>
    </row>
    <row r="693" ht="13.5" customHeight="1">
      <c r="C693" s="10"/>
    </row>
    <row r="694" spans="1:3" ht="13.5" customHeight="1">
      <c r="A694" s="14">
        <f>+A670+1</f>
        <v>25</v>
      </c>
      <c r="C694" s="5" t="s">
        <v>218</v>
      </c>
    </row>
    <row r="695" spans="3:22" ht="13.5" customHeight="1">
      <c r="C695" s="4" t="s">
        <v>3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  <c r="Q695" s="21">
        <v>0</v>
      </c>
      <c r="R695" s="21">
        <v>0</v>
      </c>
      <c r="S695" s="21">
        <v>0</v>
      </c>
      <c r="T695" s="21">
        <v>0</v>
      </c>
      <c r="U695" s="29">
        <v>0</v>
      </c>
      <c r="V695" s="21">
        <f>SUM(J695:U695)</f>
        <v>0</v>
      </c>
    </row>
    <row r="696" spans="3:22" ht="13.5" customHeight="1">
      <c r="C696" s="4" t="s">
        <v>4</v>
      </c>
      <c r="J696" s="45">
        <v>250</v>
      </c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52"/>
      <c r="V696" s="21">
        <f>SUM(J696:U696)</f>
        <v>250</v>
      </c>
    </row>
    <row r="697" spans="3:22" ht="13.5" customHeight="1" thickBot="1">
      <c r="C697" s="4" t="s">
        <v>5</v>
      </c>
      <c r="J697" s="45">
        <f>49215+46837.41</f>
        <v>96052.41</v>
      </c>
      <c r="K697" s="45">
        <f>50888.33+45164.1</f>
        <v>96052.43</v>
      </c>
      <c r="L697" s="45">
        <f aca="true" t="shared" si="48" ref="L697:U697">50888.33+45164.1</f>
        <v>96052.43</v>
      </c>
      <c r="M697" s="45">
        <f t="shared" si="48"/>
        <v>96052.43</v>
      </c>
      <c r="N697" s="45">
        <f t="shared" si="48"/>
        <v>96052.43</v>
      </c>
      <c r="O697" s="45">
        <f t="shared" si="48"/>
        <v>96052.43</v>
      </c>
      <c r="P697" s="45">
        <f t="shared" si="48"/>
        <v>96052.43</v>
      </c>
      <c r="Q697" s="45">
        <f t="shared" si="48"/>
        <v>96052.43</v>
      </c>
      <c r="R697" s="45">
        <f t="shared" si="48"/>
        <v>96052.43</v>
      </c>
      <c r="S697" s="45">
        <f t="shared" si="48"/>
        <v>96052.43</v>
      </c>
      <c r="T697" s="45">
        <f t="shared" si="48"/>
        <v>96052.43</v>
      </c>
      <c r="U697" s="52">
        <f t="shared" si="48"/>
        <v>96052.43</v>
      </c>
      <c r="V697" s="21">
        <f>SUM(J697:U697)</f>
        <v>1152629.1399999997</v>
      </c>
    </row>
    <row r="698" spans="3:22" ht="13.5" customHeight="1" thickBot="1">
      <c r="C698" s="6" t="s">
        <v>40</v>
      </c>
      <c r="J698" s="22">
        <f aca="true" t="shared" si="49" ref="J698:U698">SUM(J695:J697)</f>
        <v>96302.41</v>
      </c>
      <c r="K698" s="22">
        <f t="shared" si="49"/>
        <v>96052.43</v>
      </c>
      <c r="L698" s="22">
        <f t="shared" si="49"/>
        <v>96052.43</v>
      </c>
      <c r="M698" s="22">
        <f t="shared" si="49"/>
        <v>96052.43</v>
      </c>
      <c r="N698" s="22">
        <f t="shared" si="49"/>
        <v>96052.43</v>
      </c>
      <c r="O698" s="22">
        <f t="shared" si="49"/>
        <v>96052.43</v>
      </c>
      <c r="P698" s="22">
        <f t="shared" si="49"/>
        <v>96052.43</v>
      </c>
      <c r="Q698" s="22">
        <f t="shared" si="49"/>
        <v>96052.43</v>
      </c>
      <c r="R698" s="22">
        <f t="shared" si="49"/>
        <v>96052.43</v>
      </c>
      <c r="S698" s="22">
        <f t="shared" si="49"/>
        <v>96052.43</v>
      </c>
      <c r="T698" s="22">
        <f t="shared" si="49"/>
        <v>96052.43</v>
      </c>
      <c r="U698" s="30">
        <f t="shared" si="49"/>
        <v>96052.43</v>
      </c>
      <c r="V698" s="22">
        <f>SUM(V695:V697)</f>
        <v>1152879.1399999997</v>
      </c>
    </row>
    <row r="699" ht="13.5" customHeight="1">
      <c r="C699" s="10"/>
    </row>
    <row r="700" spans="1:3" ht="13.5" customHeight="1">
      <c r="A700" s="14"/>
      <c r="B700" s="37" t="s">
        <v>104</v>
      </c>
      <c r="C700" s="25" t="s">
        <v>219</v>
      </c>
    </row>
    <row r="701" ht="13.5" customHeight="1">
      <c r="C701" s="4" t="s">
        <v>3</v>
      </c>
    </row>
    <row r="702" ht="13.5" customHeight="1">
      <c r="C702" s="4" t="s">
        <v>4</v>
      </c>
    </row>
    <row r="703" ht="13.5" customHeight="1" thickBot="1">
      <c r="C703" s="4" t="s">
        <v>5</v>
      </c>
    </row>
    <row r="704" ht="13.5" customHeight="1" thickBot="1">
      <c r="C704" s="6" t="s">
        <v>30</v>
      </c>
    </row>
    <row r="705" ht="13.5" customHeight="1">
      <c r="C705" s="10"/>
    </row>
    <row r="706" spans="2:3" ht="13.5" customHeight="1">
      <c r="B706" s="37" t="s">
        <v>104</v>
      </c>
      <c r="C706" s="25" t="s">
        <v>220</v>
      </c>
    </row>
    <row r="707" ht="13.5" customHeight="1">
      <c r="C707" s="4" t="s">
        <v>3</v>
      </c>
    </row>
    <row r="708" ht="13.5" customHeight="1">
      <c r="C708" s="4" t="s">
        <v>4</v>
      </c>
    </row>
    <row r="709" ht="13.5" customHeight="1" thickBot="1">
      <c r="C709" s="4" t="s">
        <v>5</v>
      </c>
    </row>
    <row r="710" ht="13.5" customHeight="1" thickBot="1">
      <c r="C710" s="6" t="s">
        <v>32</v>
      </c>
    </row>
    <row r="711" ht="13.5" customHeight="1">
      <c r="C711" s="10"/>
    </row>
    <row r="712" spans="2:3" ht="13.5" customHeight="1">
      <c r="B712" s="37" t="s">
        <v>104</v>
      </c>
      <c r="C712" s="25" t="s">
        <v>221</v>
      </c>
    </row>
    <row r="713" ht="13.5" customHeight="1">
      <c r="C713" s="4" t="s">
        <v>3</v>
      </c>
    </row>
    <row r="714" ht="13.5" customHeight="1">
      <c r="C714" s="4" t="s">
        <v>4</v>
      </c>
    </row>
    <row r="715" ht="13.5" customHeight="1" thickBot="1">
      <c r="C715" s="4" t="s">
        <v>5</v>
      </c>
    </row>
    <row r="716" ht="13.5" customHeight="1" thickBot="1">
      <c r="C716" s="6" t="s">
        <v>82</v>
      </c>
    </row>
    <row r="717" ht="13.5" customHeight="1">
      <c r="C717" s="10"/>
    </row>
    <row r="718" spans="2:3" ht="13.5" customHeight="1">
      <c r="B718" s="37" t="s">
        <v>104</v>
      </c>
      <c r="C718" s="25" t="s">
        <v>222</v>
      </c>
    </row>
    <row r="719" ht="13.5" customHeight="1">
      <c r="C719" s="4" t="s">
        <v>3</v>
      </c>
    </row>
    <row r="720" ht="13.5" customHeight="1">
      <c r="C720" s="4" t="s">
        <v>4</v>
      </c>
    </row>
    <row r="721" ht="13.5" customHeight="1" thickBot="1">
      <c r="C721" s="4" t="s">
        <v>5</v>
      </c>
    </row>
    <row r="722" ht="13.5" customHeight="1" thickBot="1">
      <c r="C722" s="6" t="s">
        <v>223</v>
      </c>
    </row>
    <row r="723" ht="13.5" customHeight="1">
      <c r="C723" s="10"/>
    </row>
    <row r="724" spans="2:3" ht="13.5" customHeight="1">
      <c r="B724" s="37" t="s">
        <v>104</v>
      </c>
      <c r="C724" s="25" t="s">
        <v>224</v>
      </c>
    </row>
    <row r="725" ht="13.5" customHeight="1">
      <c r="C725" s="4" t="s">
        <v>3</v>
      </c>
    </row>
    <row r="726" ht="13.5" customHeight="1">
      <c r="C726" s="4" t="s">
        <v>4</v>
      </c>
    </row>
    <row r="727" ht="13.5" customHeight="1" thickBot="1">
      <c r="C727" s="4" t="s">
        <v>5</v>
      </c>
    </row>
    <row r="728" ht="13.5" customHeight="1" thickBot="1">
      <c r="C728" s="6" t="s">
        <v>115</v>
      </c>
    </row>
    <row r="729" ht="13.5" customHeight="1">
      <c r="C729" s="10"/>
    </row>
    <row r="730" spans="2:3" ht="13.5" customHeight="1">
      <c r="B730" s="37" t="s">
        <v>104</v>
      </c>
      <c r="C730" s="25" t="s">
        <v>225</v>
      </c>
    </row>
    <row r="731" ht="13.5" customHeight="1">
      <c r="C731" s="4" t="s">
        <v>3</v>
      </c>
    </row>
    <row r="732" ht="13.5" customHeight="1">
      <c r="C732" s="4" t="s">
        <v>4</v>
      </c>
    </row>
    <row r="733" ht="13.5" customHeight="1" thickBot="1">
      <c r="C733" s="4" t="s">
        <v>5</v>
      </c>
    </row>
    <row r="734" ht="13.5" customHeight="1" thickBot="1">
      <c r="C734" s="6" t="s">
        <v>110</v>
      </c>
    </row>
    <row r="735" ht="13.5" customHeight="1">
      <c r="C735" s="10"/>
    </row>
    <row r="736" spans="2:3" ht="13.5" customHeight="1">
      <c r="B736" s="37" t="s">
        <v>104</v>
      </c>
      <c r="C736" s="25" t="s">
        <v>226</v>
      </c>
    </row>
    <row r="737" ht="13.5" customHeight="1">
      <c r="C737" s="4" t="s">
        <v>3</v>
      </c>
    </row>
    <row r="738" ht="13.5" customHeight="1">
      <c r="C738" s="4" t="s">
        <v>4</v>
      </c>
    </row>
    <row r="739" ht="13.5" customHeight="1" thickBot="1">
      <c r="C739" s="4" t="s">
        <v>5</v>
      </c>
    </row>
    <row r="740" ht="13.5" customHeight="1" thickBot="1">
      <c r="C740" s="6" t="s">
        <v>227</v>
      </c>
    </row>
    <row r="741" ht="13.5" customHeight="1">
      <c r="C741" s="10"/>
    </row>
    <row r="742" spans="1:3" ht="13.5" customHeight="1">
      <c r="A742" s="1">
        <f>A694+1</f>
        <v>26</v>
      </c>
      <c r="B742" s="39"/>
      <c r="C742" s="5" t="s">
        <v>187</v>
      </c>
    </row>
    <row r="743" spans="3:22" ht="13.5" customHeight="1">
      <c r="C743" s="4" t="s">
        <v>3</v>
      </c>
      <c r="J743" s="45">
        <v>232.5</v>
      </c>
      <c r="K743" s="45">
        <v>232.5</v>
      </c>
      <c r="L743" s="45">
        <v>232.5</v>
      </c>
      <c r="M743" s="45">
        <v>232.5</v>
      </c>
      <c r="N743" s="45">
        <v>232.5</v>
      </c>
      <c r="O743" s="45">
        <v>226.25</v>
      </c>
      <c r="P743" s="45">
        <v>226.25</v>
      </c>
      <c r="Q743" s="45">
        <v>226.25</v>
      </c>
      <c r="R743" s="45">
        <v>226.25</v>
      </c>
      <c r="S743" s="45">
        <v>226.25</v>
      </c>
      <c r="T743" s="45">
        <v>226.25</v>
      </c>
      <c r="U743" s="52">
        <v>226.25</v>
      </c>
      <c r="V743" s="21">
        <f>SUM(J743:U743)</f>
        <v>2746.25</v>
      </c>
    </row>
    <row r="744" spans="3:22" ht="13.5" customHeight="1">
      <c r="C744" s="4" t="s">
        <v>4</v>
      </c>
      <c r="J744" s="45">
        <v>250</v>
      </c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52"/>
      <c r="V744" s="21">
        <f>SUM(J744:U744)</f>
        <v>250</v>
      </c>
    </row>
    <row r="745" spans="3:22" ht="13.5" customHeight="1" thickBot="1">
      <c r="C745" s="4" t="s">
        <v>5</v>
      </c>
      <c r="J745" s="45">
        <f>6250+8527.61</f>
        <v>14777.61</v>
      </c>
      <c r="K745" s="45">
        <f>6250+8527.61</f>
        <v>14777.61</v>
      </c>
      <c r="L745" s="45">
        <f>6250+8527.61</f>
        <v>14777.61</v>
      </c>
      <c r="M745" s="45">
        <f>6250+8527.61</f>
        <v>14777.61</v>
      </c>
      <c r="N745" s="45">
        <f>6250+8527.61</f>
        <v>14777.61</v>
      </c>
      <c r="O745" s="45">
        <f>6250+8527.58</f>
        <v>14777.58</v>
      </c>
      <c r="P745" s="45">
        <f>6250+8402.61</f>
        <v>14652.61</v>
      </c>
      <c r="Q745" s="45">
        <f>6250+8402.61</f>
        <v>14652.61</v>
      </c>
      <c r="R745" s="45">
        <f>6250+8402.61</f>
        <v>14652.61</v>
      </c>
      <c r="S745" s="45">
        <f>6250+8402.61</f>
        <v>14652.61</v>
      </c>
      <c r="T745" s="45">
        <f>6250+8402.61</f>
        <v>14652.61</v>
      </c>
      <c r="U745" s="52">
        <f>6250+8402.58</f>
        <v>14652.58</v>
      </c>
      <c r="V745" s="21">
        <f>SUM(J745:U745)</f>
        <v>176581.25999999998</v>
      </c>
    </row>
    <row r="746" spans="3:22" ht="13.5" customHeight="1" thickBot="1">
      <c r="C746" s="6" t="s">
        <v>188</v>
      </c>
      <c r="J746" s="22">
        <f aca="true" t="shared" si="50" ref="J746:U746">SUM(J743:J745)</f>
        <v>15260.11</v>
      </c>
      <c r="K746" s="22">
        <f t="shared" si="50"/>
        <v>15010.11</v>
      </c>
      <c r="L746" s="22">
        <f t="shared" si="50"/>
        <v>15010.11</v>
      </c>
      <c r="M746" s="22">
        <f t="shared" si="50"/>
        <v>15010.11</v>
      </c>
      <c r="N746" s="22">
        <f t="shared" si="50"/>
        <v>15010.11</v>
      </c>
      <c r="O746" s="22">
        <f t="shared" si="50"/>
        <v>15003.83</v>
      </c>
      <c r="P746" s="22">
        <f t="shared" si="50"/>
        <v>14878.86</v>
      </c>
      <c r="Q746" s="22">
        <f t="shared" si="50"/>
        <v>14878.86</v>
      </c>
      <c r="R746" s="22">
        <f t="shared" si="50"/>
        <v>14878.86</v>
      </c>
      <c r="S746" s="22">
        <f t="shared" si="50"/>
        <v>14878.86</v>
      </c>
      <c r="T746" s="22">
        <f t="shared" si="50"/>
        <v>14878.86</v>
      </c>
      <c r="U746" s="30">
        <f t="shared" si="50"/>
        <v>14878.83</v>
      </c>
      <c r="V746" s="22">
        <f>SUM(V743:V745)</f>
        <v>179577.50999999998</v>
      </c>
    </row>
    <row r="747" ht="13.5" customHeight="1">
      <c r="C747" s="10"/>
    </row>
    <row r="748" spans="1:3" ht="13.5" customHeight="1">
      <c r="A748" s="1">
        <f>A742+1</f>
        <v>27</v>
      </c>
      <c r="B748" s="39"/>
      <c r="C748" s="5" t="s">
        <v>228</v>
      </c>
    </row>
    <row r="749" spans="3:22" ht="13.5" customHeight="1">
      <c r="C749" s="4" t="s">
        <v>3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  <c r="S749" s="21">
        <v>0</v>
      </c>
      <c r="T749" s="21">
        <v>0</v>
      </c>
      <c r="U749" s="29">
        <v>0</v>
      </c>
      <c r="V749" s="21">
        <f>SUM(J749:U749)</f>
        <v>0</v>
      </c>
    </row>
    <row r="750" spans="3:22" ht="13.5" customHeight="1">
      <c r="C750" s="4" t="s">
        <v>4</v>
      </c>
      <c r="J750" s="45">
        <v>250</v>
      </c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52"/>
      <c r="V750" s="21">
        <f>SUM(J750:U750)</f>
        <v>250</v>
      </c>
    </row>
    <row r="751" spans="3:22" ht="13.5" customHeight="1" thickBot="1">
      <c r="C751" s="4" t="s">
        <v>5</v>
      </c>
      <c r="J751" s="21">
        <v>32953.13</v>
      </c>
      <c r="K751" s="21">
        <v>32953.13</v>
      </c>
      <c r="L751" s="21">
        <v>32953.13</v>
      </c>
      <c r="M751" s="21">
        <v>32953.13</v>
      </c>
      <c r="N751" s="21">
        <v>32953.13</v>
      </c>
      <c r="O751" s="21">
        <v>32953.13</v>
      </c>
      <c r="P751" s="21">
        <v>32953.13</v>
      </c>
      <c r="Q751" s="21">
        <v>32953.13</v>
      </c>
      <c r="R751" s="21">
        <v>32953.13</v>
      </c>
      <c r="S751" s="21">
        <v>32953.13</v>
      </c>
      <c r="T751" s="21">
        <v>32953.13</v>
      </c>
      <c r="U751" s="29">
        <v>32953.13</v>
      </c>
      <c r="V751" s="21">
        <f>SUM(J751:U751)</f>
        <v>395437.56</v>
      </c>
    </row>
    <row r="752" spans="3:22" ht="13.5" customHeight="1" thickBot="1">
      <c r="C752" s="6" t="s">
        <v>186</v>
      </c>
      <c r="J752" s="22">
        <f aca="true" t="shared" si="51" ref="J752:U752">SUM(J749:J751)</f>
        <v>33203.13</v>
      </c>
      <c r="K752" s="22">
        <f t="shared" si="51"/>
        <v>32953.13</v>
      </c>
      <c r="L752" s="22">
        <f t="shared" si="51"/>
        <v>32953.13</v>
      </c>
      <c r="M752" s="22">
        <f t="shared" si="51"/>
        <v>32953.13</v>
      </c>
      <c r="N752" s="22">
        <f t="shared" si="51"/>
        <v>32953.13</v>
      </c>
      <c r="O752" s="22">
        <f t="shared" si="51"/>
        <v>32953.13</v>
      </c>
      <c r="P752" s="22">
        <f t="shared" si="51"/>
        <v>32953.13</v>
      </c>
      <c r="Q752" s="22">
        <f t="shared" si="51"/>
        <v>32953.13</v>
      </c>
      <c r="R752" s="22">
        <f t="shared" si="51"/>
        <v>32953.13</v>
      </c>
      <c r="S752" s="22">
        <f t="shared" si="51"/>
        <v>32953.13</v>
      </c>
      <c r="T752" s="22">
        <f t="shared" si="51"/>
        <v>32953.13</v>
      </c>
      <c r="U752" s="30">
        <f t="shared" si="51"/>
        <v>32953.13</v>
      </c>
      <c r="V752" s="22">
        <f>SUM(V749:V751)</f>
        <v>395687.56</v>
      </c>
    </row>
    <row r="753" ht="13.5" customHeight="1">
      <c r="C753" s="10"/>
    </row>
    <row r="754" spans="1:3" ht="13.5" customHeight="1">
      <c r="A754" s="1">
        <f>A748+1</f>
        <v>28</v>
      </c>
      <c r="B754" s="39"/>
      <c r="C754" s="5" t="s">
        <v>229</v>
      </c>
    </row>
    <row r="755" spans="3:22" ht="13.5" customHeight="1">
      <c r="C755" s="4" t="s">
        <v>3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  <c r="Q755" s="21">
        <v>0</v>
      </c>
      <c r="R755" s="21">
        <v>0</v>
      </c>
      <c r="S755" s="21">
        <v>0</v>
      </c>
      <c r="T755" s="21">
        <v>0</v>
      </c>
      <c r="U755" s="29">
        <v>0</v>
      </c>
      <c r="V755" s="21">
        <f>SUM(J755:U755)</f>
        <v>0</v>
      </c>
    </row>
    <row r="756" spans="3:22" ht="13.5" customHeight="1">
      <c r="C756" s="4" t="s">
        <v>4</v>
      </c>
      <c r="J756" s="45">
        <v>250</v>
      </c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52"/>
      <c r="V756" s="21">
        <f>SUM(J756:U756)</f>
        <v>250</v>
      </c>
    </row>
    <row r="757" spans="3:22" ht="13.5" customHeight="1" thickBot="1">
      <c r="C757" s="4" t="s">
        <v>5</v>
      </c>
      <c r="J757" s="45">
        <f aca="true" t="shared" si="52" ref="J757:S757">1666.67+6362.5</f>
        <v>8029.17</v>
      </c>
      <c r="K757" s="45">
        <f t="shared" si="52"/>
        <v>8029.17</v>
      </c>
      <c r="L757" s="45">
        <f t="shared" si="52"/>
        <v>8029.17</v>
      </c>
      <c r="M757" s="45">
        <f t="shared" si="52"/>
        <v>8029.17</v>
      </c>
      <c r="N757" s="45">
        <f t="shared" si="52"/>
        <v>8029.17</v>
      </c>
      <c r="O757" s="45">
        <f t="shared" si="52"/>
        <v>8029.17</v>
      </c>
      <c r="P757" s="45">
        <f t="shared" si="52"/>
        <v>8029.17</v>
      </c>
      <c r="Q757" s="45">
        <f t="shared" si="52"/>
        <v>8029.17</v>
      </c>
      <c r="R757" s="45">
        <f t="shared" si="52"/>
        <v>8029.17</v>
      </c>
      <c r="S757" s="45">
        <f t="shared" si="52"/>
        <v>8029.17</v>
      </c>
      <c r="T757" s="45">
        <f>1666.63+6362.5</f>
        <v>8029.13</v>
      </c>
      <c r="U757" s="52">
        <f>2083.33+6275</f>
        <v>8358.33</v>
      </c>
      <c r="V757" s="21">
        <f>SUM(J757:U757)</f>
        <v>96679.16</v>
      </c>
    </row>
    <row r="758" spans="3:22" ht="13.5" customHeight="1" thickBot="1">
      <c r="C758" s="6" t="s">
        <v>230</v>
      </c>
      <c r="J758" s="22">
        <f aca="true" t="shared" si="53" ref="J758:U758">SUM(J755:J757)</f>
        <v>8279.17</v>
      </c>
      <c r="K758" s="22">
        <f t="shared" si="53"/>
        <v>8029.17</v>
      </c>
      <c r="L758" s="22">
        <f t="shared" si="53"/>
        <v>8029.17</v>
      </c>
      <c r="M758" s="22">
        <f t="shared" si="53"/>
        <v>8029.17</v>
      </c>
      <c r="N758" s="22">
        <f t="shared" si="53"/>
        <v>8029.17</v>
      </c>
      <c r="O758" s="22">
        <f t="shared" si="53"/>
        <v>8029.17</v>
      </c>
      <c r="P758" s="22">
        <f t="shared" si="53"/>
        <v>8029.17</v>
      </c>
      <c r="Q758" s="22">
        <f t="shared" si="53"/>
        <v>8029.17</v>
      </c>
      <c r="R758" s="22">
        <f t="shared" si="53"/>
        <v>8029.17</v>
      </c>
      <c r="S758" s="22">
        <f t="shared" si="53"/>
        <v>8029.17</v>
      </c>
      <c r="T758" s="22">
        <f t="shared" si="53"/>
        <v>8029.13</v>
      </c>
      <c r="U758" s="30">
        <f t="shared" si="53"/>
        <v>8358.33</v>
      </c>
      <c r="V758" s="22">
        <f>SUM(V755:V757)</f>
        <v>96929.16</v>
      </c>
    </row>
    <row r="759" ht="13.5" customHeight="1">
      <c r="C759" s="10"/>
    </row>
    <row r="760" spans="2:3" ht="13.5" customHeight="1">
      <c r="B760" s="37" t="s">
        <v>104</v>
      </c>
      <c r="C760" s="25" t="s">
        <v>231</v>
      </c>
    </row>
    <row r="761" ht="13.5" customHeight="1">
      <c r="C761" s="4" t="s">
        <v>3</v>
      </c>
    </row>
    <row r="762" ht="13.5" customHeight="1">
      <c r="C762" s="4" t="s">
        <v>4</v>
      </c>
    </row>
    <row r="763" ht="13.5" customHeight="1" thickBot="1">
      <c r="C763" s="4" t="s">
        <v>5</v>
      </c>
    </row>
    <row r="764" ht="13.5" customHeight="1" thickBot="1">
      <c r="C764" s="6" t="s">
        <v>182</v>
      </c>
    </row>
    <row r="765" ht="13.5" customHeight="1">
      <c r="C765" s="10"/>
    </row>
    <row r="766" spans="1:3" ht="13.5" customHeight="1">
      <c r="A766" s="1">
        <f>A754+1</f>
        <v>29</v>
      </c>
      <c r="B766" s="39"/>
      <c r="C766" s="5" t="s">
        <v>232</v>
      </c>
    </row>
    <row r="767" spans="3:22" ht="13.5" customHeight="1">
      <c r="C767" s="4" t="s">
        <v>3</v>
      </c>
      <c r="J767" s="45">
        <v>1482.92</v>
      </c>
      <c r="K767" s="45">
        <v>1482.92</v>
      </c>
      <c r="L767" s="45">
        <v>1482.92</v>
      </c>
      <c r="M767" s="45">
        <v>1482.92</v>
      </c>
      <c r="N767" s="45">
        <v>1482.92</v>
      </c>
      <c r="O767" s="45">
        <v>1482.92</v>
      </c>
      <c r="P767" s="45">
        <v>1482.92</v>
      </c>
      <c r="Q767" s="45">
        <v>1482.92</v>
      </c>
      <c r="R767" s="45">
        <v>1452.08</v>
      </c>
      <c r="S767" s="45">
        <v>1452.08</v>
      </c>
      <c r="T767" s="45">
        <v>1452.08</v>
      </c>
      <c r="U767" s="52">
        <v>1452.08</v>
      </c>
      <c r="V767" s="21">
        <f>SUM(J767:U767)</f>
        <v>17671.68</v>
      </c>
    </row>
    <row r="768" spans="3:22" ht="13.5" customHeight="1">
      <c r="C768" s="4" t="s">
        <v>4</v>
      </c>
      <c r="J768" s="45">
        <v>250</v>
      </c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52"/>
      <c r="V768" s="21">
        <f>SUM(J768:U768)</f>
        <v>250</v>
      </c>
    </row>
    <row r="769" spans="3:22" ht="13.5" customHeight="1" thickBot="1">
      <c r="C769" s="4" t="s">
        <v>5</v>
      </c>
      <c r="J769" s="45">
        <f>32083.33+63825</f>
        <v>95908.33</v>
      </c>
      <c r="K769" s="45">
        <f aca="true" t="shared" si="54" ref="K769:T769">32083.33+63825</f>
        <v>95908.33</v>
      </c>
      <c r="L769" s="45">
        <f t="shared" si="54"/>
        <v>95908.33</v>
      </c>
      <c r="M769" s="45">
        <f t="shared" si="54"/>
        <v>95908.33</v>
      </c>
      <c r="N769" s="45">
        <f t="shared" si="54"/>
        <v>95908.33</v>
      </c>
      <c r="O769" s="45">
        <f t="shared" si="54"/>
        <v>95908.33</v>
      </c>
      <c r="P769" s="45">
        <f t="shared" si="54"/>
        <v>95908.33</v>
      </c>
      <c r="Q769" s="45">
        <f t="shared" si="54"/>
        <v>95908.33</v>
      </c>
      <c r="R769" s="45">
        <f t="shared" si="54"/>
        <v>95908.33</v>
      </c>
      <c r="S769" s="45">
        <f t="shared" si="54"/>
        <v>95908.33</v>
      </c>
      <c r="T769" s="45">
        <f t="shared" si="54"/>
        <v>95908.33</v>
      </c>
      <c r="U769" s="52">
        <f>32083.37+63825</f>
        <v>95908.37</v>
      </c>
      <c r="V769" s="21">
        <f>SUM(J769:U769)</f>
        <v>1150900</v>
      </c>
    </row>
    <row r="770" spans="3:22" ht="13.5" customHeight="1" thickBot="1">
      <c r="C770" s="6" t="s">
        <v>233</v>
      </c>
      <c r="J770" s="22">
        <f aca="true" t="shared" si="55" ref="J770:U770">SUM(J767:J769)</f>
        <v>97641.25</v>
      </c>
      <c r="K770" s="22">
        <f t="shared" si="55"/>
        <v>97391.25</v>
      </c>
      <c r="L770" s="22">
        <f t="shared" si="55"/>
        <v>97391.25</v>
      </c>
      <c r="M770" s="22">
        <f t="shared" si="55"/>
        <v>97391.25</v>
      </c>
      <c r="N770" s="22">
        <f t="shared" si="55"/>
        <v>97391.25</v>
      </c>
      <c r="O770" s="22">
        <f t="shared" si="55"/>
        <v>97391.25</v>
      </c>
      <c r="P770" s="22">
        <f t="shared" si="55"/>
        <v>97391.25</v>
      </c>
      <c r="Q770" s="22">
        <f t="shared" si="55"/>
        <v>97391.25</v>
      </c>
      <c r="R770" s="22">
        <f t="shared" si="55"/>
        <v>97360.41</v>
      </c>
      <c r="S770" s="22">
        <f t="shared" si="55"/>
        <v>97360.41</v>
      </c>
      <c r="T770" s="22">
        <f t="shared" si="55"/>
        <v>97360.41</v>
      </c>
      <c r="U770" s="30">
        <f t="shared" si="55"/>
        <v>97360.45</v>
      </c>
      <c r="V770" s="22">
        <f>SUM(V767:V769)</f>
        <v>1168821.68</v>
      </c>
    </row>
    <row r="771" ht="13.5" customHeight="1">
      <c r="C771" s="10"/>
    </row>
    <row r="772" spans="2:3" ht="13.5" customHeight="1">
      <c r="B772" s="37" t="s">
        <v>104</v>
      </c>
      <c r="C772" s="25" t="s">
        <v>234</v>
      </c>
    </row>
    <row r="773" spans="3:22" ht="13.5" customHeight="1">
      <c r="C773" s="4" t="s">
        <v>3</v>
      </c>
      <c r="J773" s="21">
        <v>0</v>
      </c>
      <c r="K773" s="21">
        <v>0</v>
      </c>
      <c r="L773" s="21">
        <v>0</v>
      </c>
      <c r="M773" s="21"/>
      <c r="N773" s="21"/>
      <c r="O773" s="21"/>
      <c r="P773" s="21"/>
      <c r="Q773" s="21"/>
      <c r="R773" s="21"/>
      <c r="S773" s="21"/>
      <c r="T773" s="21"/>
      <c r="U773" s="29"/>
      <c r="V773" s="21">
        <f>SUM(J773:U773)</f>
        <v>0</v>
      </c>
    </row>
    <row r="774" spans="3:22" ht="13.5" customHeight="1">
      <c r="C774" s="4" t="s">
        <v>4</v>
      </c>
      <c r="J774" s="45">
        <v>250</v>
      </c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52"/>
      <c r="V774" s="21">
        <f>SUM(J774:U774)</f>
        <v>250</v>
      </c>
    </row>
    <row r="775" spans="3:22" ht="13.5" customHeight="1" thickBot="1">
      <c r="C775" s="4" t="s">
        <v>5</v>
      </c>
      <c r="J775" s="21">
        <v>50618.29</v>
      </c>
      <c r="K775" s="21">
        <v>50618.29</v>
      </c>
      <c r="L775" s="21">
        <v>50618.29</v>
      </c>
      <c r="M775" s="21"/>
      <c r="N775" s="21"/>
      <c r="O775" s="21"/>
      <c r="P775" s="21"/>
      <c r="Q775" s="21"/>
      <c r="R775" s="21"/>
      <c r="S775" s="21"/>
      <c r="T775" s="45"/>
      <c r="U775" s="52"/>
      <c r="V775" s="21">
        <f>SUM(J775:U775)</f>
        <v>151854.87</v>
      </c>
    </row>
    <row r="776" spans="3:22" ht="13.5" customHeight="1" thickBot="1">
      <c r="C776" s="6" t="s">
        <v>162</v>
      </c>
      <c r="J776" s="22">
        <f aca="true" t="shared" si="56" ref="J776:U776">SUM(J773:J775)</f>
        <v>50868.29</v>
      </c>
      <c r="K776" s="22">
        <f t="shared" si="56"/>
        <v>50618.29</v>
      </c>
      <c r="L776" s="22">
        <f t="shared" si="56"/>
        <v>50618.29</v>
      </c>
      <c r="M776" s="22">
        <f t="shared" si="56"/>
        <v>0</v>
      </c>
      <c r="N776" s="22">
        <f t="shared" si="56"/>
        <v>0</v>
      </c>
      <c r="O776" s="22">
        <f t="shared" si="56"/>
        <v>0</v>
      </c>
      <c r="P776" s="22">
        <f t="shared" si="56"/>
        <v>0</v>
      </c>
      <c r="Q776" s="22">
        <f t="shared" si="56"/>
        <v>0</v>
      </c>
      <c r="R776" s="22">
        <f t="shared" si="56"/>
        <v>0</v>
      </c>
      <c r="S776" s="22">
        <f t="shared" si="56"/>
        <v>0</v>
      </c>
      <c r="T776" s="22">
        <f t="shared" si="56"/>
        <v>0</v>
      </c>
      <c r="U776" s="30">
        <f t="shared" si="56"/>
        <v>0</v>
      </c>
      <c r="V776" s="22">
        <f>SUM(V773:V775)</f>
        <v>152104.87</v>
      </c>
    </row>
    <row r="777" ht="13.5" customHeight="1">
      <c r="C777" s="10"/>
    </row>
    <row r="778" spans="1:3" ht="13.5" customHeight="1">
      <c r="A778" s="1">
        <f>A766+1</f>
        <v>30</v>
      </c>
      <c r="B778" s="39"/>
      <c r="C778" s="5" t="s">
        <v>235</v>
      </c>
    </row>
    <row r="779" spans="3:22" ht="13.5" customHeight="1">
      <c r="C779" s="4" t="s">
        <v>3</v>
      </c>
      <c r="J779" s="45">
        <v>1938.75</v>
      </c>
      <c r="K779" s="45">
        <v>1938.75</v>
      </c>
      <c r="L779" s="45">
        <v>1938.75</v>
      </c>
      <c r="M779" s="45">
        <v>1938.75</v>
      </c>
      <c r="N779" s="45">
        <v>1938.75</v>
      </c>
      <c r="O779" s="45">
        <v>1938.75</v>
      </c>
      <c r="P779" s="45">
        <v>1938.75</v>
      </c>
      <c r="Q779" s="45">
        <v>1938.75</v>
      </c>
      <c r="R779" s="45">
        <v>1938.75</v>
      </c>
      <c r="S779" s="45">
        <v>1938.75</v>
      </c>
      <c r="T779" s="45">
        <v>1895.83</v>
      </c>
      <c r="U779" s="52">
        <v>1895.83</v>
      </c>
      <c r="V779" s="21">
        <f>SUM(J779:U779)</f>
        <v>23179.160000000003</v>
      </c>
    </row>
    <row r="780" spans="3:22" ht="13.5" customHeight="1">
      <c r="C780" s="4" t="s">
        <v>4</v>
      </c>
      <c r="J780" s="45">
        <v>250</v>
      </c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52"/>
      <c r="V780" s="21">
        <f>SUM(J780:U780)</f>
        <v>250</v>
      </c>
    </row>
    <row r="781" spans="3:22" ht="13.5" customHeight="1" thickBot="1">
      <c r="C781" s="4" t="s">
        <v>5</v>
      </c>
      <c r="J781" s="45">
        <f aca="true" t="shared" si="57" ref="J781:S781">42916.67+76108.33</f>
        <v>119025</v>
      </c>
      <c r="K781" s="45">
        <f t="shared" si="57"/>
        <v>119025</v>
      </c>
      <c r="L781" s="45">
        <f t="shared" si="57"/>
        <v>119025</v>
      </c>
      <c r="M781" s="45">
        <f t="shared" si="57"/>
        <v>119025</v>
      </c>
      <c r="N781" s="45">
        <f>42916.67+76108.35</f>
        <v>119025.02</v>
      </c>
      <c r="O781" s="45">
        <f t="shared" si="57"/>
        <v>119025</v>
      </c>
      <c r="P781" s="45">
        <f t="shared" si="57"/>
        <v>119025</v>
      </c>
      <c r="Q781" s="45">
        <f t="shared" si="57"/>
        <v>119025</v>
      </c>
      <c r="R781" s="45">
        <f t="shared" si="57"/>
        <v>119025</v>
      </c>
      <c r="S781" s="45">
        <f t="shared" si="57"/>
        <v>119025</v>
      </c>
      <c r="T781" s="45">
        <f>42916.63+76108.35</f>
        <v>119024.98000000001</v>
      </c>
      <c r="U781" s="52">
        <f>44166.67+74391.67</f>
        <v>118558.34</v>
      </c>
      <c r="V781" s="21">
        <f>SUM(J781:U781)</f>
        <v>1427833.34</v>
      </c>
    </row>
    <row r="782" spans="3:22" ht="13.5" customHeight="1" thickBot="1">
      <c r="C782" s="6" t="s">
        <v>236</v>
      </c>
      <c r="J782" s="22">
        <f aca="true" t="shared" si="58" ref="J782:U782">SUM(J779:J781)</f>
        <v>121213.75</v>
      </c>
      <c r="K782" s="22">
        <f t="shared" si="58"/>
        <v>120963.75</v>
      </c>
      <c r="L782" s="22">
        <f t="shared" si="58"/>
        <v>120963.75</v>
      </c>
      <c r="M782" s="22">
        <f t="shared" si="58"/>
        <v>120963.75</v>
      </c>
      <c r="N782" s="22">
        <f t="shared" si="58"/>
        <v>120963.77</v>
      </c>
      <c r="O782" s="22">
        <f t="shared" si="58"/>
        <v>120963.75</v>
      </c>
      <c r="P782" s="22">
        <f t="shared" si="58"/>
        <v>120963.75</v>
      </c>
      <c r="Q782" s="22">
        <f t="shared" si="58"/>
        <v>120963.75</v>
      </c>
      <c r="R782" s="22">
        <f t="shared" si="58"/>
        <v>120963.75</v>
      </c>
      <c r="S782" s="22">
        <f t="shared" si="58"/>
        <v>120963.75</v>
      </c>
      <c r="T782" s="22">
        <f t="shared" si="58"/>
        <v>120920.81000000001</v>
      </c>
      <c r="U782" s="30">
        <f t="shared" si="58"/>
        <v>120454.17</v>
      </c>
      <c r="V782" s="22">
        <f>SUM(V779:V781)</f>
        <v>1451262.5</v>
      </c>
    </row>
    <row r="783" ht="13.5" customHeight="1">
      <c r="C783" s="10"/>
    </row>
    <row r="784" spans="2:3" ht="13.5" customHeight="1">
      <c r="B784" s="37" t="s">
        <v>104</v>
      </c>
      <c r="C784" s="25" t="s">
        <v>237</v>
      </c>
    </row>
    <row r="785" ht="13.5" customHeight="1">
      <c r="C785" s="4" t="s">
        <v>3</v>
      </c>
    </row>
    <row r="786" ht="13.5" customHeight="1">
      <c r="C786" s="4" t="s">
        <v>4</v>
      </c>
    </row>
    <row r="787" ht="13.5" customHeight="1" thickBot="1">
      <c r="C787" s="4" t="s">
        <v>5</v>
      </c>
    </row>
    <row r="788" ht="13.5" customHeight="1" thickBot="1">
      <c r="C788" s="6" t="s">
        <v>158</v>
      </c>
    </row>
    <row r="789" ht="13.5" customHeight="1">
      <c r="C789" s="10"/>
    </row>
    <row r="790" spans="1:3" ht="13.5" customHeight="1">
      <c r="A790" s="1">
        <f>A778+1</f>
        <v>31</v>
      </c>
      <c r="B790" s="39"/>
      <c r="C790" s="5" t="s">
        <v>238</v>
      </c>
    </row>
    <row r="791" spans="3:22" ht="13.5" customHeight="1">
      <c r="C791" s="4" t="s">
        <v>3</v>
      </c>
      <c r="J791" s="45">
        <v>435.42</v>
      </c>
      <c r="K791" s="45">
        <v>435.42</v>
      </c>
      <c r="L791" s="45">
        <v>435.42</v>
      </c>
      <c r="M791" s="45">
        <v>435.42</v>
      </c>
      <c r="N791" s="45">
        <v>435.42</v>
      </c>
      <c r="O791" s="45">
        <v>435.42</v>
      </c>
      <c r="P791" s="45">
        <v>435.42</v>
      </c>
      <c r="Q791" s="45">
        <v>435.42</v>
      </c>
      <c r="R791" s="45">
        <v>435.42</v>
      </c>
      <c r="S791" s="45">
        <v>435.42</v>
      </c>
      <c r="T791" s="45">
        <v>415.83</v>
      </c>
      <c r="U791" s="52">
        <v>415.83</v>
      </c>
      <c r="V791" s="21">
        <f>SUM(J791:U791)</f>
        <v>5185.86</v>
      </c>
    </row>
    <row r="792" spans="3:22" ht="13.5" customHeight="1">
      <c r="C792" s="4" t="s">
        <v>4</v>
      </c>
      <c r="J792" s="45">
        <v>250</v>
      </c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52"/>
      <c r="V792" s="21">
        <f>SUM(J792:U792)</f>
        <v>250</v>
      </c>
    </row>
    <row r="793" spans="3:22" ht="13.5" customHeight="1" thickBot="1">
      <c r="C793" s="4" t="s">
        <v>5</v>
      </c>
      <c r="J793" s="45">
        <f>19583.33+17270.83</f>
        <v>36854.16</v>
      </c>
      <c r="K793" s="45">
        <f>19583.33+17270.83</f>
        <v>36854.16</v>
      </c>
      <c r="L793" s="45">
        <f>19583.33+17270.83</f>
        <v>36854.16</v>
      </c>
      <c r="M793" s="45">
        <f>19583.33+17270.83</f>
        <v>36854.16</v>
      </c>
      <c r="N793" s="45">
        <f>19583.37+17270.85</f>
        <v>36854.22</v>
      </c>
      <c r="O793" s="45">
        <f>20416.67+16487.5</f>
        <v>36904.17</v>
      </c>
      <c r="P793" s="45">
        <f aca="true" t="shared" si="59" ref="P793:U793">20416.67+16487.5</f>
        <v>36904.17</v>
      </c>
      <c r="Q793" s="45">
        <f t="shared" si="59"/>
        <v>36904.17</v>
      </c>
      <c r="R793" s="45">
        <f t="shared" si="59"/>
        <v>36904.17</v>
      </c>
      <c r="S793" s="45">
        <f t="shared" si="59"/>
        <v>36904.17</v>
      </c>
      <c r="T793" s="45">
        <f t="shared" si="59"/>
        <v>36904.17</v>
      </c>
      <c r="U793" s="52">
        <f t="shared" si="59"/>
        <v>36904.17</v>
      </c>
      <c r="V793" s="21">
        <f>SUM(J793:U793)</f>
        <v>442600.04999999993</v>
      </c>
    </row>
    <row r="794" spans="3:22" ht="13.5" customHeight="1" thickBot="1">
      <c r="C794" s="6" t="s">
        <v>57</v>
      </c>
      <c r="J794" s="22">
        <f aca="true" t="shared" si="60" ref="J794:U794">SUM(J791:J793)</f>
        <v>37539.58</v>
      </c>
      <c r="K794" s="22">
        <f t="shared" si="60"/>
        <v>37289.58</v>
      </c>
      <c r="L794" s="22">
        <f t="shared" si="60"/>
        <v>37289.58</v>
      </c>
      <c r="M794" s="22">
        <f t="shared" si="60"/>
        <v>37289.58</v>
      </c>
      <c r="N794" s="22">
        <f t="shared" si="60"/>
        <v>37289.64</v>
      </c>
      <c r="O794" s="22">
        <f t="shared" si="60"/>
        <v>37339.59</v>
      </c>
      <c r="P794" s="22">
        <f t="shared" si="60"/>
        <v>37339.59</v>
      </c>
      <c r="Q794" s="22">
        <f t="shared" si="60"/>
        <v>37339.59</v>
      </c>
      <c r="R794" s="22">
        <f t="shared" si="60"/>
        <v>37339.59</v>
      </c>
      <c r="S794" s="22">
        <f t="shared" si="60"/>
        <v>37339.59</v>
      </c>
      <c r="T794" s="22">
        <f t="shared" si="60"/>
        <v>37320</v>
      </c>
      <c r="U794" s="30">
        <f t="shared" si="60"/>
        <v>37320</v>
      </c>
      <c r="V794" s="22">
        <f>SUM(V791:V793)</f>
        <v>448035.9099999999</v>
      </c>
    </row>
    <row r="795" ht="13.5" customHeight="1">
      <c r="C795" s="10"/>
    </row>
    <row r="796" spans="2:3" ht="13.5" customHeight="1">
      <c r="B796" s="37" t="s">
        <v>104</v>
      </c>
      <c r="C796" s="25" t="s">
        <v>239</v>
      </c>
    </row>
    <row r="797" ht="13.5" customHeight="1">
      <c r="C797" s="4" t="s">
        <v>3</v>
      </c>
    </row>
    <row r="798" ht="13.5" customHeight="1">
      <c r="C798" s="4" t="s">
        <v>4</v>
      </c>
    </row>
    <row r="799" ht="13.5" customHeight="1" thickBot="1">
      <c r="C799" s="4" t="s">
        <v>5</v>
      </c>
    </row>
    <row r="800" ht="13.5" customHeight="1" thickBot="1">
      <c r="C800" s="6" t="s">
        <v>240</v>
      </c>
    </row>
    <row r="801" ht="13.5" customHeight="1">
      <c r="C801" s="10"/>
    </row>
    <row r="802" spans="1:3" ht="13.5" customHeight="1">
      <c r="A802" s="1">
        <f>A790+1</f>
        <v>32</v>
      </c>
      <c r="B802" s="39"/>
      <c r="C802" s="5" t="s">
        <v>241</v>
      </c>
    </row>
    <row r="803" spans="3:22" ht="13.5" customHeight="1">
      <c r="C803" s="4" t="s">
        <v>3</v>
      </c>
      <c r="J803" s="21">
        <v>1027.08</v>
      </c>
      <c r="K803" s="21">
        <v>1027.08</v>
      </c>
      <c r="L803" s="21">
        <v>1027.08</v>
      </c>
      <c r="M803" s="21">
        <v>1027.08</v>
      </c>
      <c r="N803" s="21">
        <v>1027.08</v>
      </c>
      <c r="O803" s="21">
        <v>1027.08</v>
      </c>
      <c r="P803" s="21">
        <v>1027.08</v>
      </c>
      <c r="Q803" s="21">
        <v>1027.08</v>
      </c>
      <c r="R803" s="21">
        <v>1027.08</v>
      </c>
      <c r="S803" s="21">
        <v>1027.08</v>
      </c>
      <c r="T803" s="21">
        <v>1027.08</v>
      </c>
      <c r="U803" s="52">
        <v>1005</v>
      </c>
      <c r="V803" s="21">
        <f>SUM(J803:U803)</f>
        <v>12302.88</v>
      </c>
    </row>
    <row r="804" spans="3:22" ht="13.5" customHeight="1">
      <c r="C804" s="4" t="s">
        <v>4</v>
      </c>
      <c r="J804" s="45">
        <v>250</v>
      </c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52"/>
      <c r="V804" s="21">
        <f>SUM(J804:U804)</f>
        <v>250</v>
      </c>
    </row>
    <row r="805" spans="3:22" ht="13.5" customHeight="1" thickBot="1">
      <c r="C805" s="4" t="s">
        <v>5</v>
      </c>
      <c r="J805" s="45">
        <f>22083.37+42573.95</f>
        <v>64657.31999999999</v>
      </c>
      <c r="K805" s="45">
        <f>22916.67+41690.63</f>
        <v>64607.299999999996</v>
      </c>
      <c r="L805" s="45">
        <f aca="true" t="shared" si="61" ref="L805:U805">22916.67+41690.63</f>
        <v>64607.299999999996</v>
      </c>
      <c r="M805" s="45">
        <f t="shared" si="61"/>
        <v>64607.299999999996</v>
      </c>
      <c r="N805" s="45">
        <f t="shared" si="61"/>
        <v>64607.299999999996</v>
      </c>
      <c r="O805" s="45">
        <f t="shared" si="61"/>
        <v>64607.299999999996</v>
      </c>
      <c r="P805" s="45">
        <f>22916.67+41690.6</f>
        <v>64607.27</v>
      </c>
      <c r="Q805" s="45">
        <f t="shared" si="61"/>
        <v>64607.299999999996</v>
      </c>
      <c r="R805" s="45">
        <f t="shared" si="61"/>
        <v>64607.299999999996</v>
      </c>
      <c r="S805" s="45">
        <f t="shared" si="61"/>
        <v>64607.299999999996</v>
      </c>
      <c r="T805" s="45">
        <f t="shared" si="61"/>
        <v>64607.299999999996</v>
      </c>
      <c r="U805" s="52">
        <f t="shared" si="61"/>
        <v>64607.299999999996</v>
      </c>
      <c r="V805" s="21">
        <f>SUM(J805:U805)</f>
        <v>775337.5900000001</v>
      </c>
    </row>
    <row r="806" spans="3:22" ht="13.5" customHeight="1" thickBot="1">
      <c r="C806" s="6" t="s">
        <v>242</v>
      </c>
      <c r="J806" s="22">
        <f aca="true" t="shared" si="62" ref="J806:U806">SUM(J803:J805)</f>
        <v>65934.4</v>
      </c>
      <c r="K806" s="22">
        <f t="shared" si="62"/>
        <v>65634.37999999999</v>
      </c>
      <c r="L806" s="22">
        <f t="shared" si="62"/>
        <v>65634.37999999999</v>
      </c>
      <c r="M806" s="22">
        <f t="shared" si="62"/>
        <v>65634.37999999999</v>
      </c>
      <c r="N806" s="22">
        <f t="shared" si="62"/>
        <v>65634.37999999999</v>
      </c>
      <c r="O806" s="22">
        <f t="shared" si="62"/>
        <v>65634.37999999999</v>
      </c>
      <c r="P806" s="22">
        <f t="shared" si="62"/>
        <v>65634.34999999999</v>
      </c>
      <c r="Q806" s="22">
        <f t="shared" si="62"/>
        <v>65634.37999999999</v>
      </c>
      <c r="R806" s="22">
        <f t="shared" si="62"/>
        <v>65634.37999999999</v>
      </c>
      <c r="S806" s="22">
        <f t="shared" si="62"/>
        <v>65634.37999999999</v>
      </c>
      <c r="T806" s="22">
        <f t="shared" si="62"/>
        <v>65634.37999999999</v>
      </c>
      <c r="U806" s="30">
        <f t="shared" si="62"/>
        <v>65612.29999999999</v>
      </c>
      <c r="V806" s="22">
        <f>SUM(V803:V805)</f>
        <v>787890.4700000001</v>
      </c>
    </row>
    <row r="807" ht="13.5" customHeight="1">
      <c r="C807" s="10"/>
    </row>
    <row r="808" spans="2:3" ht="13.5" customHeight="1">
      <c r="B808" s="37" t="s">
        <v>104</v>
      </c>
      <c r="C808" s="25" t="s">
        <v>243</v>
      </c>
    </row>
    <row r="809" ht="13.5" customHeight="1">
      <c r="C809" s="4" t="s">
        <v>3</v>
      </c>
    </row>
    <row r="810" ht="13.5" customHeight="1">
      <c r="C810" s="4" t="s">
        <v>4</v>
      </c>
    </row>
    <row r="811" ht="13.5" customHeight="1" thickBot="1">
      <c r="C811" s="4" t="s">
        <v>5</v>
      </c>
    </row>
    <row r="812" ht="13.5" customHeight="1" thickBot="1">
      <c r="C812" s="6" t="s">
        <v>244</v>
      </c>
    </row>
    <row r="813" ht="13.5" customHeight="1">
      <c r="C813" s="10"/>
    </row>
    <row r="814" spans="1:3" ht="13.5" customHeight="1">
      <c r="A814" s="1">
        <f>A802+1</f>
        <v>33</v>
      </c>
      <c r="B814" s="39"/>
      <c r="C814" s="5" t="s">
        <v>245</v>
      </c>
    </row>
    <row r="815" spans="3:22" ht="13.5" customHeight="1">
      <c r="C815" s="4" t="s">
        <v>3</v>
      </c>
      <c r="J815" s="21">
        <v>0</v>
      </c>
      <c r="K815" s="21">
        <v>0</v>
      </c>
      <c r="L815" s="21">
        <v>0</v>
      </c>
      <c r="M815" s="21">
        <v>0</v>
      </c>
      <c r="N815" s="21">
        <v>0</v>
      </c>
      <c r="O815" s="21">
        <v>0</v>
      </c>
      <c r="P815" s="21">
        <v>0</v>
      </c>
      <c r="Q815" s="21">
        <v>0</v>
      </c>
      <c r="R815" s="21">
        <v>0</v>
      </c>
      <c r="S815" s="21">
        <v>0</v>
      </c>
      <c r="T815" s="21">
        <v>0</v>
      </c>
      <c r="U815" s="29">
        <v>0</v>
      </c>
      <c r="V815" s="21">
        <f>SUM(J815:U815)</f>
        <v>0</v>
      </c>
    </row>
    <row r="816" spans="3:22" ht="13.5" customHeight="1">
      <c r="C816" s="4" t="s">
        <v>4</v>
      </c>
      <c r="J816" s="45">
        <v>250</v>
      </c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52"/>
      <c r="V816" s="21">
        <f>SUM(J816:U816)</f>
        <v>250</v>
      </c>
    </row>
    <row r="817" spans="3:22" ht="13.5" customHeight="1" thickBot="1">
      <c r="C817" s="4" t="s">
        <v>5</v>
      </c>
      <c r="J817" s="45">
        <v>43479.99</v>
      </c>
      <c r="K817" s="45">
        <v>43479.99</v>
      </c>
      <c r="L817" s="45">
        <v>43479.99</v>
      </c>
      <c r="M817" s="45">
        <v>43479.99</v>
      </c>
      <c r="N817" s="45">
        <v>43479.99</v>
      </c>
      <c r="O817" s="45">
        <v>43479.99</v>
      </c>
      <c r="P817" s="45">
        <v>43479.99</v>
      </c>
      <c r="Q817" s="45">
        <v>43479.99</v>
      </c>
      <c r="R817" s="45">
        <v>43479.99</v>
      </c>
      <c r="S817" s="45">
        <v>43479.99</v>
      </c>
      <c r="T817" s="45">
        <v>43479.99</v>
      </c>
      <c r="U817" s="52">
        <v>43479.99</v>
      </c>
      <c r="V817" s="21">
        <f>SUM(J817:U817)</f>
        <v>521759.87999999995</v>
      </c>
    </row>
    <row r="818" spans="3:22" ht="13.5" customHeight="1" thickBot="1">
      <c r="C818" s="6" t="s">
        <v>137</v>
      </c>
      <c r="J818" s="22">
        <f aca="true" t="shared" si="63" ref="J818:U818">SUM(J815:J817)</f>
        <v>43729.99</v>
      </c>
      <c r="K818" s="22">
        <f t="shared" si="63"/>
        <v>43479.99</v>
      </c>
      <c r="L818" s="22">
        <f t="shared" si="63"/>
        <v>43479.99</v>
      </c>
      <c r="M818" s="22">
        <f t="shared" si="63"/>
        <v>43479.99</v>
      </c>
      <c r="N818" s="22">
        <f t="shared" si="63"/>
        <v>43479.99</v>
      </c>
      <c r="O818" s="22">
        <f t="shared" si="63"/>
        <v>43479.99</v>
      </c>
      <c r="P818" s="22">
        <f t="shared" si="63"/>
        <v>43479.99</v>
      </c>
      <c r="Q818" s="22">
        <f t="shared" si="63"/>
        <v>43479.99</v>
      </c>
      <c r="R818" s="22">
        <f t="shared" si="63"/>
        <v>43479.99</v>
      </c>
      <c r="S818" s="22">
        <f t="shared" si="63"/>
        <v>43479.99</v>
      </c>
      <c r="T818" s="22">
        <f t="shared" si="63"/>
        <v>43479.99</v>
      </c>
      <c r="U818" s="30">
        <f t="shared" si="63"/>
        <v>43479.99</v>
      </c>
      <c r="V818" s="22">
        <f>SUM(V815:V817)</f>
        <v>522009.87999999995</v>
      </c>
    </row>
    <row r="819" ht="13.5" customHeight="1">
      <c r="C819" s="10"/>
    </row>
    <row r="820" spans="2:3" ht="13.5" customHeight="1">
      <c r="B820" s="37" t="s">
        <v>104</v>
      </c>
      <c r="C820" s="25" t="s">
        <v>246</v>
      </c>
    </row>
    <row r="821" spans="3:22" ht="13.5" customHeight="1">
      <c r="C821" s="4" t="s">
        <v>3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/>
      <c r="Q821" s="21"/>
      <c r="R821" s="21"/>
      <c r="S821" s="21"/>
      <c r="T821" s="21"/>
      <c r="U821" s="29"/>
      <c r="V821" s="21">
        <f>SUM(J821:U821)</f>
        <v>0</v>
      </c>
    </row>
    <row r="822" spans="3:22" ht="13.5" customHeight="1">
      <c r="C822" s="4" t="s">
        <v>4</v>
      </c>
      <c r="J822" s="45">
        <v>250</v>
      </c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52"/>
      <c r="V822" s="21">
        <f>SUM(J822:U822)</f>
        <v>250</v>
      </c>
    </row>
    <row r="823" spans="3:22" ht="13.5" customHeight="1" thickBot="1">
      <c r="C823" s="4" t="s">
        <v>5</v>
      </c>
      <c r="J823" s="45">
        <v>39589.17</v>
      </c>
      <c r="K823" s="45">
        <v>39589.17</v>
      </c>
      <c r="L823" s="45">
        <v>39589.17</v>
      </c>
      <c r="M823" s="45">
        <v>39589.17</v>
      </c>
      <c r="N823" s="45">
        <v>39589.15</v>
      </c>
      <c r="O823" s="45">
        <v>39455.71</v>
      </c>
      <c r="P823" s="45"/>
      <c r="Q823" s="45"/>
      <c r="R823" s="45"/>
      <c r="S823" s="45"/>
      <c r="T823" s="45"/>
      <c r="U823" s="52"/>
      <c r="V823" s="21">
        <f>SUM(J823:U823)</f>
        <v>237401.53999999998</v>
      </c>
    </row>
    <row r="824" spans="3:22" ht="13.5" customHeight="1" thickBot="1">
      <c r="C824" s="6" t="s">
        <v>146</v>
      </c>
      <c r="J824" s="22">
        <f aca="true" t="shared" si="64" ref="J824:U824">SUM(J821:J823)</f>
        <v>39839.17</v>
      </c>
      <c r="K824" s="22">
        <f t="shared" si="64"/>
        <v>39589.17</v>
      </c>
      <c r="L824" s="22">
        <f t="shared" si="64"/>
        <v>39589.17</v>
      </c>
      <c r="M824" s="22">
        <f t="shared" si="64"/>
        <v>39589.17</v>
      </c>
      <c r="N824" s="22">
        <f t="shared" si="64"/>
        <v>39589.15</v>
      </c>
      <c r="O824" s="22">
        <f t="shared" si="64"/>
        <v>39455.71</v>
      </c>
      <c r="P824" s="22">
        <f t="shared" si="64"/>
        <v>0</v>
      </c>
      <c r="Q824" s="22">
        <f t="shared" si="64"/>
        <v>0</v>
      </c>
      <c r="R824" s="22">
        <f t="shared" si="64"/>
        <v>0</v>
      </c>
      <c r="S824" s="22">
        <f t="shared" si="64"/>
        <v>0</v>
      </c>
      <c r="T824" s="22">
        <f t="shared" si="64"/>
        <v>0</v>
      </c>
      <c r="U824" s="30">
        <f t="shared" si="64"/>
        <v>0</v>
      </c>
      <c r="V824" s="22">
        <f>SUM(V821:V823)</f>
        <v>237651.53999999998</v>
      </c>
    </row>
    <row r="825" ht="13.5" customHeight="1">
      <c r="C825" s="10"/>
    </row>
    <row r="826" spans="1:3" ht="13.5" customHeight="1">
      <c r="A826" s="1">
        <f>A814+1</f>
        <v>34</v>
      </c>
      <c r="B826" s="39"/>
      <c r="C826" s="5" t="s">
        <v>247</v>
      </c>
    </row>
    <row r="827" spans="3:22" ht="13.5" customHeight="1">
      <c r="C827" s="4" t="s">
        <v>3</v>
      </c>
      <c r="J827" s="45">
        <v>1657.92</v>
      </c>
      <c r="K827" s="45">
        <v>1657.92</v>
      </c>
      <c r="L827" s="45">
        <v>1657.92</v>
      </c>
      <c r="M827" s="45">
        <v>1657.92</v>
      </c>
      <c r="N827" s="45">
        <v>1657.92</v>
      </c>
      <c r="O827" s="45">
        <v>1657.92</v>
      </c>
      <c r="P827" s="45">
        <v>1657.92</v>
      </c>
      <c r="Q827" s="45">
        <v>1657.92</v>
      </c>
      <c r="R827" s="45">
        <v>1657.92</v>
      </c>
      <c r="S827" s="45">
        <v>1657.92</v>
      </c>
      <c r="T827" s="45">
        <v>1657.92</v>
      </c>
      <c r="U827" s="52">
        <v>1657.92</v>
      </c>
      <c r="V827" s="21">
        <f>SUM(J827:U827)</f>
        <v>19895.04</v>
      </c>
    </row>
    <row r="828" spans="3:22" ht="13.5" customHeight="1">
      <c r="C828" s="4" t="s">
        <v>4</v>
      </c>
      <c r="J828" s="45">
        <v>250</v>
      </c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52"/>
      <c r="V828" s="21">
        <f>SUM(J828:U828)</f>
        <v>250</v>
      </c>
    </row>
    <row r="829" spans="3:22" ht="13.5" customHeight="1" thickBot="1">
      <c r="C829" s="4" t="s">
        <v>5</v>
      </c>
      <c r="J829" s="45">
        <f aca="true" t="shared" si="65" ref="J829:S829">37500+65532.29</f>
        <v>103032.29000000001</v>
      </c>
      <c r="K829" s="45">
        <f t="shared" si="65"/>
        <v>103032.29000000001</v>
      </c>
      <c r="L829" s="45">
        <f t="shared" si="65"/>
        <v>103032.29000000001</v>
      </c>
      <c r="M829" s="45">
        <f t="shared" si="65"/>
        <v>103032.29000000001</v>
      </c>
      <c r="N829" s="45">
        <f>37500+65532.3</f>
        <v>103032.3</v>
      </c>
      <c r="O829" s="45">
        <f t="shared" si="65"/>
        <v>103032.29000000001</v>
      </c>
      <c r="P829" s="45">
        <f t="shared" si="65"/>
        <v>103032.29000000001</v>
      </c>
      <c r="Q829" s="45">
        <f t="shared" si="65"/>
        <v>103032.29000000001</v>
      </c>
      <c r="R829" s="45">
        <f t="shared" si="65"/>
        <v>103032.29000000001</v>
      </c>
      <c r="S829" s="45">
        <f t="shared" si="65"/>
        <v>103032.29000000001</v>
      </c>
      <c r="T829" s="45">
        <f>37500+65532.3</f>
        <v>103032.3</v>
      </c>
      <c r="U829" s="52">
        <f>39166.67+64032.29</f>
        <v>103198.95999999999</v>
      </c>
      <c r="V829" s="21">
        <f>SUM(J829:U829)</f>
        <v>1236554.1700000002</v>
      </c>
    </row>
    <row r="830" spans="3:22" ht="13.5" customHeight="1" thickBot="1">
      <c r="C830" s="6" t="s">
        <v>62</v>
      </c>
      <c r="J830" s="22">
        <f aca="true" t="shared" si="66" ref="J830:U830">SUM(J827:J829)</f>
        <v>104940.21</v>
      </c>
      <c r="K830" s="22">
        <f t="shared" si="66"/>
        <v>104690.21</v>
      </c>
      <c r="L830" s="22">
        <f t="shared" si="66"/>
        <v>104690.21</v>
      </c>
      <c r="M830" s="22">
        <f t="shared" si="66"/>
        <v>104690.21</v>
      </c>
      <c r="N830" s="22">
        <f t="shared" si="66"/>
        <v>104690.22</v>
      </c>
      <c r="O830" s="22">
        <f t="shared" si="66"/>
        <v>104690.21</v>
      </c>
      <c r="P830" s="22">
        <f t="shared" si="66"/>
        <v>104690.21</v>
      </c>
      <c r="Q830" s="22">
        <f t="shared" si="66"/>
        <v>104690.21</v>
      </c>
      <c r="R830" s="22">
        <f t="shared" si="66"/>
        <v>104690.21</v>
      </c>
      <c r="S830" s="22">
        <f t="shared" si="66"/>
        <v>104690.21</v>
      </c>
      <c r="T830" s="22">
        <f t="shared" si="66"/>
        <v>104690.22</v>
      </c>
      <c r="U830" s="30">
        <f t="shared" si="66"/>
        <v>104856.87999999999</v>
      </c>
      <c r="V830" s="22">
        <f>SUM(V827:V829)</f>
        <v>1256699.2100000002</v>
      </c>
    </row>
    <row r="831" ht="13.5" customHeight="1">
      <c r="C831" s="10"/>
    </row>
    <row r="832" spans="1:3" ht="13.5" customHeight="1">
      <c r="A832" s="1">
        <f>A826+1</f>
        <v>35</v>
      </c>
      <c r="B832" s="39"/>
      <c r="C832" s="5" t="s">
        <v>251</v>
      </c>
    </row>
    <row r="833" spans="3:22" ht="13.5" customHeight="1">
      <c r="C833" s="4" t="s">
        <v>3</v>
      </c>
      <c r="J833" s="45">
        <v>397.5</v>
      </c>
      <c r="K833" s="45">
        <v>375.83</v>
      </c>
      <c r="L833" s="45">
        <v>375.83</v>
      </c>
      <c r="M833" s="45">
        <v>375.83</v>
      </c>
      <c r="N833" s="45">
        <v>375.83</v>
      </c>
      <c r="O833" s="45">
        <v>375.83</v>
      </c>
      <c r="P833" s="45">
        <v>375.83</v>
      </c>
      <c r="Q833" s="45">
        <v>375.83</v>
      </c>
      <c r="R833" s="45">
        <v>375.83</v>
      </c>
      <c r="S833" s="45">
        <v>375.83</v>
      </c>
      <c r="T833" s="45">
        <v>375.83</v>
      </c>
      <c r="U833" s="52">
        <v>375.83</v>
      </c>
      <c r="V833" s="21">
        <f>SUM(J833:U833)</f>
        <v>4531.629999999999</v>
      </c>
    </row>
    <row r="834" spans="3:22" ht="13.5" customHeight="1">
      <c r="C834" s="4" t="s">
        <v>4</v>
      </c>
      <c r="J834" s="45">
        <v>250</v>
      </c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52"/>
      <c r="V834" s="21">
        <f>SUM(J834:U834)</f>
        <v>250</v>
      </c>
    </row>
    <row r="835" spans="3:22" ht="13.5" customHeight="1" thickBot="1">
      <c r="C835" s="4" t="s">
        <v>5</v>
      </c>
      <c r="J835" s="45">
        <f>22500+13875</f>
        <v>36375</v>
      </c>
      <c r="K835" s="45">
        <f>22500+13875</f>
        <v>36375</v>
      </c>
      <c r="L835" s="45">
        <f>22500+13875</f>
        <v>36375</v>
      </c>
      <c r="M835" s="45">
        <f>22500+13875</f>
        <v>36375</v>
      </c>
      <c r="N835" s="45">
        <f>22500+13875</f>
        <v>36375</v>
      </c>
      <c r="O835" s="45">
        <f>23333.33+12975</f>
        <v>36308.33</v>
      </c>
      <c r="P835" s="45">
        <f aca="true" t="shared" si="67" ref="P835:U835">23333.33+12975</f>
        <v>36308.33</v>
      </c>
      <c r="Q835" s="45">
        <f t="shared" si="67"/>
        <v>36308.33</v>
      </c>
      <c r="R835" s="45">
        <f t="shared" si="67"/>
        <v>36308.33</v>
      </c>
      <c r="S835" s="45">
        <f t="shared" si="67"/>
        <v>36308.33</v>
      </c>
      <c r="T835" s="45">
        <f t="shared" si="67"/>
        <v>36308.33</v>
      </c>
      <c r="U835" s="52">
        <f t="shared" si="67"/>
        <v>36308.33</v>
      </c>
      <c r="V835" s="21">
        <f>SUM(J835:U835)</f>
        <v>436033.3100000001</v>
      </c>
    </row>
    <row r="836" spans="3:22" ht="13.5" customHeight="1" thickBot="1">
      <c r="C836" s="6" t="s">
        <v>16</v>
      </c>
      <c r="J836" s="22">
        <f aca="true" t="shared" si="68" ref="J836:U836">SUM(J833:J835)</f>
        <v>37022.5</v>
      </c>
      <c r="K836" s="22">
        <f t="shared" si="68"/>
        <v>36750.83</v>
      </c>
      <c r="L836" s="22">
        <f t="shared" si="68"/>
        <v>36750.83</v>
      </c>
      <c r="M836" s="22">
        <f t="shared" si="68"/>
        <v>36750.83</v>
      </c>
      <c r="N836" s="22">
        <f t="shared" si="68"/>
        <v>36750.83</v>
      </c>
      <c r="O836" s="22">
        <f t="shared" si="68"/>
        <v>36684.16</v>
      </c>
      <c r="P836" s="22">
        <f t="shared" si="68"/>
        <v>36684.16</v>
      </c>
      <c r="Q836" s="22">
        <f t="shared" si="68"/>
        <v>36684.16</v>
      </c>
      <c r="R836" s="22">
        <f t="shared" si="68"/>
        <v>36684.16</v>
      </c>
      <c r="S836" s="22">
        <f t="shared" si="68"/>
        <v>36684.16</v>
      </c>
      <c r="T836" s="22">
        <f t="shared" si="68"/>
        <v>36684.16</v>
      </c>
      <c r="U836" s="30">
        <f t="shared" si="68"/>
        <v>36684.16</v>
      </c>
      <c r="V836" s="22">
        <f>SUM(V833:V835)</f>
        <v>440814.9400000001</v>
      </c>
    </row>
    <row r="837" ht="13.5" customHeight="1">
      <c r="C837" s="10"/>
    </row>
    <row r="838" spans="1:3" ht="13.5" customHeight="1">
      <c r="A838" s="1">
        <f>A832+1</f>
        <v>36</v>
      </c>
      <c r="B838" s="39"/>
      <c r="C838" s="5" t="s">
        <v>252</v>
      </c>
    </row>
    <row r="839" spans="3:22" ht="13.5" customHeight="1">
      <c r="C839" s="4" t="s">
        <v>3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  <c r="Q839" s="21">
        <v>0</v>
      </c>
      <c r="R839" s="21">
        <v>0</v>
      </c>
      <c r="S839" s="21">
        <v>0</v>
      </c>
      <c r="T839" s="21">
        <v>0</v>
      </c>
      <c r="U839" s="29">
        <v>0</v>
      </c>
      <c r="V839" s="21">
        <f>SUM(J839:U839)</f>
        <v>0</v>
      </c>
    </row>
    <row r="840" spans="3:22" ht="13.5" customHeight="1">
      <c r="C840" s="4" t="s">
        <v>4</v>
      </c>
      <c r="J840" s="45">
        <v>250</v>
      </c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52"/>
      <c r="V840" s="21">
        <f>SUM(J840:U840)</f>
        <v>250</v>
      </c>
    </row>
    <row r="841" spans="3:22" ht="13.5" customHeight="1" thickBot="1">
      <c r="C841" s="4" t="s">
        <v>5</v>
      </c>
      <c r="J841" s="45">
        <f>36666.67+80458.33</f>
        <v>117125</v>
      </c>
      <c r="K841" s="45">
        <f aca="true" t="shared" si="69" ref="K841:T841">36666.67+80458.33</f>
        <v>117125</v>
      </c>
      <c r="L841" s="45">
        <f t="shared" si="69"/>
        <v>117125</v>
      </c>
      <c r="M841" s="45">
        <f t="shared" si="69"/>
        <v>117125</v>
      </c>
      <c r="N841" s="45">
        <f t="shared" si="69"/>
        <v>117125</v>
      </c>
      <c r="O841" s="45">
        <f>36666.67+80458.35</f>
        <v>117125.02</v>
      </c>
      <c r="P841" s="45">
        <f t="shared" si="69"/>
        <v>117125</v>
      </c>
      <c r="Q841" s="45">
        <f t="shared" si="69"/>
        <v>117125</v>
      </c>
      <c r="R841" s="45">
        <f t="shared" si="69"/>
        <v>117125</v>
      </c>
      <c r="S841" s="45">
        <f t="shared" si="69"/>
        <v>117125</v>
      </c>
      <c r="T841" s="45">
        <f t="shared" si="69"/>
        <v>117125</v>
      </c>
      <c r="U841" s="52">
        <f>36666.63+80458.35</f>
        <v>117124.98000000001</v>
      </c>
      <c r="V841" s="21">
        <f>SUM(J841:U841)</f>
        <v>1405500</v>
      </c>
    </row>
    <row r="842" spans="3:22" ht="13.5" customHeight="1" thickBot="1">
      <c r="C842" s="6" t="s">
        <v>253</v>
      </c>
      <c r="J842" s="22">
        <f aca="true" t="shared" si="70" ref="J842:U842">SUM(J839:J841)</f>
        <v>117375</v>
      </c>
      <c r="K842" s="22">
        <f t="shared" si="70"/>
        <v>117125</v>
      </c>
      <c r="L842" s="22">
        <f t="shared" si="70"/>
        <v>117125</v>
      </c>
      <c r="M842" s="22">
        <f t="shared" si="70"/>
        <v>117125</v>
      </c>
      <c r="N842" s="22">
        <f t="shared" si="70"/>
        <v>117125</v>
      </c>
      <c r="O842" s="22">
        <f t="shared" si="70"/>
        <v>117125.02</v>
      </c>
      <c r="P842" s="22">
        <f t="shared" si="70"/>
        <v>117125</v>
      </c>
      <c r="Q842" s="22">
        <f t="shared" si="70"/>
        <v>117125</v>
      </c>
      <c r="R842" s="22">
        <f t="shared" si="70"/>
        <v>117125</v>
      </c>
      <c r="S842" s="22">
        <f t="shared" si="70"/>
        <v>117125</v>
      </c>
      <c r="T842" s="22">
        <f t="shared" si="70"/>
        <v>117125</v>
      </c>
      <c r="U842" s="30">
        <f t="shared" si="70"/>
        <v>117124.98000000001</v>
      </c>
      <c r="V842" s="22">
        <f>SUM(V839:V841)</f>
        <v>1405750</v>
      </c>
    </row>
    <row r="843" ht="13.5" customHeight="1">
      <c r="C843" s="10"/>
    </row>
    <row r="844" spans="2:3" ht="13.5" customHeight="1">
      <c r="B844" s="37" t="s">
        <v>104</v>
      </c>
      <c r="C844" s="25" t="s">
        <v>254</v>
      </c>
    </row>
    <row r="845" ht="13.5" customHeight="1">
      <c r="C845" s="4" t="s">
        <v>3</v>
      </c>
    </row>
    <row r="846" ht="13.5" customHeight="1">
      <c r="C846" s="4" t="s">
        <v>4</v>
      </c>
    </row>
    <row r="847" ht="13.5" customHeight="1" thickBot="1">
      <c r="C847" s="4" t="s">
        <v>5</v>
      </c>
    </row>
    <row r="848" ht="13.5" customHeight="1" thickBot="1">
      <c r="C848" s="6" t="s">
        <v>115</v>
      </c>
    </row>
    <row r="849" ht="13.5" customHeight="1">
      <c r="C849" s="10"/>
    </row>
    <row r="850" spans="2:3" ht="13.5" customHeight="1">
      <c r="B850" s="37" t="s">
        <v>104</v>
      </c>
      <c r="C850" s="25" t="s">
        <v>256</v>
      </c>
    </row>
    <row r="851" ht="13.5" customHeight="1">
      <c r="C851" s="4" t="s">
        <v>3</v>
      </c>
    </row>
    <row r="852" ht="13.5" customHeight="1">
      <c r="C852" s="4" t="s">
        <v>4</v>
      </c>
    </row>
    <row r="853" ht="13.5" customHeight="1" thickBot="1">
      <c r="C853" s="4" t="s">
        <v>5</v>
      </c>
    </row>
    <row r="854" ht="13.5" customHeight="1" thickBot="1">
      <c r="C854" s="6" t="s">
        <v>255</v>
      </c>
    </row>
    <row r="855" ht="13.5" customHeight="1">
      <c r="C855" s="10"/>
    </row>
    <row r="856" spans="2:3" ht="13.5" customHeight="1">
      <c r="B856" s="37" t="s">
        <v>104</v>
      </c>
      <c r="C856" s="25" t="s">
        <v>257</v>
      </c>
    </row>
    <row r="857" spans="3:22" ht="13.5" customHeight="1">
      <c r="C857" s="4" t="s">
        <v>3</v>
      </c>
      <c r="J857" s="21">
        <v>0</v>
      </c>
      <c r="K857" s="21">
        <v>0</v>
      </c>
      <c r="L857" s="21">
        <v>0</v>
      </c>
      <c r="M857" s="21">
        <v>0</v>
      </c>
      <c r="N857" s="21"/>
      <c r="O857" s="21"/>
      <c r="P857" s="21"/>
      <c r="Q857" s="21"/>
      <c r="R857" s="21"/>
      <c r="S857" s="21"/>
      <c r="T857" s="21"/>
      <c r="U857" s="29"/>
      <c r="V857" s="21">
        <f>SUM(J857:U857)</f>
        <v>0</v>
      </c>
    </row>
    <row r="858" spans="3:22" ht="13.5" customHeight="1">
      <c r="C858" s="4" t="s">
        <v>4</v>
      </c>
      <c r="J858" s="45">
        <v>250</v>
      </c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52"/>
      <c r="V858" s="21">
        <f>SUM(J858:U858)</f>
        <v>250</v>
      </c>
    </row>
    <row r="859" spans="3:22" ht="13.5" customHeight="1" thickBot="1">
      <c r="C859" s="4" t="s">
        <v>5</v>
      </c>
      <c r="J859" s="45">
        <v>101809.9</v>
      </c>
      <c r="K859" s="45">
        <v>101809.9</v>
      </c>
      <c r="L859" s="45">
        <v>101881.25</v>
      </c>
      <c r="M859" s="49">
        <f>101881.25-34350</f>
        <v>67531.25</v>
      </c>
      <c r="N859" s="45"/>
      <c r="O859" s="45"/>
      <c r="P859" s="45"/>
      <c r="Q859" s="45"/>
      <c r="R859" s="45"/>
      <c r="S859" s="45"/>
      <c r="T859" s="45"/>
      <c r="U859" s="52"/>
      <c r="V859" s="21">
        <f>SUM(J859:U859)</f>
        <v>373032.3</v>
      </c>
    </row>
    <row r="860" spans="3:22" ht="13.5" customHeight="1" thickBot="1">
      <c r="C860" s="6" t="s">
        <v>88</v>
      </c>
      <c r="J860" s="22">
        <f aca="true" t="shared" si="71" ref="J860:U860">SUM(J857:J859)</f>
        <v>102059.9</v>
      </c>
      <c r="K860" s="22">
        <f t="shared" si="71"/>
        <v>101809.9</v>
      </c>
      <c r="L860" s="22">
        <f t="shared" si="71"/>
        <v>101881.25</v>
      </c>
      <c r="M860" s="22">
        <f t="shared" si="71"/>
        <v>67531.25</v>
      </c>
      <c r="N860" s="22">
        <f t="shared" si="71"/>
        <v>0</v>
      </c>
      <c r="O860" s="22">
        <f t="shared" si="71"/>
        <v>0</v>
      </c>
      <c r="P860" s="22">
        <f t="shared" si="71"/>
        <v>0</v>
      </c>
      <c r="Q860" s="22">
        <f t="shared" si="71"/>
        <v>0</v>
      </c>
      <c r="R860" s="22">
        <f t="shared" si="71"/>
        <v>0</v>
      </c>
      <c r="S860" s="22">
        <f t="shared" si="71"/>
        <v>0</v>
      </c>
      <c r="T860" s="22">
        <f t="shared" si="71"/>
        <v>0</v>
      </c>
      <c r="U860" s="30">
        <f t="shared" si="71"/>
        <v>0</v>
      </c>
      <c r="V860" s="22">
        <f>SUM(V857:V859)</f>
        <v>373282.3</v>
      </c>
    </row>
    <row r="861" ht="13.5" customHeight="1">
      <c r="C861" s="10"/>
    </row>
    <row r="862" spans="2:3" ht="13.5" customHeight="1">
      <c r="B862" s="37" t="s">
        <v>104</v>
      </c>
      <c r="C862" s="25" t="s">
        <v>258</v>
      </c>
    </row>
    <row r="863" spans="3:22" ht="13.5" customHeight="1">
      <c r="C863" s="4" t="s">
        <v>3</v>
      </c>
      <c r="J863" s="21">
        <v>0</v>
      </c>
      <c r="K863" s="21">
        <v>0</v>
      </c>
      <c r="L863" s="21">
        <v>0</v>
      </c>
      <c r="M863" s="21"/>
      <c r="N863" s="21"/>
      <c r="O863" s="21"/>
      <c r="P863" s="21"/>
      <c r="Q863" s="21"/>
      <c r="R863" s="21"/>
      <c r="S863" s="21"/>
      <c r="T863" s="21"/>
      <c r="U863" s="29"/>
      <c r="V863" s="21">
        <f>SUM(J863:U863)</f>
        <v>0</v>
      </c>
    </row>
    <row r="864" spans="3:22" ht="13.5" customHeight="1">
      <c r="C864" s="4" t="s">
        <v>4</v>
      </c>
      <c r="J864" s="45">
        <v>250</v>
      </c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52"/>
      <c r="V864" s="21">
        <f>SUM(J864:U864)</f>
        <v>250</v>
      </c>
    </row>
    <row r="865" spans="3:22" ht="13.5" customHeight="1" thickBot="1">
      <c r="C865" s="4" t="s">
        <v>5</v>
      </c>
      <c r="J865" s="45">
        <v>179597.24</v>
      </c>
      <c r="K865" s="45">
        <v>179597.24</v>
      </c>
      <c r="L865" s="45">
        <v>179597.24</v>
      </c>
      <c r="M865" s="21"/>
      <c r="N865" s="45"/>
      <c r="O865" s="45"/>
      <c r="P865" s="45"/>
      <c r="Q865" s="45"/>
      <c r="R865" s="45"/>
      <c r="S865" s="45"/>
      <c r="T865" s="45"/>
      <c r="U865" s="52"/>
      <c r="V865" s="21">
        <f>SUM(J865:U865)</f>
        <v>538791.72</v>
      </c>
    </row>
    <row r="866" spans="3:22" ht="13.5" customHeight="1" thickBot="1">
      <c r="C866" s="6" t="s">
        <v>64</v>
      </c>
      <c r="J866" s="22">
        <f aca="true" t="shared" si="72" ref="J866:U866">SUM(J863:J865)</f>
        <v>179847.24</v>
      </c>
      <c r="K866" s="22">
        <f t="shared" si="72"/>
        <v>179597.24</v>
      </c>
      <c r="L866" s="22">
        <f t="shared" si="72"/>
        <v>179597.24</v>
      </c>
      <c r="M866" s="22">
        <f t="shared" si="72"/>
        <v>0</v>
      </c>
      <c r="N866" s="22">
        <f t="shared" si="72"/>
        <v>0</v>
      </c>
      <c r="O866" s="22">
        <f t="shared" si="72"/>
        <v>0</v>
      </c>
      <c r="P866" s="22">
        <f t="shared" si="72"/>
        <v>0</v>
      </c>
      <c r="Q866" s="22">
        <f t="shared" si="72"/>
        <v>0</v>
      </c>
      <c r="R866" s="22">
        <f t="shared" si="72"/>
        <v>0</v>
      </c>
      <c r="S866" s="22">
        <f t="shared" si="72"/>
        <v>0</v>
      </c>
      <c r="T866" s="22">
        <f t="shared" si="72"/>
        <v>0</v>
      </c>
      <c r="U866" s="30">
        <f t="shared" si="72"/>
        <v>0</v>
      </c>
      <c r="V866" s="22">
        <f>SUM(V863:V865)</f>
        <v>539041.72</v>
      </c>
    </row>
    <row r="867" ht="13.5" customHeight="1">
      <c r="C867" s="10"/>
    </row>
    <row r="868" spans="2:3" ht="13.5" customHeight="1">
      <c r="B868" s="37" t="s">
        <v>104</v>
      </c>
      <c r="C868" s="25" t="s">
        <v>259</v>
      </c>
    </row>
    <row r="869" ht="13.5" customHeight="1">
      <c r="C869" s="4" t="s">
        <v>3</v>
      </c>
    </row>
    <row r="870" ht="13.5" customHeight="1">
      <c r="C870" s="4" t="s">
        <v>4</v>
      </c>
    </row>
    <row r="871" ht="13.5" customHeight="1" thickBot="1">
      <c r="C871" s="4" t="s">
        <v>5</v>
      </c>
    </row>
    <row r="872" ht="13.5" customHeight="1" thickBot="1">
      <c r="C872" s="6" t="s">
        <v>260</v>
      </c>
    </row>
    <row r="873" ht="13.5" customHeight="1">
      <c r="C873" s="10"/>
    </row>
    <row r="874" spans="2:3" ht="13.5" customHeight="1">
      <c r="B874" s="37" t="s">
        <v>104</v>
      </c>
      <c r="C874" s="25" t="s">
        <v>261</v>
      </c>
    </row>
    <row r="875" ht="13.5" customHeight="1">
      <c r="C875" s="4" t="s">
        <v>3</v>
      </c>
    </row>
    <row r="876" ht="13.5" customHeight="1">
      <c r="C876" s="4" t="s">
        <v>4</v>
      </c>
    </row>
    <row r="877" ht="13.5" customHeight="1" thickBot="1">
      <c r="C877" s="4" t="s">
        <v>5</v>
      </c>
    </row>
    <row r="878" ht="13.5" customHeight="1" thickBot="1">
      <c r="C878" s="6" t="s">
        <v>262</v>
      </c>
    </row>
    <row r="879" ht="13.5" customHeight="1">
      <c r="C879" s="10"/>
    </row>
    <row r="880" spans="1:3" ht="13.5" customHeight="1">
      <c r="A880" s="1">
        <f>A838+1</f>
        <v>37</v>
      </c>
      <c r="B880" s="39"/>
      <c r="C880" s="5" t="s">
        <v>263</v>
      </c>
    </row>
    <row r="881" spans="3:22" ht="13.5" customHeight="1">
      <c r="C881" s="4" t="s">
        <v>3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1">
        <v>0</v>
      </c>
      <c r="P881" s="21">
        <v>0</v>
      </c>
      <c r="Q881" s="21">
        <v>0</v>
      </c>
      <c r="R881" s="21">
        <v>0</v>
      </c>
      <c r="S881" s="21">
        <v>0</v>
      </c>
      <c r="T881" s="21">
        <v>0</v>
      </c>
      <c r="U881" s="29">
        <v>0</v>
      </c>
      <c r="V881" s="21">
        <f>SUM(J881:U881)</f>
        <v>0</v>
      </c>
    </row>
    <row r="882" spans="3:22" ht="13.5" customHeight="1">
      <c r="C882" s="4" t="s">
        <v>4</v>
      </c>
      <c r="J882" s="45">
        <v>250</v>
      </c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52"/>
      <c r="V882" s="21">
        <f>SUM(J882:U882)</f>
        <v>250</v>
      </c>
    </row>
    <row r="883" spans="3:22" ht="13.5" customHeight="1" thickBot="1">
      <c r="C883" s="4" t="s">
        <v>5</v>
      </c>
      <c r="J883" s="45">
        <f>29166.66+32569.27</f>
        <v>61735.93</v>
      </c>
      <c r="K883" s="45">
        <f>29166.66+32569.27</f>
        <v>61735.93</v>
      </c>
      <c r="L883" s="45">
        <f>29166.66+32569.27</f>
        <v>61735.93</v>
      </c>
      <c r="M883" s="45">
        <f>29166.74+32569.28</f>
        <v>61736.020000000004</v>
      </c>
      <c r="N883" s="45">
        <f>30000+31511.98</f>
        <v>61511.979999999996</v>
      </c>
      <c r="O883" s="45">
        <f aca="true" t="shared" si="73" ref="O883:U883">30000+31511.98</f>
        <v>61511.979999999996</v>
      </c>
      <c r="P883" s="45">
        <f t="shared" si="73"/>
        <v>61511.979999999996</v>
      </c>
      <c r="Q883" s="45">
        <f t="shared" si="73"/>
        <v>61511.979999999996</v>
      </c>
      <c r="R883" s="45">
        <f t="shared" si="73"/>
        <v>61511.979999999996</v>
      </c>
      <c r="S883" s="45">
        <f t="shared" si="73"/>
        <v>61511.979999999996</v>
      </c>
      <c r="T883" s="45">
        <f t="shared" si="73"/>
        <v>61511.979999999996</v>
      </c>
      <c r="U883" s="52">
        <f t="shared" si="73"/>
        <v>61511.979999999996</v>
      </c>
      <c r="V883" s="21">
        <f>SUM(J883:U883)</f>
        <v>739039.6499999999</v>
      </c>
    </row>
    <row r="884" spans="3:22" ht="13.5" customHeight="1" thickBot="1">
      <c r="C884" s="6" t="s">
        <v>264</v>
      </c>
      <c r="J884" s="22">
        <f aca="true" t="shared" si="74" ref="J884:U884">SUM(J881:J883)</f>
        <v>61985.93</v>
      </c>
      <c r="K884" s="22">
        <f t="shared" si="74"/>
        <v>61735.93</v>
      </c>
      <c r="L884" s="22">
        <f t="shared" si="74"/>
        <v>61735.93</v>
      </c>
      <c r="M884" s="22">
        <f t="shared" si="74"/>
        <v>61736.020000000004</v>
      </c>
      <c r="N884" s="22">
        <f t="shared" si="74"/>
        <v>61511.979999999996</v>
      </c>
      <c r="O884" s="22">
        <f t="shared" si="74"/>
        <v>61511.979999999996</v>
      </c>
      <c r="P884" s="22">
        <f t="shared" si="74"/>
        <v>61511.979999999996</v>
      </c>
      <c r="Q884" s="22">
        <f t="shared" si="74"/>
        <v>61511.979999999996</v>
      </c>
      <c r="R884" s="22">
        <f t="shared" si="74"/>
        <v>61511.979999999996</v>
      </c>
      <c r="S884" s="22">
        <f t="shared" si="74"/>
        <v>61511.979999999996</v>
      </c>
      <c r="T884" s="22">
        <f t="shared" si="74"/>
        <v>61511.979999999996</v>
      </c>
      <c r="U884" s="30">
        <f t="shared" si="74"/>
        <v>61511.979999999996</v>
      </c>
      <c r="V884" s="22">
        <f>SUM(V881:V883)</f>
        <v>739289.6499999999</v>
      </c>
    </row>
    <row r="885" ht="13.5" customHeight="1">
      <c r="C885" s="10"/>
    </row>
    <row r="886" spans="2:3" ht="13.5" customHeight="1">
      <c r="B886" s="37" t="s">
        <v>104</v>
      </c>
      <c r="C886" s="25" t="s">
        <v>265</v>
      </c>
    </row>
    <row r="887" ht="13.5" customHeight="1">
      <c r="C887" s="4" t="s">
        <v>3</v>
      </c>
    </row>
    <row r="888" ht="13.5" customHeight="1">
      <c r="C888" s="4" t="s">
        <v>4</v>
      </c>
    </row>
    <row r="889" ht="13.5" customHeight="1" thickBot="1">
      <c r="C889" s="4" t="s">
        <v>5</v>
      </c>
    </row>
    <row r="890" ht="13.5" customHeight="1" thickBot="1">
      <c r="C890" s="6" t="s">
        <v>266</v>
      </c>
    </row>
    <row r="891" ht="13.5" customHeight="1">
      <c r="C891" s="10"/>
    </row>
    <row r="892" spans="1:3" ht="13.5" customHeight="1">
      <c r="A892" s="1">
        <f>A880+1</f>
        <v>38</v>
      </c>
      <c r="B892" s="39"/>
      <c r="C892" s="5" t="s">
        <v>267</v>
      </c>
    </row>
    <row r="893" spans="3:22" ht="13.5" customHeight="1">
      <c r="C893" s="4" t="s">
        <v>3</v>
      </c>
      <c r="J893" s="45">
        <v>464.17</v>
      </c>
      <c r="K893" s="45">
        <v>464.17</v>
      </c>
      <c r="L893" s="45">
        <v>464.17</v>
      </c>
      <c r="M893" s="45">
        <v>464.17</v>
      </c>
      <c r="N893" s="45">
        <v>464.17</v>
      </c>
      <c r="O893" s="45">
        <v>464.17</v>
      </c>
      <c r="P893" s="45">
        <v>464.17</v>
      </c>
      <c r="Q893" s="45">
        <v>452.08</v>
      </c>
      <c r="R893" s="45">
        <v>452.08</v>
      </c>
      <c r="S893" s="45">
        <v>452.08</v>
      </c>
      <c r="T893" s="45">
        <v>452.08</v>
      </c>
      <c r="U893" s="52">
        <v>452.08</v>
      </c>
      <c r="V893" s="21">
        <f>SUM(J893:U893)</f>
        <v>5509.59</v>
      </c>
    </row>
    <row r="894" spans="3:22" ht="13.5" customHeight="1">
      <c r="C894" s="4" t="s">
        <v>4</v>
      </c>
      <c r="J894" s="45">
        <v>250</v>
      </c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52"/>
      <c r="V894" s="21">
        <f>SUM(J894:U894)</f>
        <v>250</v>
      </c>
    </row>
    <row r="895" spans="3:22" ht="13.5" customHeight="1" thickBot="1">
      <c r="C895" s="4" t="s">
        <v>5</v>
      </c>
      <c r="J895" s="45">
        <f aca="true" t="shared" si="75" ref="J895:P895">12083.33+19708.33</f>
        <v>31791.660000000003</v>
      </c>
      <c r="K895" s="45">
        <f>12083.33+19708.35</f>
        <v>31791.68</v>
      </c>
      <c r="L895" s="45">
        <f t="shared" si="75"/>
        <v>31791.660000000003</v>
      </c>
      <c r="M895" s="45">
        <f t="shared" si="75"/>
        <v>31791.660000000003</v>
      </c>
      <c r="N895" s="45">
        <f t="shared" si="75"/>
        <v>31791.660000000003</v>
      </c>
      <c r="O895" s="45">
        <f t="shared" si="75"/>
        <v>31791.660000000003</v>
      </c>
      <c r="P895" s="45">
        <f t="shared" si="75"/>
        <v>31791.660000000003</v>
      </c>
      <c r="Q895" s="45">
        <f>12083.37+19708.35</f>
        <v>31791.72</v>
      </c>
      <c r="R895" s="45">
        <f>12500+19225</f>
        <v>31725</v>
      </c>
      <c r="S895" s="45">
        <f>12500+19225</f>
        <v>31725</v>
      </c>
      <c r="T895" s="45">
        <f>12500+19225</f>
        <v>31725</v>
      </c>
      <c r="U895" s="52">
        <f>12500+19225</f>
        <v>31725</v>
      </c>
      <c r="V895" s="21">
        <f>SUM(J895:U895)</f>
        <v>381233.36</v>
      </c>
    </row>
    <row r="896" spans="3:22" ht="13.5" customHeight="1" thickBot="1">
      <c r="C896" s="6" t="s">
        <v>268</v>
      </c>
      <c r="J896" s="22">
        <f aca="true" t="shared" si="76" ref="J896:U896">SUM(J893:J895)</f>
        <v>32505.83</v>
      </c>
      <c r="K896" s="22">
        <f t="shared" si="76"/>
        <v>32255.85</v>
      </c>
      <c r="L896" s="22">
        <f t="shared" si="76"/>
        <v>32255.83</v>
      </c>
      <c r="M896" s="22">
        <f t="shared" si="76"/>
        <v>32255.83</v>
      </c>
      <c r="N896" s="22">
        <f t="shared" si="76"/>
        <v>32255.83</v>
      </c>
      <c r="O896" s="22">
        <f t="shared" si="76"/>
        <v>32255.83</v>
      </c>
      <c r="P896" s="22">
        <f t="shared" si="76"/>
        <v>32255.83</v>
      </c>
      <c r="Q896" s="22">
        <f t="shared" si="76"/>
        <v>32243.800000000003</v>
      </c>
      <c r="R896" s="22">
        <f t="shared" si="76"/>
        <v>32177.08</v>
      </c>
      <c r="S896" s="22">
        <f t="shared" si="76"/>
        <v>32177.08</v>
      </c>
      <c r="T896" s="22">
        <f t="shared" si="76"/>
        <v>32177.08</v>
      </c>
      <c r="U896" s="30">
        <f t="shared" si="76"/>
        <v>32177.08</v>
      </c>
      <c r="V896" s="22">
        <f>SUM(V893:V895)</f>
        <v>386992.95</v>
      </c>
    </row>
    <row r="897" ht="13.5" customHeight="1">
      <c r="C897" s="10"/>
    </row>
    <row r="898" spans="2:3" ht="13.5" customHeight="1">
      <c r="B898" s="37" t="s">
        <v>104</v>
      </c>
      <c r="C898" s="25" t="s">
        <v>269</v>
      </c>
    </row>
    <row r="899" ht="13.5" customHeight="1">
      <c r="C899" s="4" t="s">
        <v>3</v>
      </c>
    </row>
    <row r="900" ht="13.5" customHeight="1">
      <c r="C900" s="4" t="s">
        <v>4</v>
      </c>
    </row>
    <row r="901" ht="13.5" customHeight="1" thickBot="1">
      <c r="C901" s="4" t="s">
        <v>5</v>
      </c>
    </row>
    <row r="902" ht="13.5" customHeight="1" thickBot="1">
      <c r="C902" s="6" t="s">
        <v>270</v>
      </c>
    </row>
    <row r="903" ht="13.5" customHeight="1">
      <c r="C903" s="10"/>
    </row>
    <row r="904" spans="2:3" ht="13.5" customHeight="1">
      <c r="B904" s="37" t="s">
        <v>104</v>
      </c>
      <c r="C904" s="25" t="s">
        <v>271</v>
      </c>
    </row>
    <row r="905" ht="13.5" customHeight="1">
      <c r="C905" s="4" t="s">
        <v>3</v>
      </c>
    </row>
    <row r="906" ht="13.5" customHeight="1">
      <c r="C906" s="4" t="s">
        <v>4</v>
      </c>
    </row>
    <row r="907" ht="13.5" customHeight="1" thickBot="1">
      <c r="C907" s="4" t="s">
        <v>5</v>
      </c>
    </row>
    <row r="908" ht="13.5" customHeight="1" thickBot="1">
      <c r="C908" s="6" t="s">
        <v>182</v>
      </c>
    </row>
    <row r="909" ht="13.5" customHeight="1">
      <c r="C909" s="10"/>
    </row>
    <row r="910" spans="1:3" ht="13.5" customHeight="1">
      <c r="A910" s="1">
        <f>A892+1</f>
        <v>39</v>
      </c>
      <c r="B910" s="39"/>
      <c r="C910" s="5" t="s">
        <v>273</v>
      </c>
    </row>
    <row r="911" spans="3:22" ht="13.5" customHeight="1">
      <c r="C911" s="4" t="s">
        <v>3</v>
      </c>
      <c r="J911" s="45">
        <v>961.67</v>
      </c>
      <c r="K911" s="45">
        <v>961.67</v>
      </c>
      <c r="L911" s="45">
        <v>961.67</v>
      </c>
      <c r="M911" s="45">
        <v>961.67</v>
      </c>
      <c r="N911" s="45">
        <v>961.67</v>
      </c>
      <c r="O911" s="45">
        <v>961.67</v>
      </c>
      <c r="P911" s="45">
        <v>961.67</v>
      </c>
      <c r="Q911" s="45">
        <v>950</v>
      </c>
      <c r="R911" s="45">
        <v>950</v>
      </c>
      <c r="S911" s="45">
        <v>950</v>
      </c>
      <c r="T911" s="45">
        <v>950</v>
      </c>
      <c r="U911" s="52">
        <v>926.25</v>
      </c>
      <c r="V911" s="21">
        <f>SUM(J911:U911)</f>
        <v>11457.939999999999</v>
      </c>
    </row>
    <row r="912" spans="3:22" ht="13.5" customHeight="1">
      <c r="C912" s="4" t="s">
        <v>4</v>
      </c>
      <c r="J912" s="45">
        <v>250</v>
      </c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52"/>
      <c r="V912" s="21">
        <f>SUM(J912:U912)</f>
        <v>250</v>
      </c>
    </row>
    <row r="913" spans="3:22" ht="13.5" customHeight="1" thickBot="1">
      <c r="C913" s="4" t="s">
        <v>5</v>
      </c>
      <c r="J913" s="45">
        <f>35416.67+39221.88</f>
        <v>74638.54999999999</v>
      </c>
      <c r="K913" s="45">
        <f>35416.67+39221.88</f>
        <v>74638.54999999999</v>
      </c>
      <c r="L913" s="45">
        <f>35416.67+39221.88</f>
        <v>74638.54999999999</v>
      </c>
      <c r="M913" s="45">
        <f>35416.63+39221.85</f>
        <v>74638.48</v>
      </c>
      <c r="N913" s="45">
        <f>36250+38220.83</f>
        <v>74470.83</v>
      </c>
      <c r="O913" s="45">
        <f aca="true" t="shared" si="77" ref="O913:U913">36250+38220.83</f>
        <v>74470.83</v>
      </c>
      <c r="P913" s="45">
        <f t="shared" si="77"/>
        <v>74470.83</v>
      </c>
      <c r="Q913" s="45">
        <f t="shared" si="77"/>
        <v>74470.83</v>
      </c>
      <c r="R913" s="45">
        <f t="shared" si="77"/>
        <v>74470.83</v>
      </c>
      <c r="S913" s="45">
        <f>36250+38220.85</f>
        <v>74470.85</v>
      </c>
      <c r="T913" s="45">
        <f t="shared" si="77"/>
        <v>74470.83</v>
      </c>
      <c r="U913" s="52">
        <f t="shared" si="77"/>
        <v>74470.83</v>
      </c>
      <c r="V913" s="21">
        <f>SUM(J913:U913)</f>
        <v>894320.7899999998</v>
      </c>
    </row>
    <row r="914" spans="3:22" ht="13.5" customHeight="1" thickBot="1">
      <c r="C914" s="6" t="s">
        <v>117</v>
      </c>
      <c r="J914" s="22">
        <f aca="true" t="shared" si="78" ref="J914:U914">SUM(J911:J913)</f>
        <v>75850.21999999999</v>
      </c>
      <c r="K914" s="22">
        <f t="shared" si="78"/>
        <v>75600.21999999999</v>
      </c>
      <c r="L914" s="22">
        <f t="shared" si="78"/>
        <v>75600.21999999999</v>
      </c>
      <c r="M914" s="22">
        <f t="shared" si="78"/>
        <v>75600.15</v>
      </c>
      <c r="N914" s="22">
        <f t="shared" si="78"/>
        <v>75432.5</v>
      </c>
      <c r="O914" s="22">
        <f t="shared" si="78"/>
        <v>75432.5</v>
      </c>
      <c r="P914" s="22">
        <f t="shared" si="78"/>
        <v>75432.5</v>
      </c>
      <c r="Q914" s="22">
        <f t="shared" si="78"/>
        <v>75420.83</v>
      </c>
      <c r="R914" s="22">
        <f t="shared" si="78"/>
        <v>75420.83</v>
      </c>
      <c r="S914" s="22">
        <f t="shared" si="78"/>
        <v>75420.85</v>
      </c>
      <c r="T914" s="22">
        <f t="shared" si="78"/>
        <v>75420.83</v>
      </c>
      <c r="U914" s="30">
        <f t="shared" si="78"/>
        <v>75397.08</v>
      </c>
      <c r="V914" s="22">
        <f>SUM(V911:V913)</f>
        <v>906028.7299999997</v>
      </c>
    </row>
    <row r="915" ht="13.5" customHeight="1">
      <c r="C915" s="10"/>
    </row>
    <row r="916" spans="1:11" ht="13.5" customHeight="1">
      <c r="A916" s="1">
        <f>A910+1</f>
        <v>40</v>
      </c>
      <c r="B916" s="39"/>
      <c r="C916" s="5" t="s">
        <v>274</v>
      </c>
      <c r="K916" s="45"/>
    </row>
    <row r="917" spans="3:22" ht="13.5" customHeight="1">
      <c r="C917" s="4" t="s">
        <v>3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  <c r="Q917" s="21">
        <v>0</v>
      </c>
      <c r="R917" s="21">
        <v>0</v>
      </c>
      <c r="S917" s="21">
        <v>0</v>
      </c>
      <c r="T917" s="21">
        <v>0</v>
      </c>
      <c r="U917" s="29">
        <v>0</v>
      </c>
      <c r="V917" s="21">
        <f>SUM(J917:U917)</f>
        <v>0</v>
      </c>
    </row>
    <row r="918" spans="3:22" ht="13.5" customHeight="1">
      <c r="C918" s="4" t="s">
        <v>4</v>
      </c>
      <c r="J918" s="45">
        <v>250</v>
      </c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52"/>
      <c r="V918" s="21">
        <f>SUM(J918:U918)</f>
        <v>250</v>
      </c>
    </row>
    <row r="919" spans="3:22" ht="13.5" customHeight="1" thickBot="1">
      <c r="C919" s="4" t="s">
        <v>5</v>
      </c>
      <c r="J919" s="45">
        <v>55022.92</v>
      </c>
      <c r="K919" s="45">
        <v>55022.92</v>
      </c>
      <c r="L919" s="45">
        <v>55022.92</v>
      </c>
      <c r="M919" s="45">
        <v>55022.92</v>
      </c>
      <c r="N919" s="45">
        <v>55022.92</v>
      </c>
      <c r="O919" s="45">
        <v>55022.92</v>
      </c>
      <c r="P919" s="45">
        <v>55022.92</v>
      </c>
      <c r="Q919" s="45">
        <v>55022.92</v>
      </c>
      <c r="R919" s="45">
        <v>55022.92</v>
      </c>
      <c r="S919" s="45">
        <v>55022.92</v>
      </c>
      <c r="T919" s="45">
        <v>55022.92</v>
      </c>
      <c r="U919" s="52">
        <v>55022.92</v>
      </c>
      <c r="V919" s="21">
        <f>SUM(J919:U919)</f>
        <v>660275.04</v>
      </c>
    </row>
    <row r="920" spans="3:22" ht="13.5" customHeight="1" thickBot="1">
      <c r="C920" s="6" t="s">
        <v>275</v>
      </c>
      <c r="J920" s="22">
        <f aca="true" t="shared" si="79" ref="J920:U920">SUM(J917:J919)</f>
        <v>55272.92</v>
      </c>
      <c r="K920" s="22">
        <f t="shared" si="79"/>
        <v>55022.92</v>
      </c>
      <c r="L920" s="22">
        <f t="shared" si="79"/>
        <v>55022.92</v>
      </c>
      <c r="M920" s="22">
        <f t="shared" si="79"/>
        <v>55022.92</v>
      </c>
      <c r="N920" s="22">
        <f t="shared" si="79"/>
        <v>55022.92</v>
      </c>
      <c r="O920" s="22">
        <f t="shared" si="79"/>
        <v>55022.92</v>
      </c>
      <c r="P920" s="22">
        <f t="shared" si="79"/>
        <v>55022.92</v>
      </c>
      <c r="Q920" s="22">
        <f t="shared" si="79"/>
        <v>55022.92</v>
      </c>
      <c r="R920" s="22">
        <f t="shared" si="79"/>
        <v>55022.92</v>
      </c>
      <c r="S920" s="22">
        <f t="shared" si="79"/>
        <v>55022.92</v>
      </c>
      <c r="T920" s="22">
        <f t="shared" si="79"/>
        <v>55022.92</v>
      </c>
      <c r="U920" s="30">
        <f t="shared" si="79"/>
        <v>55022.92</v>
      </c>
      <c r="V920" s="22">
        <f>SUM(V917:V919)</f>
        <v>660525.04</v>
      </c>
    </row>
    <row r="921" ht="13.5" customHeight="1">
      <c r="C921" s="10"/>
    </row>
    <row r="922" spans="2:3" ht="13.5" customHeight="1">
      <c r="B922" s="37" t="s">
        <v>104</v>
      </c>
      <c r="C922" s="25" t="s">
        <v>276</v>
      </c>
    </row>
    <row r="923" ht="13.5" customHeight="1">
      <c r="C923" s="4" t="s">
        <v>3</v>
      </c>
    </row>
    <row r="924" ht="13.5" customHeight="1">
      <c r="C924" s="4" t="s">
        <v>4</v>
      </c>
    </row>
    <row r="925" ht="13.5" customHeight="1" thickBot="1">
      <c r="C925" s="4" t="s">
        <v>5</v>
      </c>
    </row>
    <row r="926" ht="13.5" customHeight="1" thickBot="1">
      <c r="C926" s="6" t="s">
        <v>88</v>
      </c>
    </row>
    <row r="927" ht="13.5" customHeight="1">
      <c r="C927" s="10"/>
    </row>
    <row r="928" spans="2:3" ht="13.5" customHeight="1">
      <c r="B928" s="37" t="s">
        <v>104</v>
      </c>
      <c r="C928" s="25" t="s">
        <v>277</v>
      </c>
    </row>
    <row r="929" ht="13.5" customHeight="1">
      <c r="C929" s="4" t="s">
        <v>3</v>
      </c>
    </row>
    <row r="930" ht="13.5" customHeight="1">
      <c r="C930" s="4" t="s">
        <v>4</v>
      </c>
    </row>
    <row r="931" ht="13.5" customHeight="1" thickBot="1">
      <c r="C931" s="4" t="s">
        <v>5</v>
      </c>
    </row>
    <row r="932" ht="13.5" customHeight="1" thickBot="1">
      <c r="C932" s="6" t="s">
        <v>278</v>
      </c>
    </row>
    <row r="933" ht="13.5" customHeight="1">
      <c r="C933" s="10"/>
    </row>
    <row r="934" spans="1:3" ht="13.5" customHeight="1">
      <c r="A934" s="1">
        <f>A916+1</f>
        <v>41</v>
      </c>
      <c r="B934" s="39"/>
      <c r="C934" s="5" t="s">
        <v>279</v>
      </c>
    </row>
    <row r="935" spans="3:22" ht="13.5" customHeight="1">
      <c r="C935" s="4" t="s">
        <v>3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  <c r="Q935" s="21">
        <v>0</v>
      </c>
      <c r="R935" s="21">
        <v>0</v>
      </c>
      <c r="S935" s="21">
        <v>0</v>
      </c>
      <c r="T935" s="21">
        <v>0</v>
      </c>
      <c r="U935" s="29">
        <v>0</v>
      </c>
      <c r="V935" s="21">
        <f>SUM(J935:U935)</f>
        <v>0</v>
      </c>
    </row>
    <row r="936" spans="3:22" ht="13.5" customHeight="1">
      <c r="C936" s="4" t="s">
        <v>4</v>
      </c>
      <c r="J936" s="45">
        <v>250</v>
      </c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52"/>
      <c r="V936" s="21">
        <f>SUM(J936:U936)</f>
        <v>250</v>
      </c>
    </row>
    <row r="937" spans="3:22" ht="13.5" customHeight="1" thickBot="1">
      <c r="C937" s="4" t="s">
        <v>5</v>
      </c>
      <c r="J937" s="45">
        <f>14100.66+15444.12</f>
        <v>29544.78</v>
      </c>
      <c r="K937" s="45">
        <f>14100.66+15401.87</f>
        <v>29502.53</v>
      </c>
      <c r="L937" s="45">
        <f>14100.66+14864.14</f>
        <v>28964.8</v>
      </c>
      <c r="M937" s="45">
        <f>14100.66+15317.36</f>
        <v>29418.02</v>
      </c>
      <c r="N937" s="45">
        <f>14100.66+14782.36</f>
        <v>28883.02</v>
      </c>
      <c r="O937" s="45">
        <f>14100.66+15232.85</f>
        <v>29333.510000000002</v>
      </c>
      <c r="P937" s="45">
        <f>14100.66+15190.59</f>
        <v>29291.25</v>
      </c>
      <c r="Q937" s="45">
        <f>14100.66+13682.37</f>
        <v>27783.03</v>
      </c>
      <c r="R937" s="45">
        <f>14100.66+15106.08</f>
        <v>29206.739999999998</v>
      </c>
      <c r="S937" s="45">
        <f>14100.66+14577.9</f>
        <v>28678.559999999998</v>
      </c>
      <c r="T937" s="45">
        <f>14100.72+15021.57</f>
        <v>29122.29</v>
      </c>
      <c r="U937" s="52">
        <f>14606.34+14496.11</f>
        <v>29102.45</v>
      </c>
      <c r="V937" s="21">
        <f>SUM(J937:U937)</f>
        <v>348830.98</v>
      </c>
    </row>
    <row r="938" spans="3:22" ht="13.5" customHeight="1" thickBot="1">
      <c r="C938" s="6" t="s">
        <v>18</v>
      </c>
      <c r="J938" s="22">
        <f aca="true" t="shared" si="80" ref="J938:U938">SUM(J935:J937)</f>
        <v>29794.78</v>
      </c>
      <c r="K938" s="22">
        <f t="shared" si="80"/>
        <v>29502.53</v>
      </c>
      <c r="L938" s="22">
        <f t="shared" si="80"/>
        <v>28964.8</v>
      </c>
      <c r="M938" s="22">
        <f t="shared" si="80"/>
        <v>29418.02</v>
      </c>
      <c r="N938" s="22">
        <f t="shared" si="80"/>
        <v>28883.02</v>
      </c>
      <c r="O938" s="22">
        <f t="shared" si="80"/>
        <v>29333.510000000002</v>
      </c>
      <c r="P938" s="22">
        <f t="shared" si="80"/>
        <v>29291.25</v>
      </c>
      <c r="Q938" s="22">
        <f t="shared" si="80"/>
        <v>27783.03</v>
      </c>
      <c r="R938" s="22">
        <f t="shared" si="80"/>
        <v>29206.739999999998</v>
      </c>
      <c r="S938" s="22">
        <f t="shared" si="80"/>
        <v>28678.559999999998</v>
      </c>
      <c r="T938" s="22">
        <f t="shared" si="80"/>
        <v>29122.29</v>
      </c>
      <c r="U938" s="30">
        <f t="shared" si="80"/>
        <v>29102.45</v>
      </c>
      <c r="V938" s="22">
        <f>SUM(V935:V937)</f>
        <v>349080.98</v>
      </c>
    </row>
    <row r="939" ht="13.5" customHeight="1">
      <c r="C939" s="10"/>
    </row>
    <row r="940" spans="1:3" ht="13.5" customHeight="1">
      <c r="A940" s="1">
        <f>A934+1</f>
        <v>42</v>
      </c>
      <c r="B940" s="39"/>
      <c r="C940" s="5" t="s">
        <v>280</v>
      </c>
    </row>
    <row r="941" spans="3:22" ht="13.5" customHeight="1">
      <c r="C941" s="4" t="s">
        <v>3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21">
        <v>0</v>
      </c>
      <c r="S941" s="21">
        <v>0</v>
      </c>
      <c r="T941" s="21">
        <v>0</v>
      </c>
      <c r="U941" s="29">
        <v>0</v>
      </c>
      <c r="V941" s="21">
        <f>SUM(J941:U941)</f>
        <v>0</v>
      </c>
    </row>
    <row r="942" spans="3:22" ht="13.5" customHeight="1">
      <c r="C942" s="4" t="s">
        <v>4</v>
      </c>
      <c r="J942" s="45">
        <v>250</v>
      </c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52"/>
      <c r="V942" s="21">
        <f>SUM(J942:U942)</f>
        <v>250</v>
      </c>
    </row>
    <row r="943" spans="3:22" ht="13.5" customHeight="1" thickBot="1">
      <c r="C943" s="4" t="s">
        <v>5</v>
      </c>
      <c r="J943" s="45">
        <v>42453.12</v>
      </c>
      <c r="K943" s="45">
        <v>42453.12</v>
      </c>
      <c r="L943" s="45">
        <v>42453.12</v>
      </c>
      <c r="M943" s="45">
        <v>42453.12</v>
      </c>
      <c r="N943" s="45">
        <v>42453.12</v>
      </c>
      <c r="O943" s="45">
        <v>42453.15</v>
      </c>
      <c r="P943" s="45">
        <v>42453.12</v>
      </c>
      <c r="Q943" s="45">
        <v>42453.12</v>
      </c>
      <c r="R943" s="45">
        <v>42453.12</v>
      </c>
      <c r="S943" s="45">
        <v>42453.12</v>
      </c>
      <c r="T943" s="45">
        <v>42453.12</v>
      </c>
      <c r="U943" s="52">
        <v>42453.15</v>
      </c>
      <c r="V943" s="21">
        <f>SUM(J943:U943)</f>
        <v>509437.5</v>
      </c>
    </row>
    <row r="944" spans="3:22" ht="13.5" customHeight="1" thickBot="1">
      <c r="C944" s="6" t="s">
        <v>281</v>
      </c>
      <c r="J944" s="22">
        <f aca="true" t="shared" si="81" ref="J944:U944">SUM(J941:J943)</f>
        <v>42703.12</v>
      </c>
      <c r="K944" s="22">
        <f t="shared" si="81"/>
        <v>42453.12</v>
      </c>
      <c r="L944" s="22">
        <f t="shared" si="81"/>
        <v>42453.12</v>
      </c>
      <c r="M944" s="22">
        <f t="shared" si="81"/>
        <v>42453.12</v>
      </c>
      <c r="N944" s="22">
        <f t="shared" si="81"/>
        <v>42453.12</v>
      </c>
      <c r="O944" s="22">
        <f t="shared" si="81"/>
        <v>42453.15</v>
      </c>
      <c r="P944" s="22">
        <f t="shared" si="81"/>
        <v>42453.12</v>
      </c>
      <c r="Q944" s="22">
        <f t="shared" si="81"/>
        <v>42453.12</v>
      </c>
      <c r="R944" s="22">
        <f t="shared" si="81"/>
        <v>42453.12</v>
      </c>
      <c r="S944" s="22">
        <f t="shared" si="81"/>
        <v>42453.12</v>
      </c>
      <c r="T944" s="22">
        <f t="shared" si="81"/>
        <v>42453.12</v>
      </c>
      <c r="U944" s="30">
        <f t="shared" si="81"/>
        <v>42453.15</v>
      </c>
      <c r="V944" s="22">
        <f>SUM(V941:V943)</f>
        <v>509687.5</v>
      </c>
    </row>
    <row r="945" ht="13.5" customHeight="1">
      <c r="C945" s="10"/>
    </row>
    <row r="946" spans="1:3" ht="13.5" customHeight="1">
      <c r="A946" s="1">
        <f>A940+1</f>
        <v>43</v>
      </c>
      <c r="B946" s="39"/>
      <c r="C946" s="5" t="s">
        <v>282</v>
      </c>
    </row>
    <row r="947" spans="3:22" ht="13.5" customHeight="1">
      <c r="C947" s="4" t="s">
        <v>3</v>
      </c>
      <c r="J947" s="21">
        <v>0</v>
      </c>
      <c r="K947" s="21">
        <v>0</v>
      </c>
      <c r="L947" s="21">
        <v>0</v>
      </c>
      <c r="M947" s="21">
        <v>0</v>
      </c>
      <c r="N947" s="21">
        <v>0</v>
      </c>
      <c r="O947" s="21">
        <v>0</v>
      </c>
      <c r="P947" s="21">
        <v>0</v>
      </c>
      <c r="Q947" s="21">
        <v>0</v>
      </c>
      <c r="R947" s="21">
        <v>0</v>
      </c>
      <c r="S947" s="21">
        <v>0</v>
      </c>
      <c r="T947" s="21">
        <v>0</v>
      </c>
      <c r="U947" s="29">
        <v>0</v>
      </c>
      <c r="V947" s="21">
        <f>SUM(J947:U947)</f>
        <v>0</v>
      </c>
    </row>
    <row r="948" spans="3:22" ht="13.5" customHeight="1">
      <c r="C948" s="4" t="s">
        <v>4</v>
      </c>
      <c r="J948" s="45">
        <v>250</v>
      </c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52"/>
      <c r="V948" s="21">
        <f>SUM(J948:U948)</f>
        <v>250</v>
      </c>
    </row>
    <row r="949" spans="3:22" ht="13.5" customHeight="1" thickBot="1">
      <c r="C949" s="4" t="s">
        <v>5</v>
      </c>
      <c r="J949" s="21">
        <f>25000+104765.11</f>
        <v>129765.11</v>
      </c>
      <c r="K949" s="21">
        <f>25000+104765.11</f>
        <v>129765.11</v>
      </c>
      <c r="L949" s="21">
        <f>25000+104765.11</f>
        <v>129765.11</v>
      </c>
      <c r="M949" s="45">
        <f>26250+103608.86</f>
        <v>129858.86</v>
      </c>
      <c r="N949" s="45">
        <f>26250+103608.86</f>
        <v>129858.86</v>
      </c>
      <c r="O949" s="45">
        <f aca="true" t="shared" si="82" ref="O949:U949">26250+103608.86</f>
        <v>129858.86</v>
      </c>
      <c r="P949" s="45">
        <f t="shared" si="82"/>
        <v>129858.86</v>
      </c>
      <c r="Q949" s="45">
        <f t="shared" si="82"/>
        <v>129858.86</v>
      </c>
      <c r="R949" s="45">
        <f t="shared" si="82"/>
        <v>129858.86</v>
      </c>
      <c r="S949" s="45">
        <f t="shared" si="82"/>
        <v>129858.86</v>
      </c>
      <c r="T949" s="45">
        <f t="shared" si="82"/>
        <v>129858.86</v>
      </c>
      <c r="U949" s="52">
        <f t="shared" si="82"/>
        <v>129858.86</v>
      </c>
      <c r="V949" s="21">
        <f>SUM(J949:U949)</f>
        <v>1558025.0700000003</v>
      </c>
    </row>
    <row r="950" spans="3:22" ht="13.5" customHeight="1" thickBot="1">
      <c r="C950" s="6" t="s">
        <v>270</v>
      </c>
      <c r="J950" s="22">
        <f aca="true" t="shared" si="83" ref="J950:U950">SUM(J947:J949)</f>
        <v>130015.11</v>
      </c>
      <c r="K950" s="22">
        <f t="shared" si="83"/>
        <v>129765.11</v>
      </c>
      <c r="L950" s="22">
        <f t="shared" si="83"/>
        <v>129765.11</v>
      </c>
      <c r="M950" s="22">
        <f t="shared" si="83"/>
        <v>129858.86</v>
      </c>
      <c r="N950" s="22">
        <f t="shared" si="83"/>
        <v>129858.86</v>
      </c>
      <c r="O950" s="22">
        <f t="shared" si="83"/>
        <v>129858.86</v>
      </c>
      <c r="P950" s="22">
        <f t="shared" si="83"/>
        <v>129858.86</v>
      </c>
      <c r="Q950" s="22">
        <f t="shared" si="83"/>
        <v>129858.86</v>
      </c>
      <c r="R950" s="22">
        <f t="shared" si="83"/>
        <v>129858.86</v>
      </c>
      <c r="S950" s="22">
        <f t="shared" si="83"/>
        <v>129858.86</v>
      </c>
      <c r="T950" s="22">
        <f t="shared" si="83"/>
        <v>129858.86</v>
      </c>
      <c r="U950" s="30">
        <f t="shared" si="83"/>
        <v>129858.86</v>
      </c>
      <c r="V950" s="22">
        <f>SUM(V947:V949)</f>
        <v>1558275.0700000003</v>
      </c>
    </row>
    <row r="951" ht="13.5" customHeight="1">
      <c r="C951" s="10"/>
    </row>
    <row r="952" spans="1:3" ht="13.5" customHeight="1">
      <c r="A952" s="1">
        <f>A946+1</f>
        <v>44</v>
      </c>
      <c r="B952" s="39"/>
      <c r="C952" s="5" t="s">
        <v>283</v>
      </c>
    </row>
    <row r="953" spans="3:22" ht="13.5" customHeight="1">
      <c r="C953" s="4" t="s">
        <v>3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  <c r="Q953" s="21">
        <v>0</v>
      </c>
      <c r="R953" s="21">
        <v>0</v>
      </c>
      <c r="S953" s="21">
        <v>0</v>
      </c>
      <c r="T953" s="21">
        <v>0</v>
      </c>
      <c r="U953" s="29">
        <v>0</v>
      </c>
      <c r="V953" s="21">
        <f>SUM(J953:U953)</f>
        <v>0</v>
      </c>
    </row>
    <row r="954" spans="3:22" ht="13.5" customHeight="1">
      <c r="C954" s="4" t="s">
        <v>4</v>
      </c>
      <c r="J954" s="45">
        <v>250</v>
      </c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52"/>
      <c r="V954" s="21">
        <f>SUM(J954:U954)</f>
        <v>250</v>
      </c>
    </row>
    <row r="955" spans="3:22" ht="13.5" customHeight="1" thickBot="1">
      <c r="C955" s="4" t="s">
        <v>5</v>
      </c>
      <c r="J955" s="45">
        <v>19770.04</v>
      </c>
      <c r="K955" s="45">
        <v>19770.04</v>
      </c>
      <c r="L955" s="45">
        <v>19770.04</v>
      </c>
      <c r="M955" s="45">
        <v>19770.04</v>
      </c>
      <c r="N955" s="45">
        <v>19770.04</v>
      </c>
      <c r="O955" s="45">
        <v>19770.04</v>
      </c>
      <c r="P955" s="45">
        <v>19770.04</v>
      </c>
      <c r="Q955" s="45">
        <v>19770.04</v>
      </c>
      <c r="R955" s="45">
        <v>19770.04</v>
      </c>
      <c r="S955" s="45">
        <v>19770.04</v>
      </c>
      <c r="T955" s="45">
        <v>19770.04</v>
      </c>
      <c r="U955" s="52">
        <v>19770.04</v>
      </c>
      <c r="V955" s="21">
        <f>SUM(J955:U955)</f>
        <v>237240.48000000007</v>
      </c>
    </row>
    <row r="956" spans="3:22" ht="13.5" customHeight="1" thickBot="1">
      <c r="C956" s="6" t="s">
        <v>70</v>
      </c>
      <c r="J956" s="22">
        <f aca="true" t="shared" si="84" ref="J956:U956">SUM(J953:J955)</f>
        <v>20020.04</v>
      </c>
      <c r="K956" s="22">
        <f t="shared" si="84"/>
        <v>19770.04</v>
      </c>
      <c r="L956" s="22">
        <f t="shared" si="84"/>
        <v>19770.04</v>
      </c>
      <c r="M956" s="22">
        <f t="shared" si="84"/>
        <v>19770.04</v>
      </c>
      <c r="N956" s="22">
        <f t="shared" si="84"/>
        <v>19770.04</v>
      </c>
      <c r="O956" s="22">
        <f t="shared" si="84"/>
        <v>19770.04</v>
      </c>
      <c r="P956" s="22">
        <f t="shared" si="84"/>
        <v>19770.04</v>
      </c>
      <c r="Q956" s="22">
        <f t="shared" si="84"/>
        <v>19770.04</v>
      </c>
      <c r="R956" s="22">
        <f t="shared" si="84"/>
        <v>19770.04</v>
      </c>
      <c r="S956" s="22">
        <f t="shared" si="84"/>
        <v>19770.04</v>
      </c>
      <c r="T956" s="22">
        <f t="shared" si="84"/>
        <v>19770.04</v>
      </c>
      <c r="U956" s="30">
        <f t="shared" si="84"/>
        <v>19770.04</v>
      </c>
      <c r="V956" s="22">
        <f>SUM(V953:V955)</f>
        <v>237490.48000000007</v>
      </c>
    </row>
    <row r="957" ht="13.5" customHeight="1">
      <c r="C957" s="10"/>
    </row>
    <row r="958" spans="1:3" ht="13.5" customHeight="1">
      <c r="A958" s="1">
        <f>A952+1</f>
        <v>45</v>
      </c>
      <c r="B958" s="39"/>
      <c r="C958" s="5" t="s">
        <v>284</v>
      </c>
    </row>
    <row r="959" spans="3:22" ht="13.5" customHeight="1">
      <c r="C959" s="4" t="s">
        <v>3</v>
      </c>
      <c r="J959" s="21">
        <v>1508.75</v>
      </c>
      <c r="K959" s="21">
        <v>1508.75</v>
      </c>
      <c r="L959" s="21">
        <v>1508.75</v>
      </c>
      <c r="M959" s="21">
        <v>1508.75</v>
      </c>
      <c r="N959" s="21">
        <v>1508.75</v>
      </c>
      <c r="O959" s="21">
        <v>1508.75</v>
      </c>
      <c r="P959" s="21">
        <v>1508.75</v>
      </c>
      <c r="Q959" s="21">
        <v>1508.75</v>
      </c>
      <c r="R959" s="45">
        <v>1487.5</v>
      </c>
      <c r="S959" s="45">
        <v>1487.5</v>
      </c>
      <c r="T959" s="45">
        <v>1487.5</v>
      </c>
      <c r="U959" s="52">
        <v>1487.5</v>
      </c>
      <c r="V959" s="21">
        <f>SUM(J959:U959)</f>
        <v>18020</v>
      </c>
    </row>
    <row r="960" spans="3:22" ht="13.5" customHeight="1">
      <c r="C960" s="4" t="s">
        <v>4</v>
      </c>
      <c r="J960" s="45">
        <v>250</v>
      </c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52"/>
      <c r="V960" s="21">
        <f>SUM(J960:U960)</f>
        <v>250</v>
      </c>
    </row>
    <row r="961" spans="3:22" ht="13.5" customHeight="1" thickBot="1">
      <c r="C961" s="4" t="s">
        <v>5</v>
      </c>
      <c r="J961" s="45">
        <v>95020.83</v>
      </c>
      <c r="K961" s="45">
        <v>95020.83</v>
      </c>
      <c r="L961" s="45">
        <v>95020.83</v>
      </c>
      <c r="M961" s="45">
        <v>95020.83</v>
      </c>
      <c r="N961" s="45">
        <v>95020.83</v>
      </c>
      <c r="O961" s="45">
        <v>95020.83</v>
      </c>
      <c r="P961" s="45">
        <v>95020.83</v>
      </c>
      <c r="Q961" s="45">
        <v>95020.83</v>
      </c>
      <c r="R961" s="45">
        <v>95020.83</v>
      </c>
      <c r="S961" s="45">
        <v>95004.16</v>
      </c>
      <c r="T961" s="45">
        <v>95004.16</v>
      </c>
      <c r="U961" s="52">
        <v>95004.16</v>
      </c>
      <c r="V961" s="21">
        <f>SUM(J961:U961)</f>
        <v>1140199.95</v>
      </c>
    </row>
    <row r="962" spans="3:22" ht="13.5" customHeight="1" thickBot="1">
      <c r="C962" s="6" t="s">
        <v>285</v>
      </c>
      <c r="J962" s="22">
        <f aca="true" t="shared" si="85" ref="J962:U962">SUM(J959:J961)</f>
        <v>96779.58</v>
      </c>
      <c r="K962" s="22">
        <f t="shared" si="85"/>
        <v>96529.58</v>
      </c>
      <c r="L962" s="22">
        <f t="shared" si="85"/>
        <v>96529.58</v>
      </c>
      <c r="M962" s="22">
        <f t="shared" si="85"/>
        <v>96529.58</v>
      </c>
      <c r="N962" s="22">
        <f t="shared" si="85"/>
        <v>96529.58</v>
      </c>
      <c r="O962" s="22">
        <f t="shared" si="85"/>
        <v>96529.58</v>
      </c>
      <c r="P962" s="22">
        <f t="shared" si="85"/>
        <v>96529.58</v>
      </c>
      <c r="Q962" s="22">
        <f t="shared" si="85"/>
        <v>96529.58</v>
      </c>
      <c r="R962" s="22">
        <f t="shared" si="85"/>
        <v>96508.33</v>
      </c>
      <c r="S962" s="22">
        <f t="shared" si="85"/>
        <v>96491.66</v>
      </c>
      <c r="T962" s="22">
        <f t="shared" si="85"/>
        <v>96491.66</v>
      </c>
      <c r="U962" s="30">
        <f t="shared" si="85"/>
        <v>96491.66</v>
      </c>
      <c r="V962" s="22">
        <f>SUM(V959:V961)</f>
        <v>1158469.95</v>
      </c>
    </row>
    <row r="963" ht="13.5" customHeight="1">
      <c r="C963" s="10"/>
    </row>
    <row r="964" spans="1:3" ht="13.5" customHeight="1">
      <c r="A964" s="1">
        <f>A958+1</f>
        <v>46</v>
      </c>
      <c r="B964" s="39"/>
      <c r="C964" s="5" t="s">
        <v>286</v>
      </c>
    </row>
    <row r="965" spans="3:22" ht="13.5" customHeight="1">
      <c r="C965" s="4" t="s">
        <v>3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  <c r="Q965" s="21">
        <v>0</v>
      </c>
      <c r="R965" s="21">
        <v>0</v>
      </c>
      <c r="S965" s="21">
        <v>0</v>
      </c>
      <c r="T965" s="21">
        <v>0</v>
      </c>
      <c r="U965" s="29">
        <v>0</v>
      </c>
      <c r="V965" s="21">
        <f>SUM(J965:U965)</f>
        <v>0</v>
      </c>
    </row>
    <row r="966" spans="3:22" ht="13.5" customHeight="1">
      <c r="C966" s="4" t="s">
        <v>4</v>
      </c>
      <c r="J966" s="45">
        <v>250</v>
      </c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52"/>
      <c r="V966" s="21">
        <f>SUM(J966:U966)</f>
        <v>250</v>
      </c>
    </row>
    <row r="967" spans="3:22" ht="13.5" customHeight="1" thickBot="1">
      <c r="C967" s="4" t="s">
        <v>5</v>
      </c>
      <c r="J967" s="45">
        <v>51481.87</v>
      </c>
      <c r="K967" s="45">
        <v>51407.57</v>
      </c>
      <c r="L967" s="45">
        <v>51333.28</v>
      </c>
      <c r="M967" s="45">
        <v>51258.99</v>
      </c>
      <c r="N967" s="45">
        <v>51184.7</v>
      </c>
      <c r="O967" s="45">
        <v>51110.4</v>
      </c>
      <c r="P967" s="45">
        <v>51036.11</v>
      </c>
      <c r="Q967" s="45">
        <v>50961.82</v>
      </c>
      <c r="R967" s="45">
        <v>50890.53</v>
      </c>
      <c r="S967" s="45">
        <v>51722.23</v>
      </c>
      <c r="T967" s="45">
        <v>51644.8</v>
      </c>
      <c r="U967" s="52">
        <v>51567.37</v>
      </c>
      <c r="V967" s="21">
        <f>SUM(J967:U967)</f>
        <v>615599.67</v>
      </c>
    </row>
    <row r="968" spans="3:22" ht="13.5" customHeight="1" thickBot="1">
      <c r="C968" s="6" t="s">
        <v>287</v>
      </c>
      <c r="J968" s="22">
        <f aca="true" t="shared" si="86" ref="J968:U968">SUM(J965:J967)</f>
        <v>51731.87</v>
      </c>
      <c r="K968" s="22">
        <f t="shared" si="86"/>
        <v>51407.57</v>
      </c>
      <c r="L968" s="22">
        <f t="shared" si="86"/>
        <v>51333.28</v>
      </c>
      <c r="M968" s="22">
        <f t="shared" si="86"/>
        <v>51258.99</v>
      </c>
      <c r="N968" s="22">
        <f t="shared" si="86"/>
        <v>51184.7</v>
      </c>
      <c r="O968" s="22">
        <f t="shared" si="86"/>
        <v>51110.4</v>
      </c>
      <c r="P968" s="22">
        <f t="shared" si="86"/>
        <v>51036.11</v>
      </c>
      <c r="Q968" s="22">
        <f t="shared" si="86"/>
        <v>50961.82</v>
      </c>
      <c r="R968" s="22">
        <f t="shared" si="86"/>
        <v>50890.53</v>
      </c>
      <c r="S968" s="22">
        <f t="shared" si="86"/>
        <v>51722.23</v>
      </c>
      <c r="T968" s="22">
        <f t="shared" si="86"/>
        <v>51644.8</v>
      </c>
      <c r="U968" s="30">
        <f t="shared" si="86"/>
        <v>51567.37</v>
      </c>
      <c r="V968" s="22">
        <f>SUM(V965:V967)</f>
        <v>615849.67</v>
      </c>
    </row>
    <row r="969" ht="13.5" customHeight="1">
      <c r="C969" s="10"/>
    </row>
    <row r="970" spans="2:3" ht="13.5" customHeight="1">
      <c r="B970" s="37" t="s">
        <v>104</v>
      </c>
      <c r="C970" s="25" t="s">
        <v>288</v>
      </c>
    </row>
    <row r="971" spans="3:22" ht="13.5" customHeight="1">
      <c r="C971" s="4" t="s">
        <v>3</v>
      </c>
      <c r="J971" s="21">
        <v>0</v>
      </c>
      <c r="K971" s="21">
        <v>0</v>
      </c>
      <c r="L971" s="21">
        <v>0</v>
      </c>
      <c r="M971" s="21">
        <v>0</v>
      </c>
      <c r="N971" s="21">
        <v>0</v>
      </c>
      <c r="O971" s="21">
        <v>0</v>
      </c>
      <c r="P971" s="21">
        <v>0</v>
      </c>
      <c r="Q971" s="21">
        <v>0</v>
      </c>
      <c r="R971" s="21"/>
      <c r="S971" s="21"/>
      <c r="T971" s="21"/>
      <c r="U971" s="29"/>
      <c r="V971" s="21">
        <f>SUM(J971:U971)</f>
        <v>0</v>
      </c>
    </row>
    <row r="972" spans="3:22" ht="13.5" customHeight="1">
      <c r="C972" s="4" t="s">
        <v>4</v>
      </c>
      <c r="J972" s="45">
        <v>250</v>
      </c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52"/>
      <c r="V972" s="21">
        <f>SUM(J972:U972)</f>
        <v>250</v>
      </c>
    </row>
    <row r="973" spans="3:22" ht="13.5" customHeight="1" thickBot="1">
      <c r="C973" s="4" t="s">
        <v>5</v>
      </c>
      <c r="J973" s="45">
        <f aca="true" t="shared" si="87" ref="J973:Q973">7916.67+106325.52</f>
        <v>114242.19</v>
      </c>
      <c r="K973" s="45">
        <f t="shared" si="87"/>
        <v>114242.19</v>
      </c>
      <c r="L973" s="45">
        <f t="shared" si="87"/>
        <v>114242.19</v>
      </c>
      <c r="M973" s="45">
        <f t="shared" si="87"/>
        <v>114242.19</v>
      </c>
      <c r="N973" s="45">
        <f>7916.67+106325.53</f>
        <v>114242.2</v>
      </c>
      <c r="O973" s="45">
        <f t="shared" si="87"/>
        <v>114242.19</v>
      </c>
      <c r="P973" s="45">
        <f t="shared" si="87"/>
        <v>114242.19</v>
      </c>
      <c r="Q973" s="45">
        <f t="shared" si="87"/>
        <v>114242.19</v>
      </c>
      <c r="R973" s="45"/>
      <c r="S973" s="45"/>
      <c r="T973" s="45"/>
      <c r="U973" s="52"/>
      <c r="V973" s="21">
        <f>SUM(J973:U973)</f>
        <v>913937.5299999998</v>
      </c>
    </row>
    <row r="974" spans="3:22" ht="13.5" customHeight="1" thickBot="1">
      <c r="C974" s="6" t="s">
        <v>106</v>
      </c>
      <c r="J974" s="22">
        <f aca="true" t="shared" si="88" ref="J974:U974">SUM(J971:J973)</f>
        <v>114492.19</v>
      </c>
      <c r="K974" s="22">
        <f t="shared" si="88"/>
        <v>114242.19</v>
      </c>
      <c r="L974" s="22">
        <f t="shared" si="88"/>
        <v>114242.19</v>
      </c>
      <c r="M974" s="22">
        <f t="shared" si="88"/>
        <v>114242.19</v>
      </c>
      <c r="N974" s="22">
        <f t="shared" si="88"/>
        <v>114242.2</v>
      </c>
      <c r="O974" s="22">
        <f t="shared" si="88"/>
        <v>114242.19</v>
      </c>
      <c r="P974" s="22">
        <f t="shared" si="88"/>
        <v>114242.19</v>
      </c>
      <c r="Q974" s="22">
        <f t="shared" si="88"/>
        <v>114242.19</v>
      </c>
      <c r="R974" s="22">
        <f t="shared" si="88"/>
        <v>0</v>
      </c>
      <c r="S974" s="22">
        <f t="shared" si="88"/>
        <v>0</v>
      </c>
      <c r="T974" s="22">
        <f t="shared" si="88"/>
        <v>0</v>
      </c>
      <c r="U974" s="30">
        <f t="shared" si="88"/>
        <v>0</v>
      </c>
      <c r="V974" s="22">
        <f>SUM(V971:V973)</f>
        <v>914187.5299999998</v>
      </c>
    </row>
    <row r="975" ht="13.5" customHeight="1">
      <c r="C975" s="10"/>
    </row>
    <row r="976" spans="2:3" ht="13.5" customHeight="1">
      <c r="B976" s="37" t="s">
        <v>104</v>
      </c>
      <c r="C976" s="25" t="s">
        <v>289</v>
      </c>
    </row>
    <row r="977" spans="3:22" ht="13.5" customHeight="1">
      <c r="C977" s="4" t="s">
        <v>3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/>
      <c r="Q977" s="21"/>
      <c r="R977" s="21"/>
      <c r="S977" s="21"/>
      <c r="T977" s="21"/>
      <c r="U977" s="29"/>
      <c r="V977" s="21">
        <f>SUM(J977:U977)</f>
        <v>0</v>
      </c>
    </row>
    <row r="978" spans="3:22" ht="13.5" customHeight="1">
      <c r="C978" s="4" t="s">
        <v>4</v>
      </c>
      <c r="J978" s="45">
        <v>104.17</v>
      </c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52"/>
      <c r="V978" s="21">
        <f>SUM(J978:U978)</f>
        <v>104.17</v>
      </c>
    </row>
    <row r="979" spans="3:22" ht="13.5" customHeight="1" thickBot="1">
      <c r="C979" s="4" t="s">
        <v>5</v>
      </c>
      <c r="J979" s="45">
        <v>54825</v>
      </c>
      <c r="K979" s="45">
        <v>54825</v>
      </c>
      <c r="L979" s="45">
        <v>54825</v>
      </c>
      <c r="M979" s="45">
        <v>54825</v>
      </c>
      <c r="N979" s="45">
        <v>54825.02</v>
      </c>
      <c r="O979" s="45"/>
      <c r="P979" s="45"/>
      <c r="Q979" s="45"/>
      <c r="R979" s="45"/>
      <c r="S979" s="45"/>
      <c r="T979" s="45"/>
      <c r="U979" s="52"/>
      <c r="V979" s="21">
        <f>SUM(J979:U979)</f>
        <v>274125.02</v>
      </c>
    </row>
    <row r="980" spans="3:22" ht="13.5" customHeight="1" thickBot="1">
      <c r="C980" s="6" t="s">
        <v>146</v>
      </c>
      <c r="J980" s="22">
        <f aca="true" t="shared" si="89" ref="J980:U980">SUM(J977:J979)</f>
        <v>54929.17</v>
      </c>
      <c r="K980" s="22">
        <f t="shared" si="89"/>
        <v>54825</v>
      </c>
      <c r="L980" s="22">
        <f t="shared" si="89"/>
        <v>54825</v>
      </c>
      <c r="M980" s="22">
        <f t="shared" si="89"/>
        <v>54825</v>
      </c>
      <c r="N980" s="22">
        <f t="shared" si="89"/>
        <v>54825.02</v>
      </c>
      <c r="O980" s="22">
        <f t="shared" si="89"/>
        <v>0</v>
      </c>
      <c r="P980" s="22">
        <f t="shared" si="89"/>
        <v>0</v>
      </c>
      <c r="Q980" s="22">
        <f t="shared" si="89"/>
        <v>0</v>
      </c>
      <c r="R980" s="22">
        <f t="shared" si="89"/>
        <v>0</v>
      </c>
      <c r="S980" s="22">
        <f t="shared" si="89"/>
        <v>0</v>
      </c>
      <c r="T980" s="22">
        <f t="shared" si="89"/>
        <v>0</v>
      </c>
      <c r="U980" s="30">
        <f t="shared" si="89"/>
        <v>0</v>
      </c>
      <c r="V980" s="22">
        <f>SUM(V977:V979)</f>
        <v>274229.19</v>
      </c>
    </row>
    <row r="981" ht="13.5" customHeight="1">
      <c r="C981" s="10"/>
    </row>
    <row r="982" spans="2:3" ht="13.5" customHeight="1">
      <c r="B982" s="37" t="s">
        <v>104</v>
      </c>
      <c r="C982" s="25" t="s">
        <v>360</v>
      </c>
    </row>
    <row r="983" spans="3:22" ht="13.5" customHeight="1">
      <c r="C983" s="4" t="s">
        <v>3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/>
      <c r="Q983" s="21"/>
      <c r="R983" s="21"/>
      <c r="S983" s="21"/>
      <c r="T983" s="21"/>
      <c r="U983" s="29"/>
      <c r="V983" s="21">
        <f>SUM(J983:U983)</f>
        <v>0</v>
      </c>
    </row>
    <row r="984" spans="3:22" ht="13.5" customHeight="1">
      <c r="C984" s="4" t="s">
        <v>4</v>
      </c>
      <c r="J984" s="45">
        <v>250</v>
      </c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52"/>
      <c r="V984" s="21">
        <f>SUM(J984:U984)</f>
        <v>250</v>
      </c>
    </row>
    <row r="985" spans="3:22" ht="13.5" customHeight="1" thickBot="1">
      <c r="C985" s="4" t="s">
        <v>5</v>
      </c>
      <c r="J985" s="45">
        <f>20833.33+97556.67</f>
        <v>118390</v>
      </c>
      <c r="K985" s="45">
        <f>20833.33+97556.67</f>
        <v>118390</v>
      </c>
      <c r="L985" s="45">
        <f>20833.33+97556.67</f>
        <v>118390</v>
      </c>
      <c r="M985" s="45">
        <f>20833.33+97556.67</f>
        <v>118390</v>
      </c>
      <c r="N985" s="45">
        <f>20833.33+97556.67</f>
        <v>118390</v>
      </c>
      <c r="O985" s="45">
        <f>20833.33+97556.65</f>
        <v>118389.98</v>
      </c>
      <c r="P985" s="45"/>
      <c r="Q985" s="45"/>
      <c r="R985" s="45"/>
      <c r="S985" s="45"/>
      <c r="T985" s="45"/>
      <c r="U985" s="52"/>
      <c r="V985" s="21">
        <f>SUM(J985:U985)</f>
        <v>710339.98</v>
      </c>
    </row>
    <row r="986" spans="3:22" ht="13.5" customHeight="1" thickBot="1">
      <c r="C986" s="6" t="s">
        <v>361</v>
      </c>
      <c r="J986" s="22">
        <f aca="true" t="shared" si="90" ref="J986:U986">SUM(J983:J985)</f>
        <v>118640</v>
      </c>
      <c r="K986" s="22">
        <f t="shared" si="90"/>
        <v>118390</v>
      </c>
      <c r="L986" s="22">
        <f t="shared" si="90"/>
        <v>118390</v>
      </c>
      <c r="M986" s="22">
        <f t="shared" si="90"/>
        <v>118390</v>
      </c>
      <c r="N986" s="22">
        <f t="shared" si="90"/>
        <v>118390</v>
      </c>
      <c r="O986" s="22">
        <f t="shared" si="90"/>
        <v>118389.98</v>
      </c>
      <c r="P986" s="22">
        <f t="shared" si="90"/>
        <v>0</v>
      </c>
      <c r="Q986" s="22">
        <f t="shared" si="90"/>
        <v>0</v>
      </c>
      <c r="R986" s="22">
        <f t="shared" si="90"/>
        <v>0</v>
      </c>
      <c r="S986" s="22">
        <f t="shared" si="90"/>
        <v>0</v>
      </c>
      <c r="T986" s="22">
        <f t="shared" si="90"/>
        <v>0</v>
      </c>
      <c r="U986" s="30">
        <f t="shared" si="90"/>
        <v>0</v>
      </c>
      <c r="V986" s="22">
        <f>SUM(V983:V985)</f>
        <v>710589.98</v>
      </c>
    </row>
    <row r="987" ht="13.5" customHeight="1">
      <c r="C987" s="10"/>
    </row>
    <row r="988" spans="1:3" ht="13.5" customHeight="1">
      <c r="A988" s="1">
        <f>A964+1</f>
        <v>47</v>
      </c>
      <c r="B988" s="39"/>
      <c r="C988" s="5" t="s">
        <v>290</v>
      </c>
    </row>
    <row r="989" spans="3:22" ht="13.5" customHeight="1">
      <c r="C989" s="4" t="s">
        <v>3</v>
      </c>
      <c r="J989" s="45">
        <v>3296.25</v>
      </c>
      <c r="K989" s="45">
        <v>3296.25</v>
      </c>
      <c r="L989" s="45">
        <v>3296.25</v>
      </c>
      <c r="M989" s="45">
        <v>3296.25</v>
      </c>
      <c r="N989" s="45">
        <v>3296.25</v>
      </c>
      <c r="O989" s="45">
        <v>3296.25</v>
      </c>
      <c r="P989" s="45">
        <v>3296.25</v>
      </c>
      <c r="Q989" s="45">
        <v>3296.25</v>
      </c>
      <c r="R989" s="45">
        <v>3296.25</v>
      </c>
      <c r="S989" s="45">
        <v>3296.25</v>
      </c>
      <c r="T989" s="45">
        <v>3296.25</v>
      </c>
      <c r="U989" s="52">
        <v>3296.25</v>
      </c>
      <c r="V989" s="21">
        <f>SUM(J989:U989)</f>
        <v>39555</v>
      </c>
    </row>
    <row r="990" spans="3:22" ht="13.5" customHeight="1">
      <c r="C990" s="4" t="s">
        <v>4</v>
      </c>
      <c r="J990" s="45">
        <v>250</v>
      </c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52"/>
      <c r="V990" s="21">
        <f>SUM(J990:U990)</f>
        <v>250</v>
      </c>
    </row>
    <row r="991" spans="3:22" ht="13.5" customHeight="1" thickBot="1">
      <c r="C991" s="4" t="s">
        <v>5</v>
      </c>
      <c r="J991" s="21">
        <f>56666.67+148033.33</f>
        <v>204700</v>
      </c>
      <c r="K991" s="21">
        <f>56666.67+148033.33</f>
        <v>204700</v>
      </c>
      <c r="L991" s="21">
        <f>56666.67+148033.33</f>
        <v>204700</v>
      </c>
      <c r="M991" s="21">
        <f>56666.67+148033.33</f>
        <v>204700</v>
      </c>
      <c r="N991" s="21">
        <f>56666.67+148033.33</f>
        <v>204700</v>
      </c>
      <c r="O991" s="45">
        <f>59583.33+145200</f>
        <v>204783.33000000002</v>
      </c>
      <c r="P991" s="45">
        <f aca="true" t="shared" si="91" ref="P991:U991">59583.33+145200</f>
        <v>204783.33000000002</v>
      </c>
      <c r="Q991" s="45">
        <f t="shared" si="91"/>
        <v>204783.33000000002</v>
      </c>
      <c r="R991" s="45">
        <f t="shared" si="91"/>
        <v>204783.33000000002</v>
      </c>
      <c r="S991" s="45">
        <f t="shared" si="91"/>
        <v>204783.33000000002</v>
      </c>
      <c r="T991" s="45">
        <f t="shared" si="91"/>
        <v>204783.33000000002</v>
      </c>
      <c r="U991" s="52">
        <f t="shared" si="91"/>
        <v>204783.33000000002</v>
      </c>
      <c r="V991" s="21">
        <f>SUM(J991:U991)</f>
        <v>2456983.3100000005</v>
      </c>
    </row>
    <row r="992" spans="3:22" ht="13.5" customHeight="1" thickBot="1">
      <c r="C992" s="6" t="s">
        <v>52</v>
      </c>
      <c r="J992" s="22">
        <f aca="true" t="shared" si="92" ref="J992:U992">SUM(J989:J991)</f>
        <v>208246.25</v>
      </c>
      <c r="K992" s="22">
        <f t="shared" si="92"/>
        <v>207996.25</v>
      </c>
      <c r="L992" s="22">
        <f t="shared" si="92"/>
        <v>207996.25</v>
      </c>
      <c r="M992" s="22">
        <f t="shared" si="92"/>
        <v>207996.25</v>
      </c>
      <c r="N992" s="22">
        <f t="shared" si="92"/>
        <v>207996.25</v>
      </c>
      <c r="O992" s="22">
        <f t="shared" si="92"/>
        <v>208079.58000000002</v>
      </c>
      <c r="P992" s="22">
        <f t="shared" si="92"/>
        <v>208079.58000000002</v>
      </c>
      <c r="Q992" s="22">
        <f t="shared" si="92"/>
        <v>208079.58000000002</v>
      </c>
      <c r="R992" s="22">
        <f t="shared" si="92"/>
        <v>208079.58000000002</v>
      </c>
      <c r="S992" s="22">
        <f t="shared" si="92"/>
        <v>208079.58000000002</v>
      </c>
      <c r="T992" s="22">
        <f t="shared" si="92"/>
        <v>208079.58000000002</v>
      </c>
      <c r="U992" s="30">
        <f t="shared" si="92"/>
        <v>208079.58000000002</v>
      </c>
      <c r="V992" s="22">
        <f>SUM(V989:V991)</f>
        <v>2496788.3100000005</v>
      </c>
    </row>
    <row r="993" ht="13.5" customHeight="1">
      <c r="C993" s="10"/>
    </row>
    <row r="994" spans="2:3" ht="13.5" customHeight="1">
      <c r="B994" s="37" t="s">
        <v>104</v>
      </c>
      <c r="C994" s="25" t="s">
        <v>291</v>
      </c>
    </row>
    <row r="995" ht="13.5" customHeight="1">
      <c r="C995" s="4" t="s">
        <v>3</v>
      </c>
    </row>
    <row r="996" ht="13.5" customHeight="1">
      <c r="C996" s="4" t="s">
        <v>4</v>
      </c>
    </row>
    <row r="997" ht="13.5" customHeight="1" thickBot="1">
      <c r="C997" s="4" t="s">
        <v>5</v>
      </c>
    </row>
    <row r="998" ht="13.5" customHeight="1" thickBot="1">
      <c r="C998" s="6" t="s">
        <v>292</v>
      </c>
    </row>
    <row r="999" ht="13.5" customHeight="1">
      <c r="C999" s="10"/>
    </row>
    <row r="1000" spans="1:3" ht="13.5" customHeight="1">
      <c r="A1000" s="1">
        <f>A988+1</f>
        <v>48</v>
      </c>
      <c r="B1000" s="39"/>
      <c r="C1000" s="5" t="s">
        <v>293</v>
      </c>
    </row>
    <row r="1001" spans="3:22" ht="13.5" customHeight="1">
      <c r="C1001" s="4" t="s">
        <v>3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  <c r="Q1001" s="21">
        <v>0</v>
      </c>
      <c r="R1001" s="21">
        <v>0</v>
      </c>
      <c r="S1001" s="21">
        <v>0</v>
      </c>
      <c r="T1001" s="21">
        <v>0</v>
      </c>
      <c r="U1001" s="29">
        <v>0</v>
      </c>
      <c r="V1001" s="21">
        <f>SUM(J1001:U1001)</f>
        <v>0</v>
      </c>
    </row>
    <row r="1002" spans="3:22" ht="13.5" customHeight="1">
      <c r="C1002" s="4" t="s">
        <v>4</v>
      </c>
      <c r="J1002" s="45">
        <v>250</v>
      </c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52"/>
      <c r="V1002" s="21">
        <f>SUM(J1002:U1002)</f>
        <v>250</v>
      </c>
    </row>
    <row r="1003" spans="3:22" ht="13.5" customHeight="1" thickBot="1">
      <c r="C1003" s="4" t="s">
        <v>5</v>
      </c>
      <c r="J1003" s="45">
        <v>42189.21</v>
      </c>
      <c r="K1003" s="45">
        <v>42134.34</v>
      </c>
      <c r="L1003" s="45">
        <v>42330.48</v>
      </c>
      <c r="M1003" s="45">
        <v>44542.77</v>
      </c>
      <c r="N1003" s="45">
        <v>44005.47</v>
      </c>
      <c r="O1003" s="45">
        <v>43943.76</v>
      </c>
      <c r="P1003" s="45">
        <v>43882.04</v>
      </c>
      <c r="Q1003" s="45">
        <v>43820.33</v>
      </c>
      <c r="R1003" s="45">
        <v>43758.62</v>
      </c>
      <c r="S1003" s="45">
        <v>43696.91</v>
      </c>
      <c r="T1003" s="45">
        <v>43635.19</v>
      </c>
      <c r="U1003" s="52">
        <v>43573.48</v>
      </c>
      <c r="V1003" s="21">
        <f>SUM(J1003:U1003)</f>
        <v>521512.60000000003</v>
      </c>
    </row>
    <row r="1004" spans="3:22" ht="13.5" customHeight="1" thickBot="1">
      <c r="C1004" s="6" t="s">
        <v>144</v>
      </c>
      <c r="J1004" s="22">
        <f aca="true" t="shared" si="93" ref="J1004:U1004">SUM(J1001:J1003)</f>
        <v>42439.21</v>
      </c>
      <c r="K1004" s="22">
        <f t="shared" si="93"/>
        <v>42134.34</v>
      </c>
      <c r="L1004" s="22">
        <f t="shared" si="93"/>
        <v>42330.48</v>
      </c>
      <c r="M1004" s="22">
        <f t="shared" si="93"/>
        <v>44542.77</v>
      </c>
      <c r="N1004" s="22">
        <f t="shared" si="93"/>
        <v>44005.47</v>
      </c>
      <c r="O1004" s="22">
        <f t="shared" si="93"/>
        <v>43943.76</v>
      </c>
      <c r="P1004" s="22">
        <f t="shared" si="93"/>
        <v>43882.04</v>
      </c>
      <c r="Q1004" s="22">
        <f t="shared" si="93"/>
        <v>43820.33</v>
      </c>
      <c r="R1004" s="22">
        <f t="shared" si="93"/>
        <v>43758.62</v>
      </c>
      <c r="S1004" s="22">
        <f t="shared" si="93"/>
        <v>43696.91</v>
      </c>
      <c r="T1004" s="22">
        <f t="shared" si="93"/>
        <v>43635.19</v>
      </c>
      <c r="U1004" s="30">
        <f t="shared" si="93"/>
        <v>43573.48</v>
      </c>
      <c r="V1004" s="22">
        <f>SUM(V1001:V1003)</f>
        <v>521762.60000000003</v>
      </c>
    </row>
    <row r="1005" ht="13.5" customHeight="1">
      <c r="C1005" s="10"/>
    </row>
    <row r="1006" spans="1:3" ht="13.5" customHeight="1">
      <c r="A1006" s="1">
        <f>A1000+1</f>
        <v>49</v>
      </c>
      <c r="B1006" s="39"/>
      <c r="C1006" s="5" t="s">
        <v>294</v>
      </c>
    </row>
    <row r="1007" spans="3:22" ht="13.5" customHeight="1">
      <c r="C1007" s="4" t="s">
        <v>3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  <c r="Q1007" s="21">
        <v>0</v>
      </c>
      <c r="R1007" s="21">
        <v>0</v>
      </c>
      <c r="S1007" s="21">
        <v>0</v>
      </c>
      <c r="T1007" s="21">
        <v>0</v>
      </c>
      <c r="U1007" s="29">
        <v>0</v>
      </c>
      <c r="V1007" s="21">
        <f>SUM(J1007:U1007)</f>
        <v>0</v>
      </c>
    </row>
    <row r="1008" spans="3:22" ht="13.5" customHeight="1">
      <c r="C1008" s="4" t="s">
        <v>4</v>
      </c>
      <c r="J1008" s="45">
        <v>250</v>
      </c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52"/>
      <c r="V1008" s="21">
        <f>SUM(J1008:U1008)</f>
        <v>250</v>
      </c>
    </row>
    <row r="1009" spans="3:22" ht="13.5" customHeight="1" thickBot="1">
      <c r="C1009" s="4" t="s">
        <v>5</v>
      </c>
      <c r="J1009" s="21">
        <v>33982.84</v>
      </c>
      <c r="K1009" s="21">
        <v>33982.84</v>
      </c>
      <c r="L1009" s="21">
        <v>33982.84</v>
      </c>
      <c r="M1009" s="21">
        <v>33982.84</v>
      </c>
      <c r="N1009" s="21">
        <v>33982.84</v>
      </c>
      <c r="O1009" s="21">
        <v>33982.84</v>
      </c>
      <c r="P1009" s="21">
        <v>33982.84</v>
      </c>
      <c r="Q1009" s="21">
        <v>33982.84</v>
      </c>
      <c r="R1009" s="21">
        <v>33982.84</v>
      </c>
      <c r="S1009" s="21">
        <v>33982.84</v>
      </c>
      <c r="T1009" s="21">
        <v>33982.84</v>
      </c>
      <c r="U1009" s="29">
        <v>33982.84</v>
      </c>
      <c r="V1009" s="21">
        <f>SUM(J1009:U1009)</f>
        <v>407794.07999999984</v>
      </c>
    </row>
    <row r="1010" spans="3:22" ht="13.5" customHeight="1" thickBot="1">
      <c r="C1010" s="6" t="s">
        <v>295</v>
      </c>
      <c r="J1010" s="22">
        <f aca="true" t="shared" si="94" ref="J1010:U1010">SUM(J1007:J1009)</f>
        <v>34232.84</v>
      </c>
      <c r="K1010" s="22">
        <f t="shared" si="94"/>
        <v>33982.84</v>
      </c>
      <c r="L1010" s="22">
        <f t="shared" si="94"/>
        <v>33982.84</v>
      </c>
      <c r="M1010" s="22">
        <f t="shared" si="94"/>
        <v>33982.84</v>
      </c>
      <c r="N1010" s="22">
        <f t="shared" si="94"/>
        <v>33982.84</v>
      </c>
      <c r="O1010" s="22">
        <f t="shared" si="94"/>
        <v>33982.84</v>
      </c>
      <c r="P1010" s="22">
        <f t="shared" si="94"/>
        <v>33982.84</v>
      </c>
      <c r="Q1010" s="22">
        <f t="shared" si="94"/>
        <v>33982.84</v>
      </c>
      <c r="R1010" s="22">
        <f t="shared" si="94"/>
        <v>33982.84</v>
      </c>
      <c r="S1010" s="22">
        <f t="shared" si="94"/>
        <v>33982.84</v>
      </c>
      <c r="T1010" s="22">
        <f t="shared" si="94"/>
        <v>33982.84</v>
      </c>
      <c r="U1010" s="30">
        <f t="shared" si="94"/>
        <v>33982.84</v>
      </c>
      <c r="V1010" s="22">
        <f>SUM(V1007:V1009)</f>
        <v>408044.07999999984</v>
      </c>
    </row>
    <row r="1011" ht="13.5" customHeight="1">
      <c r="C1011" s="10"/>
    </row>
    <row r="1012" spans="1:3" ht="13.5" customHeight="1">
      <c r="A1012" s="1">
        <f>A1006+1</f>
        <v>50</v>
      </c>
      <c r="B1012" s="39"/>
      <c r="C1012" s="5" t="s">
        <v>296</v>
      </c>
    </row>
    <row r="1013" spans="3:22" ht="13.5" customHeight="1">
      <c r="C1013" s="4" t="s">
        <v>3</v>
      </c>
      <c r="J1013" s="21">
        <v>0</v>
      </c>
      <c r="K1013" s="21">
        <v>0</v>
      </c>
      <c r="L1013" s="21">
        <v>0</v>
      </c>
      <c r="M1013" s="21">
        <v>0</v>
      </c>
      <c r="N1013" s="21">
        <v>0</v>
      </c>
      <c r="O1013" s="21">
        <v>0</v>
      </c>
      <c r="P1013" s="21">
        <v>0</v>
      </c>
      <c r="Q1013" s="21">
        <v>0</v>
      </c>
      <c r="R1013" s="21">
        <v>0</v>
      </c>
      <c r="S1013" s="21">
        <v>0</v>
      </c>
      <c r="T1013" s="21">
        <v>0</v>
      </c>
      <c r="U1013" s="29">
        <v>0</v>
      </c>
      <c r="V1013" s="21">
        <f>SUM(J1013:U1013)</f>
        <v>0</v>
      </c>
    </row>
    <row r="1014" spans="3:22" ht="13.5" customHeight="1">
      <c r="C1014" s="4" t="s">
        <v>4</v>
      </c>
      <c r="J1014" s="45">
        <v>250</v>
      </c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52"/>
      <c r="V1014" s="21">
        <f>SUM(J1014:U1014)</f>
        <v>250</v>
      </c>
    </row>
    <row r="1015" spans="3:22" ht="13.5" customHeight="1" thickBot="1">
      <c r="C1015" s="4" t="s">
        <v>5</v>
      </c>
      <c r="J1015" s="45">
        <f>35000+76560</f>
        <v>111560</v>
      </c>
      <c r="K1015" s="45">
        <f>35000+76560.01</f>
        <v>111560.01</v>
      </c>
      <c r="L1015" s="45">
        <f>35000+76179.38</f>
        <v>111179.38</v>
      </c>
      <c r="M1015" s="45">
        <f>35000+76179.38</f>
        <v>111179.38</v>
      </c>
      <c r="N1015" s="45">
        <f>35000+76179.37</f>
        <v>111179.37</v>
      </c>
      <c r="O1015" s="45">
        <f>35000+75798.75</f>
        <v>110798.75</v>
      </c>
      <c r="P1015" s="45">
        <f>35000+75798.75</f>
        <v>110798.75</v>
      </c>
      <c r="Q1015" s="45">
        <f>35000+75798.75</f>
        <v>110798.75</v>
      </c>
      <c r="R1015" s="45">
        <f>35000+75418.13</f>
        <v>110418.13</v>
      </c>
      <c r="S1015" s="45">
        <f>35000+75418.13</f>
        <v>110418.13</v>
      </c>
      <c r="T1015" s="45">
        <f>35000+75418.12</f>
        <v>110418.12</v>
      </c>
      <c r="U1015" s="52">
        <f>36666.67+75037.5</f>
        <v>111704.17</v>
      </c>
      <c r="V1015" s="21">
        <f>SUM(J1015:U1015)</f>
        <v>1332012.94</v>
      </c>
    </row>
    <row r="1016" spans="3:22" ht="13.5" customHeight="1" thickBot="1">
      <c r="C1016" s="6" t="s">
        <v>142</v>
      </c>
      <c r="J1016" s="22">
        <f aca="true" t="shared" si="95" ref="J1016:U1016">SUM(J1013:J1015)</f>
        <v>111810</v>
      </c>
      <c r="K1016" s="22">
        <f t="shared" si="95"/>
        <v>111560.01</v>
      </c>
      <c r="L1016" s="22">
        <f t="shared" si="95"/>
        <v>111179.38</v>
      </c>
      <c r="M1016" s="22">
        <f t="shared" si="95"/>
        <v>111179.38</v>
      </c>
      <c r="N1016" s="22">
        <f t="shared" si="95"/>
        <v>111179.37</v>
      </c>
      <c r="O1016" s="22">
        <f t="shared" si="95"/>
        <v>110798.75</v>
      </c>
      <c r="P1016" s="22">
        <f t="shared" si="95"/>
        <v>110798.75</v>
      </c>
      <c r="Q1016" s="22">
        <f t="shared" si="95"/>
        <v>110798.75</v>
      </c>
      <c r="R1016" s="22">
        <f t="shared" si="95"/>
        <v>110418.13</v>
      </c>
      <c r="S1016" s="22">
        <f t="shared" si="95"/>
        <v>110418.13</v>
      </c>
      <c r="T1016" s="22">
        <f t="shared" si="95"/>
        <v>110418.12</v>
      </c>
      <c r="U1016" s="30">
        <f t="shared" si="95"/>
        <v>111704.17</v>
      </c>
      <c r="V1016" s="22">
        <f>SUM(V1013:V1015)</f>
        <v>1332262.94</v>
      </c>
    </row>
    <row r="1017" ht="13.5" customHeight="1">
      <c r="C1017" s="10"/>
    </row>
    <row r="1018" spans="2:3" ht="13.5" customHeight="1">
      <c r="B1018" s="37" t="s">
        <v>104</v>
      </c>
      <c r="C1018" s="25" t="s">
        <v>297</v>
      </c>
    </row>
    <row r="1019" ht="13.5" customHeight="1">
      <c r="C1019" s="4" t="s">
        <v>3</v>
      </c>
    </row>
    <row r="1020" ht="13.5" customHeight="1">
      <c r="C1020" s="4" t="s">
        <v>4</v>
      </c>
    </row>
    <row r="1021" ht="13.5" customHeight="1" thickBot="1">
      <c r="C1021" s="4" t="s">
        <v>5</v>
      </c>
    </row>
    <row r="1022" ht="13.5" customHeight="1" thickBot="1">
      <c r="C1022" s="6" t="s">
        <v>298</v>
      </c>
    </row>
    <row r="1023" ht="13.5" customHeight="1">
      <c r="C1023" s="10"/>
    </row>
    <row r="1024" spans="2:3" ht="13.5" customHeight="1">
      <c r="B1024" s="37" t="s">
        <v>104</v>
      </c>
      <c r="C1024" s="25" t="s">
        <v>299</v>
      </c>
    </row>
    <row r="1025" ht="13.5" customHeight="1">
      <c r="C1025" s="4" t="s">
        <v>3</v>
      </c>
    </row>
    <row r="1026" ht="13.5" customHeight="1">
      <c r="C1026" s="4" t="s">
        <v>4</v>
      </c>
    </row>
    <row r="1027" ht="13.5" customHeight="1" thickBot="1">
      <c r="C1027" s="4" t="s">
        <v>5</v>
      </c>
    </row>
    <row r="1028" ht="13.5" customHeight="1" thickBot="1">
      <c r="C1028" s="6" t="s">
        <v>184</v>
      </c>
    </row>
    <row r="1029" ht="13.5" customHeight="1">
      <c r="C1029" s="10"/>
    </row>
    <row r="1030" spans="1:3" ht="13.5" customHeight="1">
      <c r="A1030" s="1">
        <f>A1012+1</f>
        <v>51</v>
      </c>
      <c r="B1030" s="39"/>
      <c r="C1030" s="5" t="s">
        <v>300</v>
      </c>
    </row>
    <row r="1031" spans="3:22" ht="13.5" customHeight="1">
      <c r="C1031" s="4" t="s">
        <v>3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  <c r="Q1031" s="21">
        <v>0</v>
      </c>
      <c r="R1031" s="21">
        <v>0</v>
      </c>
      <c r="S1031" s="21">
        <v>0</v>
      </c>
      <c r="T1031" s="21">
        <v>0</v>
      </c>
      <c r="U1031" s="29">
        <v>0</v>
      </c>
      <c r="V1031" s="21">
        <f>SUM(J1031:U1031)</f>
        <v>0</v>
      </c>
    </row>
    <row r="1032" spans="3:22" ht="13.5" customHeight="1">
      <c r="C1032" s="4" t="s">
        <v>4</v>
      </c>
      <c r="J1032" s="45">
        <v>250</v>
      </c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52"/>
      <c r="V1032" s="21">
        <f>SUM(J1032:U1032)</f>
        <v>250</v>
      </c>
    </row>
    <row r="1033" spans="3:22" ht="13.5" customHeight="1" thickBot="1">
      <c r="C1033" s="4" t="s">
        <v>5</v>
      </c>
      <c r="J1033" s="21">
        <v>52815.46</v>
      </c>
      <c r="K1033" s="21">
        <v>52815.46</v>
      </c>
      <c r="L1033" s="21">
        <v>52815.46</v>
      </c>
      <c r="M1033" s="21">
        <v>52815.46</v>
      </c>
      <c r="N1033" s="21">
        <v>52815.46</v>
      </c>
      <c r="O1033" s="21">
        <v>52815.46</v>
      </c>
      <c r="P1033" s="21">
        <v>52815.46</v>
      </c>
      <c r="Q1033" s="21">
        <v>52815.46</v>
      </c>
      <c r="R1033" s="21">
        <v>52815.46</v>
      </c>
      <c r="S1033" s="21">
        <v>52815.46</v>
      </c>
      <c r="T1033" s="21">
        <v>52815.46</v>
      </c>
      <c r="U1033" s="29">
        <v>52815.46</v>
      </c>
      <c r="V1033" s="21">
        <f>SUM(J1033:U1033)</f>
        <v>633785.52</v>
      </c>
    </row>
    <row r="1034" spans="3:22" ht="13.5" customHeight="1" thickBot="1">
      <c r="C1034" s="6" t="s">
        <v>244</v>
      </c>
      <c r="J1034" s="22">
        <f aca="true" t="shared" si="96" ref="J1034:U1034">SUM(J1031:J1033)</f>
        <v>53065.46</v>
      </c>
      <c r="K1034" s="22">
        <f t="shared" si="96"/>
        <v>52815.46</v>
      </c>
      <c r="L1034" s="22">
        <f t="shared" si="96"/>
        <v>52815.46</v>
      </c>
      <c r="M1034" s="22">
        <f t="shared" si="96"/>
        <v>52815.46</v>
      </c>
      <c r="N1034" s="22">
        <f t="shared" si="96"/>
        <v>52815.46</v>
      </c>
      <c r="O1034" s="22">
        <f t="shared" si="96"/>
        <v>52815.46</v>
      </c>
      <c r="P1034" s="22">
        <f t="shared" si="96"/>
        <v>52815.46</v>
      </c>
      <c r="Q1034" s="22">
        <f t="shared" si="96"/>
        <v>52815.46</v>
      </c>
      <c r="R1034" s="22">
        <f t="shared" si="96"/>
        <v>52815.46</v>
      </c>
      <c r="S1034" s="22">
        <f t="shared" si="96"/>
        <v>52815.46</v>
      </c>
      <c r="T1034" s="22">
        <f t="shared" si="96"/>
        <v>52815.46</v>
      </c>
      <c r="U1034" s="30">
        <f t="shared" si="96"/>
        <v>52815.46</v>
      </c>
      <c r="V1034" s="22">
        <f>SUM(V1031:V1033)</f>
        <v>634035.52</v>
      </c>
    </row>
    <row r="1035" ht="13.5" customHeight="1">
      <c r="C1035" s="10"/>
    </row>
    <row r="1036" spans="2:3" ht="13.5" customHeight="1">
      <c r="B1036" s="37" t="s">
        <v>104</v>
      </c>
      <c r="C1036" s="25" t="s">
        <v>314</v>
      </c>
    </row>
    <row r="1037" spans="3:22" ht="13.5" customHeight="1">
      <c r="C1037" s="4" t="s">
        <v>3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1">
        <v>0</v>
      </c>
      <c r="P1037" s="21">
        <v>0</v>
      </c>
      <c r="Q1037" s="21">
        <v>0</v>
      </c>
      <c r="R1037" s="21">
        <v>0</v>
      </c>
      <c r="S1037" s="21">
        <v>0</v>
      </c>
      <c r="T1037" s="21">
        <v>0</v>
      </c>
      <c r="U1037" s="29"/>
      <c r="V1037" s="21">
        <f>SUM(J1037:U1037)</f>
        <v>0</v>
      </c>
    </row>
    <row r="1038" spans="3:22" ht="13.5" customHeight="1">
      <c r="C1038" s="4" t="s">
        <v>4</v>
      </c>
      <c r="J1038" s="45">
        <v>250</v>
      </c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52"/>
      <c r="V1038" s="21">
        <f>SUM(J1038:U1038)</f>
        <v>250</v>
      </c>
    </row>
    <row r="1039" spans="3:22" ht="13.5" customHeight="1" thickBot="1">
      <c r="C1039" s="4" t="s">
        <v>5</v>
      </c>
      <c r="J1039" s="45">
        <f>25000+73961.25</f>
        <v>98961.25</v>
      </c>
      <c r="K1039" s="45">
        <f aca="true" t="shared" si="97" ref="K1039:T1039">25000+73961.25</f>
        <v>98961.25</v>
      </c>
      <c r="L1039" s="45">
        <f t="shared" si="97"/>
        <v>98961.25</v>
      </c>
      <c r="M1039" s="45">
        <f t="shared" si="97"/>
        <v>98961.25</v>
      </c>
      <c r="N1039" s="45">
        <f t="shared" si="97"/>
        <v>98961.25</v>
      </c>
      <c r="O1039" s="45">
        <f t="shared" si="97"/>
        <v>98961.25</v>
      </c>
      <c r="P1039" s="45">
        <f t="shared" si="97"/>
        <v>98961.25</v>
      </c>
      <c r="Q1039" s="45">
        <f t="shared" si="97"/>
        <v>98961.25</v>
      </c>
      <c r="R1039" s="45">
        <f t="shared" si="97"/>
        <v>98961.25</v>
      </c>
      <c r="S1039" s="45">
        <f t="shared" si="97"/>
        <v>98961.25</v>
      </c>
      <c r="T1039" s="45">
        <f t="shared" si="97"/>
        <v>98961.25</v>
      </c>
      <c r="U1039" s="52"/>
      <c r="V1039" s="21">
        <f>SUM(J1039:U1039)</f>
        <v>1088573.75</v>
      </c>
    </row>
    <row r="1040" spans="3:22" ht="13.5" customHeight="1" thickBot="1">
      <c r="C1040" s="6" t="s">
        <v>301</v>
      </c>
      <c r="J1040" s="22">
        <f aca="true" t="shared" si="98" ref="J1040:U1040">SUM(J1037:J1039)</f>
        <v>99211.25</v>
      </c>
      <c r="K1040" s="22">
        <f t="shared" si="98"/>
        <v>98961.25</v>
      </c>
      <c r="L1040" s="22">
        <f t="shared" si="98"/>
        <v>98961.25</v>
      </c>
      <c r="M1040" s="22">
        <f t="shared" si="98"/>
        <v>98961.25</v>
      </c>
      <c r="N1040" s="22">
        <f t="shared" si="98"/>
        <v>98961.25</v>
      </c>
      <c r="O1040" s="22">
        <f t="shared" si="98"/>
        <v>98961.25</v>
      </c>
      <c r="P1040" s="22">
        <f t="shared" si="98"/>
        <v>98961.25</v>
      </c>
      <c r="Q1040" s="22">
        <f t="shared" si="98"/>
        <v>98961.25</v>
      </c>
      <c r="R1040" s="22">
        <f t="shared" si="98"/>
        <v>98961.25</v>
      </c>
      <c r="S1040" s="22">
        <f t="shared" si="98"/>
        <v>98961.25</v>
      </c>
      <c r="T1040" s="22">
        <f t="shared" si="98"/>
        <v>98961.25</v>
      </c>
      <c r="U1040" s="30">
        <f t="shared" si="98"/>
        <v>0</v>
      </c>
      <c r="V1040" s="22">
        <f>SUM(V1037:V1039)</f>
        <v>1088823.75</v>
      </c>
    </row>
    <row r="1041" ht="13.5" customHeight="1">
      <c r="C1041" s="10"/>
    </row>
    <row r="1042" spans="2:3" ht="13.5" customHeight="1">
      <c r="B1042" s="41" t="s">
        <v>102</v>
      </c>
      <c r="C1042" s="42" t="s">
        <v>305</v>
      </c>
    </row>
    <row r="1043" ht="13.5" customHeight="1">
      <c r="C1043" s="4" t="s">
        <v>3</v>
      </c>
    </row>
    <row r="1044" ht="13.5" customHeight="1">
      <c r="C1044" s="4" t="s">
        <v>4</v>
      </c>
    </row>
    <row r="1045" ht="13.5" customHeight="1" thickBot="1">
      <c r="C1045" s="4" t="s">
        <v>5</v>
      </c>
    </row>
    <row r="1046" ht="13.5" customHeight="1" thickBot="1">
      <c r="C1046" s="6" t="s">
        <v>302</v>
      </c>
    </row>
    <row r="1047" ht="13.5" customHeight="1">
      <c r="C1047" s="10"/>
    </row>
    <row r="1048" spans="2:3" ht="13.5" customHeight="1">
      <c r="B1048" s="37" t="s">
        <v>104</v>
      </c>
      <c r="C1048" s="25" t="s">
        <v>306</v>
      </c>
    </row>
    <row r="1049" spans="3:22" ht="13.5" customHeight="1">
      <c r="C1049" s="4" t="s">
        <v>3</v>
      </c>
      <c r="J1049" s="21">
        <v>0</v>
      </c>
      <c r="K1049" s="21">
        <v>0</v>
      </c>
      <c r="L1049" s="21">
        <v>0</v>
      </c>
      <c r="M1049" s="21">
        <v>0</v>
      </c>
      <c r="N1049" s="21">
        <v>0</v>
      </c>
      <c r="O1049" s="21">
        <v>0</v>
      </c>
      <c r="P1049" s="21">
        <v>0</v>
      </c>
      <c r="Q1049" s="21">
        <v>0</v>
      </c>
      <c r="R1049" s="21">
        <v>0</v>
      </c>
      <c r="S1049" s="21">
        <v>0</v>
      </c>
      <c r="T1049" s="21">
        <v>0</v>
      </c>
      <c r="U1049" s="29"/>
      <c r="V1049" s="21">
        <f>SUM(J1049:U1049)</f>
        <v>0</v>
      </c>
    </row>
    <row r="1050" spans="3:22" ht="13.5" customHeight="1">
      <c r="C1050" s="4" t="s">
        <v>4</v>
      </c>
      <c r="J1050" s="45">
        <v>250</v>
      </c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52"/>
      <c r="V1050" s="21">
        <f>SUM(J1050:U1050)</f>
        <v>250</v>
      </c>
    </row>
    <row r="1051" spans="3:22" ht="13.5" customHeight="1" thickBot="1">
      <c r="C1051" s="4" t="s">
        <v>5</v>
      </c>
      <c r="J1051" s="45">
        <f>15416.67+44220</f>
        <v>59636.67</v>
      </c>
      <c r="K1051" s="45">
        <f aca="true" t="shared" si="99" ref="K1051:T1051">15416.67+44220</f>
        <v>59636.67</v>
      </c>
      <c r="L1051" s="45">
        <f t="shared" si="99"/>
        <v>59636.67</v>
      </c>
      <c r="M1051" s="45">
        <f t="shared" si="99"/>
        <v>59636.67</v>
      </c>
      <c r="N1051" s="45">
        <f t="shared" si="99"/>
        <v>59636.67</v>
      </c>
      <c r="O1051" s="45">
        <f t="shared" si="99"/>
        <v>59636.67</v>
      </c>
      <c r="P1051" s="45">
        <f t="shared" si="99"/>
        <v>59636.67</v>
      </c>
      <c r="Q1051" s="45">
        <f t="shared" si="99"/>
        <v>59636.67</v>
      </c>
      <c r="R1051" s="45">
        <f t="shared" si="99"/>
        <v>59636.67</v>
      </c>
      <c r="S1051" s="45">
        <f t="shared" si="99"/>
        <v>59636.67</v>
      </c>
      <c r="T1051" s="45">
        <f t="shared" si="99"/>
        <v>59636.67</v>
      </c>
      <c r="U1051" s="52"/>
      <c r="V1051" s="21">
        <f>SUM(J1051:U1051)</f>
        <v>656003.37</v>
      </c>
    </row>
    <row r="1052" spans="3:22" ht="13.5" customHeight="1" thickBot="1">
      <c r="C1052" s="6" t="s">
        <v>303</v>
      </c>
      <c r="J1052" s="22">
        <f aca="true" t="shared" si="100" ref="J1052:U1052">SUM(J1049:J1051)</f>
        <v>59886.67</v>
      </c>
      <c r="K1052" s="22">
        <f t="shared" si="100"/>
        <v>59636.67</v>
      </c>
      <c r="L1052" s="22">
        <f t="shared" si="100"/>
        <v>59636.67</v>
      </c>
      <c r="M1052" s="22">
        <f t="shared" si="100"/>
        <v>59636.67</v>
      </c>
      <c r="N1052" s="22">
        <f t="shared" si="100"/>
        <v>59636.67</v>
      </c>
      <c r="O1052" s="22">
        <f t="shared" si="100"/>
        <v>59636.67</v>
      </c>
      <c r="P1052" s="22">
        <f t="shared" si="100"/>
        <v>59636.67</v>
      </c>
      <c r="Q1052" s="22">
        <f t="shared" si="100"/>
        <v>59636.67</v>
      </c>
      <c r="R1052" s="22">
        <f t="shared" si="100"/>
        <v>59636.67</v>
      </c>
      <c r="S1052" s="22">
        <f t="shared" si="100"/>
        <v>59636.67</v>
      </c>
      <c r="T1052" s="22">
        <f t="shared" si="100"/>
        <v>59636.67</v>
      </c>
      <c r="U1052" s="30">
        <f t="shared" si="100"/>
        <v>0</v>
      </c>
      <c r="V1052" s="22">
        <f>SUM(V1049:V1051)</f>
        <v>656253.37</v>
      </c>
    </row>
    <row r="1053" ht="13.5" customHeight="1">
      <c r="C1053" s="10"/>
    </row>
    <row r="1054" spans="2:3" ht="13.5" customHeight="1">
      <c r="B1054" s="37" t="s">
        <v>104</v>
      </c>
      <c r="C1054" s="25" t="s">
        <v>307</v>
      </c>
    </row>
    <row r="1055" spans="3:22" ht="13.5" customHeight="1">
      <c r="C1055" s="4" t="s">
        <v>3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  <c r="Q1055" s="21">
        <v>0</v>
      </c>
      <c r="R1055" s="21">
        <v>0</v>
      </c>
      <c r="S1055" s="21">
        <v>0</v>
      </c>
      <c r="T1055" s="21">
        <v>0</v>
      </c>
      <c r="U1055" s="29"/>
      <c r="V1055" s="21">
        <f>SUM(J1055:U1055)</f>
        <v>0</v>
      </c>
    </row>
    <row r="1056" spans="3:22" ht="13.5" customHeight="1">
      <c r="C1056" s="4" t="s">
        <v>4</v>
      </c>
      <c r="J1056" s="45">
        <v>250</v>
      </c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52"/>
      <c r="V1056" s="21">
        <f>SUM(J1056:U1056)</f>
        <v>250</v>
      </c>
    </row>
    <row r="1057" spans="3:22" ht="13.5" customHeight="1" thickBot="1">
      <c r="C1057" s="4" t="s">
        <v>5</v>
      </c>
      <c r="J1057" s="45">
        <f>30000+86521.88</f>
        <v>116521.88</v>
      </c>
      <c r="K1057" s="45">
        <f>30000+86521.88</f>
        <v>116521.88</v>
      </c>
      <c r="L1057" s="45">
        <f aca="true" t="shared" si="101" ref="L1057:T1057">30000+86521.88</f>
        <v>116521.88</v>
      </c>
      <c r="M1057" s="45">
        <f t="shared" si="101"/>
        <v>116521.88</v>
      </c>
      <c r="N1057" s="45">
        <f t="shared" si="101"/>
        <v>116521.88</v>
      </c>
      <c r="O1057" s="45">
        <f>30000+86521.85</f>
        <v>116521.85</v>
      </c>
      <c r="P1057" s="45">
        <f t="shared" si="101"/>
        <v>116521.88</v>
      </c>
      <c r="Q1057" s="45">
        <f t="shared" si="101"/>
        <v>116521.88</v>
      </c>
      <c r="R1057" s="45">
        <f t="shared" si="101"/>
        <v>116521.88</v>
      </c>
      <c r="S1057" s="45">
        <f t="shared" si="101"/>
        <v>116521.88</v>
      </c>
      <c r="T1057" s="45">
        <f t="shared" si="101"/>
        <v>116521.88</v>
      </c>
      <c r="U1057" s="52"/>
      <c r="V1057" s="21">
        <f>SUM(J1057:U1057)</f>
        <v>1281740.65</v>
      </c>
    </row>
    <row r="1058" spans="3:22" ht="13.5" customHeight="1" thickBot="1">
      <c r="C1058" s="6" t="s">
        <v>303</v>
      </c>
      <c r="J1058" s="22">
        <f aca="true" t="shared" si="102" ref="J1058:U1058">SUM(J1055:J1057)</f>
        <v>116771.88</v>
      </c>
      <c r="K1058" s="22">
        <f t="shared" si="102"/>
        <v>116521.88</v>
      </c>
      <c r="L1058" s="22">
        <f t="shared" si="102"/>
        <v>116521.88</v>
      </c>
      <c r="M1058" s="22">
        <f t="shared" si="102"/>
        <v>116521.88</v>
      </c>
      <c r="N1058" s="22">
        <f t="shared" si="102"/>
        <v>116521.88</v>
      </c>
      <c r="O1058" s="22">
        <f t="shared" si="102"/>
        <v>116521.85</v>
      </c>
      <c r="P1058" s="22">
        <f t="shared" si="102"/>
        <v>116521.88</v>
      </c>
      <c r="Q1058" s="22">
        <f t="shared" si="102"/>
        <v>116521.88</v>
      </c>
      <c r="R1058" s="22">
        <f t="shared" si="102"/>
        <v>116521.88</v>
      </c>
      <c r="S1058" s="22">
        <f t="shared" si="102"/>
        <v>116521.88</v>
      </c>
      <c r="T1058" s="22">
        <f t="shared" si="102"/>
        <v>116521.88</v>
      </c>
      <c r="U1058" s="30">
        <f t="shared" si="102"/>
        <v>0</v>
      </c>
      <c r="V1058" s="22">
        <f>SUM(V1055:V1057)</f>
        <v>1281990.65</v>
      </c>
    </row>
    <row r="1059" ht="13.5" customHeight="1">
      <c r="C1059" s="10"/>
    </row>
    <row r="1060" spans="2:3" ht="13.5" customHeight="1">
      <c r="B1060" s="37" t="s">
        <v>104</v>
      </c>
      <c r="C1060" s="25" t="s">
        <v>308</v>
      </c>
    </row>
    <row r="1061" spans="3:22" ht="13.5" customHeight="1">
      <c r="C1061" s="4" t="s">
        <v>3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  <c r="Q1061" s="21">
        <v>0</v>
      </c>
      <c r="R1061" s="21">
        <v>0</v>
      </c>
      <c r="S1061" s="21">
        <v>0</v>
      </c>
      <c r="T1061" s="21">
        <v>0</v>
      </c>
      <c r="U1061" s="29"/>
      <c r="V1061" s="21">
        <f>SUM(J1061:U1061)</f>
        <v>0</v>
      </c>
    </row>
    <row r="1062" spans="3:22" ht="13.5" customHeight="1">
      <c r="C1062" s="4" t="s">
        <v>4</v>
      </c>
      <c r="J1062" s="45">
        <v>250</v>
      </c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52"/>
      <c r="V1062" s="21">
        <f>SUM(J1062:U1062)</f>
        <v>250</v>
      </c>
    </row>
    <row r="1063" spans="3:22" ht="13.5" customHeight="1" thickBot="1">
      <c r="C1063" s="4" t="s">
        <v>5</v>
      </c>
      <c r="J1063" s="45">
        <f>19166.67+54491.25</f>
        <v>73657.92</v>
      </c>
      <c r="K1063" s="45">
        <f aca="true" t="shared" si="103" ref="K1063:T1063">19166.67+54491.25</f>
        <v>73657.92</v>
      </c>
      <c r="L1063" s="45">
        <f t="shared" si="103"/>
        <v>73657.92</v>
      </c>
      <c r="M1063" s="45">
        <f t="shared" si="103"/>
        <v>73657.92</v>
      </c>
      <c r="N1063" s="45">
        <f t="shared" si="103"/>
        <v>73657.92</v>
      </c>
      <c r="O1063" s="45">
        <f t="shared" si="103"/>
        <v>73657.92</v>
      </c>
      <c r="P1063" s="45">
        <f t="shared" si="103"/>
        <v>73657.92</v>
      </c>
      <c r="Q1063" s="45">
        <f t="shared" si="103"/>
        <v>73657.92</v>
      </c>
      <c r="R1063" s="45">
        <f t="shared" si="103"/>
        <v>73657.92</v>
      </c>
      <c r="S1063" s="45">
        <f t="shared" si="103"/>
        <v>73657.92</v>
      </c>
      <c r="T1063" s="45">
        <f t="shared" si="103"/>
        <v>73657.92</v>
      </c>
      <c r="U1063" s="52"/>
      <c r="V1063" s="21">
        <f>SUM(J1063:U1063)</f>
        <v>810237.1200000001</v>
      </c>
    </row>
    <row r="1064" spans="3:22" ht="13.5" customHeight="1" thickBot="1">
      <c r="C1064" s="6" t="s">
        <v>304</v>
      </c>
      <c r="J1064" s="22">
        <f aca="true" t="shared" si="104" ref="J1064:U1064">SUM(J1061:J1063)</f>
        <v>73907.92</v>
      </c>
      <c r="K1064" s="22">
        <f t="shared" si="104"/>
        <v>73657.92</v>
      </c>
      <c r="L1064" s="22">
        <f t="shared" si="104"/>
        <v>73657.92</v>
      </c>
      <c r="M1064" s="22">
        <f t="shared" si="104"/>
        <v>73657.92</v>
      </c>
      <c r="N1064" s="22">
        <f t="shared" si="104"/>
        <v>73657.92</v>
      </c>
      <c r="O1064" s="22">
        <f t="shared" si="104"/>
        <v>73657.92</v>
      </c>
      <c r="P1064" s="22">
        <f t="shared" si="104"/>
        <v>73657.92</v>
      </c>
      <c r="Q1064" s="22">
        <f t="shared" si="104"/>
        <v>73657.92</v>
      </c>
      <c r="R1064" s="22">
        <f t="shared" si="104"/>
        <v>73657.92</v>
      </c>
      <c r="S1064" s="22">
        <f t="shared" si="104"/>
        <v>73657.92</v>
      </c>
      <c r="T1064" s="22">
        <f t="shared" si="104"/>
        <v>73657.92</v>
      </c>
      <c r="U1064" s="30">
        <f t="shared" si="104"/>
        <v>0</v>
      </c>
      <c r="V1064" s="22">
        <f>SUM(V1061:V1063)</f>
        <v>810487.1200000001</v>
      </c>
    </row>
    <row r="1065" ht="13.5" customHeight="1">
      <c r="C1065" s="10"/>
    </row>
    <row r="1066" spans="2:3" ht="13.5" customHeight="1">
      <c r="B1066" s="37" t="s">
        <v>104</v>
      </c>
      <c r="C1066" s="25" t="s">
        <v>309</v>
      </c>
    </row>
    <row r="1067" spans="3:22" ht="13.5" customHeight="1">
      <c r="C1067" s="4" t="s">
        <v>3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  <c r="Q1067" s="21">
        <v>0</v>
      </c>
      <c r="R1067" s="21">
        <v>0</v>
      </c>
      <c r="S1067" s="21">
        <v>0</v>
      </c>
      <c r="T1067" s="21">
        <v>0</v>
      </c>
      <c r="U1067" s="29"/>
      <c r="V1067" s="21">
        <f>SUM(J1067:U1067)</f>
        <v>0</v>
      </c>
    </row>
    <row r="1068" spans="3:22" ht="13.5" customHeight="1">
      <c r="C1068" s="4" t="s">
        <v>4</v>
      </c>
      <c r="J1068" s="45">
        <v>250</v>
      </c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52"/>
      <c r="V1068" s="21">
        <f>SUM(J1068:U1068)</f>
        <v>250</v>
      </c>
    </row>
    <row r="1069" spans="3:22" ht="13.5" customHeight="1" thickBot="1">
      <c r="C1069" s="4" t="s">
        <v>5</v>
      </c>
      <c r="J1069" s="45">
        <f>17500+74270.21</f>
        <v>91770.21</v>
      </c>
      <c r="K1069" s="45">
        <f aca="true" t="shared" si="105" ref="K1069:T1069">17500+74270.21</f>
        <v>91770.21</v>
      </c>
      <c r="L1069" s="45">
        <f t="shared" si="105"/>
        <v>91770.21</v>
      </c>
      <c r="M1069" s="45">
        <f t="shared" si="105"/>
        <v>91770.21</v>
      </c>
      <c r="N1069" s="45">
        <f t="shared" si="105"/>
        <v>91770.21</v>
      </c>
      <c r="O1069" s="45">
        <f>17500+74270.2</f>
        <v>91770.2</v>
      </c>
      <c r="P1069" s="45">
        <f t="shared" si="105"/>
        <v>91770.21</v>
      </c>
      <c r="Q1069" s="45">
        <f t="shared" si="105"/>
        <v>91770.21</v>
      </c>
      <c r="R1069" s="45">
        <f t="shared" si="105"/>
        <v>91770.21</v>
      </c>
      <c r="S1069" s="45">
        <f t="shared" si="105"/>
        <v>91770.21</v>
      </c>
      <c r="T1069" s="45">
        <f t="shared" si="105"/>
        <v>91770.21</v>
      </c>
      <c r="U1069" s="52"/>
      <c r="V1069" s="21">
        <f>SUM(J1069:U1069)</f>
        <v>1009472.2999999998</v>
      </c>
    </row>
    <row r="1070" spans="3:22" ht="13.5" customHeight="1" thickBot="1">
      <c r="C1070" s="6" t="s">
        <v>304</v>
      </c>
      <c r="J1070" s="22">
        <f aca="true" t="shared" si="106" ref="J1070:U1070">SUM(J1067:J1069)</f>
        <v>92020.21</v>
      </c>
      <c r="K1070" s="22">
        <f t="shared" si="106"/>
        <v>91770.21</v>
      </c>
      <c r="L1070" s="22">
        <f t="shared" si="106"/>
        <v>91770.21</v>
      </c>
      <c r="M1070" s="22">
        <f t="shared" si="106"/>
        <v>91770.21</v>
      </c>
      <c r="N1070" s="22">
        <f t="shared" si="106"/>
        <v>91770.21</v>
      </c>
      <c r="O1070" s="22">
        <f t="shared" si="106"/>
        <v>91770.2</v>
      </c>
      <c r="P1070" s="22">
        <f t="shared" si="106"/>
        <v>91770.21</v>
      </c>
      <c r="Q1070" s="22">
        <f t="shared" si="106"/>
        <v>91770.21</v>
      </c>
      <c r="R1070" s="22">
        <f t="shared" si="106"/>
        <v>91770.21</v>
      </c>
      <c r="S1070" s="22">
        <f t="shared" si="106"/>
        <v>91770.21</v>
      </c>
      <c r="T1070" s="22">
        <f t="shared" si="106"/>
        <v>91770.21</v>
      </c>
      <c r="U1070" s="30">
        <f t="shared" si="106"/>
        <v>0</v>
      </c>
      <c r="V1070" s="22">
        <f>SUM(V1067:V1069)</f>
        <v>1009722.2999999998</v>
      </c>
    </row>
    <row r="1071" ht="13.5" customHeight="1">
      <c r="C1071" s="10"/>
    </row>
    <row r="1072" spans="1:3" ht="13.5" customHeight="1">
      <c r="A1072" s="1">
        <f>A1030+1</f>
        <v>52</v>
      </c>
      <c r="B1072" s="39"/>
      <c r="C1072" s="5" t="s">
        <v>310</v>
      </c>
    </row>
    <row r="1073" spans="3:22" ht="13.5" customHeight="1">
      <c r="C1073" s="4" t="s">
        <v>3</v>
      </c>
      <c r="J1073" s="45">
        <v>847.5</v>
      </c>
      <c r="K1073" s="45">
        <v>847.5</v>
      </c>
      <c r="L1073" s="45">
        <v>847.5</v>
      </c>
      <c r="M1073" s="45">
        <v>847.5</v>
      </c>
      <c r="N1073" s="45">
        <v>847.5</v>
      </c>
      <c r="O1073" s="45">
        <v>847.5</v>
      </c>
      <c r="P1073" s="45">
        <v>847.5</v>
      </c>
      <c r="Q1073" s="45">
        <v>847.5</v>
      </c>
      <c r="R1073" s="45">
        <v>847.5</v>
      </c>
      <c r="S1073" s="45">
        <v>847.5</v>
      </c>
      <c r="T1073" s="45">
        <v>847.5</v>
      </c>
      <c r="U1073" s="52">
        <v>847.5</v>
      </c>
      <c r="V1073" s="21">
        <f>SUM(J1073:U1073)</f>
        <v>10170</v>
      </c>
    </row>
    <row r="1074" spans="3:22" ht="13.5" customHeight="1">
      <c r="C1074" s="4" t="s">
        <v>4</v>
      </c>
      <c r="J1074" s="45">
        <v>250</v>
      </c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52"/>
      <c r="V1074" s="21">
        <f>SUM(J1074:U1074)</f>
        <v>250</v>
      </c>
    </row>
    <row r="1075" spans="3:22" ht="13.5" customHeight="1" thickBot="1">
      <c r="C1075" s="4" t="s">
        <v>5</v>
      </c>
      <c r="J1075" s="21">
        <v>50856.26</v>
      </c>
      <c r="K1075" s="21">
        <v>50856.26</v>
      </c>
      <c r="L1075" s="21">
        <v>50856.26</v>
      </c>
      <c r="M1075" s="21">
        <v>50856.26</v>
      </c>
      <c r="N1075" s="21">
        <v>50856.26</v>
      </c>
      <c r="O1075" s="21">
        <v>50856.26</v>
      </c>
      <c r="P1075" s="21">
        <v>50856.26</v>
      </c>
      <c r="Q1075" s="21">
        <v>50856.26</v>
      </c>
      <c r="R1075" s="21">
        <v>50856.26</v>
      </c>
      <c r="S1075" s="21">
        <v>50856.26</v>
      </c>
      <c r="T1075" s="21">
        <v>50856.26</v>
      </c>
      <c r="U1075" s="52">
        <v>50910.42</v>
      </c>
      <c r="V1075" s="21">
        <f>SUM(J1075:U1075)</f>
        <v>610329.28</v>
      </c>
    </row>
    <row r="1076" spans="3:22" ht="13.5" customHeight="1" thickBot="1">
      <c r="C1076" s="6" t="s">
        <v>311</v>
      </c>
      <c r="J1076" s="22">
        <f aca="true" t="shared" si="107" ref="J1076:U1076">SUM(J1073:J1075)</f>
        <v>51953.76</v>
      </c>
      <c r="K1076" s="22">
        <f t="shared" si="107"/>
        <v>51703.76</v>
      </c>
      <c r="L1076" s="22">
        <f t="shared" si="107"/>
        <v>51703.76</v>
      </c>
      <c r="M1076" s="22">
        <f t="shared" si="107"/>
        <v>51703.76</v>
      </c>
      <c r="N1076" s="22">
        <f t="shared" si="107"/>
        <v>51703.76</v>
      </c>
      <c r="O1076" s="22">
        <f t="shared" si="107"/>
        <v>51703.76</v>
      </c>
      <c r="P1076" s="22">
        <f t="shared" si="107"/>
        <v>51703.76</v>
      </c>
      <c r="Q1076" s="22">
        <f t="shared" si="107"/>
        <v>51703.76</v>
      </c>
      <c r="R1076" s="22">
        <f t="shared" si="107"/>
        <v>51703.76</v>
      </c>
      <c r="S1076" s="22">
        <f t="shared" si="107"/>
        <v>51703.76</v>
      </c>
      <c r="T1076" s="22">
        <f t="shared" si="107"/>
        <v>51703.76</v>
      </c>
      <c r="U1076" s="30">
        <f t="shared" si="107"/>
        <v>51757.92</v>
      </c>
      <c r="V1076" s="22">
        <f>SUM(V1073:V1075)</f>
        <v>620749.28</v>
      </c>
    </row>
    <row r="1077" ht="13.5" customHeight="1">
      <c r="C1077" s="10"/>
    </row>
    <row r="1078" spans="1:3" ht="13.5" customHeight="1">
      <c r="A1078" s="1">
        <f>A1072+1</f>
        <v>53</v>
      </c>
      <c r="B1078" s="39"/>
      <c r="C1078" s="5" t="s">
        <v>312</v>
      </c>
    </row>
    <row r="1079" spans="3:22" ht="13.5" customHeight="1">
      <c r="C1079" s="4" t="s">
        <v>3</v>
      </c>
      <c r="J1079" s="21">
        <v>0</v>
      </c>
      <c r="K1079" s="21">
        <v>0</v>
      </c>
      <c r="L1079" s="21">
        <v>0</v>
      </c>
      <c r="M1079" s="21">
        <v>0</v>
      </c>
      <c r="N1079" s="21">
        <v>0</v>
      </c>
      <c r="O1079" s="21">
        <v>0</v>
      </c>
      <c r="P1079" s="21">
        <v>0</v>
      </c>
      <c r="Q1079" s="21">
        <v>0</v>
      </c>
      <c r="R1079" s="21">
        <v>0</v>
      </c>
      <c r="S1079" s="21">
        <v>0</v>
      </c>
      <c r="T1079" s="21">
        <v>0</v>
      </c>
      <c r="U1079" s="29">
        <v>0</v>
      </c>
      <c r="V1079" s="21">
        <f>SUM(J1079:U1079)</f>
        <v>0</v>
      </c>
    </row>
    <row r="1080" spans="3:22" ht="13.5" customHeight="1">
      <c r="C1080" s="4" t="s">
        <v>4</v>
      </c>
      <c r="J1080" s="45">
        <v>250</v>
      </c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52"/>
      <c r="V1080" s="21">
        <f>SUM(J1080:U1080)</f>
        <v>250</v>
      </c>
    </row>
    <row r="1081" spans="3:22" ht="13.5" customHeight="1" thickBot="1">
      <c r="C1081" s="4" t="s">
        <v>5</v>
      </c>
      <c r="J1081" s="45">
        <v>30745.63</v>
      </c>
      <c r="K1081" s="45">
        <v>30704.91</v>
      </c>
      <c r="L1081" s="45">
        <v>30664.19</v>
      </c>
      <c r="M1081" s="45">
        <v>30623.46</v>
      </c>
      <c r="N1081" s="45">
        <v>30582.74</v>
      </c>
      <c r="O1081" s="45">
        <v>30542.02</v>
      </c>
      <c r="P1081" s="45">
        <v>30501.3</v>
      </c>
      <c r="Q1081" s="45">
        <v>30460.57</v>
      </c>
      <c r="R1081" s="45">
        <v>30419.85</v>
      </c>
      <c r="S1081" s="45">
        <v>30379.13</v>
      </c>
      <c r="T1081" s="45">
        <v>30338.41</v>
      </c>
      <c r="U1081" s="52">
        <v>30304.68</v>
      </c>
      <c r="V1081" s="21">
        <f>SUM(J1081:U1081)</f>
        <v>366266.88999999996</v>
      </c>
    </row>
    <row r="1082" spans="3:22" ht="13.5" customHeight="1" thickBot="1">
      <c r="C1082" s="6" t="s">
        <v>126</v>
      </c>
      <c r="J1082" s="22">
        <f aca="true" t="shared" si="108" ref="J1082:U1082">SUM(J1079:J1081)</f>
        <v>30995.63</v>
      </c>
      <c r="K1082" s="22">
        <f t="shared" si="108"/>
        <v>30704.91</v>
      </c>
      <c r="L1082" s="22">
        <f t="shared" si="108"/>
        <v>30664.19</v>
      </c>
      <c r="M1082" s="22">
        <f t="shared" si="108"/>
        <v>30623.46</v>
      </c>
      <c r="N1082" s="22">
        <f t="shared" si="108"/>
        <v>30582.74</v>
      </c>
      <c r="O1082" s="22">
        <f t="shared" si="108"/>
        <v>30542.02</v>
      </c>
      <c r="P1082" s="22">
        <f t="shared" si="108"/>
        <v>30501.3</v>
      </c>
      <c r="Q1082" s="22">
        <f t="shared" si="108"/>
        <v>30460.57</v>
      </c>
      <c r="R1082" s="22">
        <f t="shared" si="108"/>
        <v>30419.85</v>
      </c>
      <c r="S1082" s="22">
        <f t="shared" si="108"/>
        <v>30379.13</v>
      </c>
      <c r="T1082" s="22">
        <f t="shared" si="108"/>
        <v>30338.41</v>
      </c>
      <c r="U1082" s="30">
        <f t="shared" si="108"/>
        <v>30304.68</v>
      </c>
      <c r="V1082" s="22">
        <f>SUM(V1079:V1081)</f>
        <v>366516.88999999996</v>
      </c>
    </row>
    <row r="1083" ht="13.5" customHeight="1">
      <c r="C1083" s="10"/>
    </row>
    <row r="1084" spans="1:3" ht="13.5" customHeight="1">
      <c r="A1084" s="1">
        <f>A1078+1</f>
        <v>54</v>
      </c>
      <c r="B1084" s="39"/>
      <c r="C1084" s="5" t="s">
        <v>397</v>
      </c>
    </row>
    <row r="1085" spans="3:22" ht="13.5" customHeight="1">
      <c r="C1085" s="4" t="s">
        <v>3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21">
        <v>0</v>
      </c>
      <c r="R1085" s="21">
        <v>0</v>
      </c>
      <c r="S1085" s="21">
        <v>0</v>
      </c>
      <c r="T1085" s="21">
        <v>0</v>
      </c>
      <c r="U1085" s="29">
        <v>0</v>
      </c>
      <c r="V1085" s="21">
        <f>SUM(J1085:U1085)</f>
        <v>0</v>
      </c>
    </row>
    <row r="1086" spans="3:22" ht="13.5" customHeight="1">
      <c r="C1086" s="4" t="s">
        <v>4</v>
      </c>
      <c r="J1086" s="45">
        <v>250</v>
      </c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52"/>
      <c r="V1086" s="21">
        <f>SUM(J1086:U1086)</f>
        <v>250</v>
      </c>
    </row>
    <row r="1087" spans="3:22" ht="13.5" customHeight="1" thickBot="1">
      <c r="C1087" s="4" t="s">
        <v>5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45">
        <v>95418.58</v>
      </c>
      <c r="P1087" s="45">
        <v>95418.58</v>
      </c>
      <c r="Q1087" s="45">
        <v>95418.58</v>
      </c>
      <c r="R1087" s="45">
        <v>95418.58</v>
      </c>
      <c r="S1087" s="45">
        <v>95418.58</v>
      </c>
      <c r="T1087" s="45">
        <v>95418.56</v>
      </c>
      <c r="U1087" s="52">
        <f>31666.67+120953.13</f>
        <v>152619.8</v>
      </c>
      <c r="V1087" s="21">
        <f>SUM(J1087:U1087)</f>
        <v>725131.26</v>
      </c>
    </row>
    <row r="1088" spans="3:22" ht="13.5" customHeight="1" thickBot="1">
      <c r="C1088" s="6" t="s">
        <v>398</v>
      </c>
      <c r="J1088" s="22">
        <f aca="true" t="shared" si="109" ref="J1088:U1088">SUM(J1085:J1087)</f>
        <v>250</v>
      </c>
      <c r="K1088" s="22">
        <f t="shared" si="109"/>
        <v>0</v>
      </c>
      <c r="L1088" s="22">
        <f t="shared" si="109"/>
        <v>0</v>
      </c>
      <c r="M1088" s="22">
        <f t="shared" si="109"/>
        <v>0</v>
      </c>
      <c r="N1088" s="22">
        <f t="shared" si="109"/>
        <v>0</v>
      </c>
      <c r="O1088" s="22">
        <f t="shared" si="109"/>
        <v>95418.58</v>
      </c>
      <c r="P1088" s="22">
        <f t="shared" si="109"/>
        <v>95418.58</v>
      </c>
      <c r="Q1088" s="22">
        <f t="shared" si="109"/>
        <v>95418.58</v>
      </c>
      <c r="R1088" s="22">
        <f t="shared" si="109"/>
        <v>95418.58</v>
      </c>
      <c r="S1088" s="22">
        <f t="shared" si="109"/>
        <v>95418.58</v>
      </c>
      <c r="T1088" s="22">
        <f t="shared" si="109"/>
        <v>95418.56</v>
      </c>
      <c r="U1088" s="30">
        <f t="shared" si="109"/>
        <v>152619.8</v>
      </c>
      <c r="V1088" s="22">
        <f>SUM(V1085:V1087)</f>
        <v>725381.26</v>
      </c>
    </row>
    <row r="1089" ht="13.5" customHeight="1">
      <c r="C1089" s="10"/>
    </row>
    <row r="1090" spans="2:3" ht="13.5" customHeight="1">
      <c r="B1090" s="37" t="s">
        <v>104</v>
      </c>
      <c r="C1090" s="25" t="s">
        <v>313</v>
      </c>
    </row>
    <row r="1091" ht="13.5" customHeight="1">
      <c r="C1091" s="4" t="s">
        <v>3</v>
      </c>
    </row>
    <row r="1092" ht="13.5" customHeight="1">
      <c r="C1092" s="4" t="s">
        <v>4</v>
      </c>
    </row>
    <row r="1093" ht="13.5" customHeight="1" thickBot="1">
      <c r="C1093" s="4" t="s">
        <v>5</v>
      </c>
    </row>
    <row r="1094" ht="13.5" customHeight="1" thickBot="1">
      <c r="C1094" s="6" t="s">
        <v>301</v>
      </c>
    </row>
    <row r="1095" ht="13.5" customHeight="1">
      <c r="C1095" s="10"/>
    </row>
    <row r="1096" spans="1:3" ht="13.5" customHeight="1">
      <c r="A1096" s="1">
        <f>A1084+1</f>
        <v>55</v>
      </c>
      <c r="B1096" s="40" t="s">
        <v>248</v>
      </c>
      <c r="C1096" s="5" t="s">
        <v>315</v>
      </c>
    </row>
    <row r="1097" spans="3:22" ht="13.5" customHeight="1">
      <c r="C1097" s="4" t="s">
        <v>3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  <c r="Q1097" s="21">
        <v>0</v>
      </c>
      <c r="R1097" s="21">
        <v>0</v>
      </c>
      <c r="S1097" s="21">
        <v>0</v>
      </c>
      <c r="T1097" s="21">
        <v>0</v>
      </c>
      <c r="U1097" s="29">
        <v>0</v>
      </c>
      <c r="V1097" s="21">
        <f>SUM(J1097:U1097)</f>
        <v>0</v>
      </c>
    </row>
    <row r="1098" spans="3:22" ht="13.5" customHeight="1">
      <c r="C1098" s="4" t="s">
        <v>4</v>
      </c>
      <c r="J1098" s="45">
        <v>74.32</v>
      </c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52"/>
      <c r="V1098" s="21">
        <f>SUM(J1098:U1098)</f>
        <v>74.32</v>
      </c>
    </row>
    <row r="1099" spans="3:22" ht="13.5" customHeight="1" thickBot="1">
      <c r="C1099" s="4" t="s">
        <v>5</v>
      </c>
      <c r="J1099" s="21">
        <v>25701.81</v>
      </c>
      <c r="K1099" s="45">
        <v>25701.8</v>
      </c>
      <c r="L1099" s="45">
        <v>25701.8</v>
      </c>
      <c r="M1099" s="21">
        <v>25701.81</v>
      </c>
      <c r="N1099" s="21">
        <v>25701.81</v>
      </c>
      <c r="O1099" s="45">
        <v>25701.8</v>
      </c>
      <c r="P1099" s="45">
        <v>25701.8</v>
      </c>
      <c r="Q1099" s="21">
        <v>25701.81</v>
      </c>
      <c r="R1099" s="45">
        <v>25701.8</v>
      </c>
      <c r="S1099" s="21">
        <v>25701.81</v>
      </c>
      <c r="T1099" s="21">
        <v>25701.81</v>
      </c>
      <c r="U1099" s="29">
        <v>25701.81</v>
      </c>
      <c r="V1099" s="21">
        <f>SUM(J1099:U1099)</f>
        <v>308421.67</v>
      </c>
    </row>
    <row r="1100" spans="3:22" ht="13.5" customHeight="1" thickBot="1">
      <c r="C1100" s="6" t="s">
        <v>30</v>
      </c>
      <c r="J1100" s="22">
        <f aca="true" t="shared" si="110" ref="J1100:U1100">SUM(J1097:J1099)</f>
        <v>25776.13</v>
      </c>
      <c r="K1100" s="22">
        <f t="shared" si="110"/>
        <v>25701.8</v>
      </c>
      <c r="L1100" s="22">
        <f t="shared" si="110"/>
        <v>25701.8</v>
      </c>
      <c r="M1100" s="22">
        <f t="shared" si="110"/>
        <v>25701.81</v>
      </c>
      <c r="N1100" s="22">
        <f t="shared" si="110"/>
        <v>25701.81</v>
      </c>
      <c r="O1100" s="22">
        <f t="shared" si="110"/>
        <v>25701.8</v>
      </c>
      <c r="P1100" s="22">
        <f t="shared" si="110"/>
        <v>25701.8</v>
      </c>
      <c r="Q1100" s="22">
        <f t="shared" si="110"/>
        <v>25701.81</v>
      </c>
      <c r="R1100" s="22">
        <f t="shared" si="110"/>
        <v>25701.8</v>
      </c>
      <c r="S1100" s="22">
        <f t="shared" si="110"/>
        <v>25701.81</v>
      </c>
      <c r="T1100" s="22">
        <f t="shared" si="110"/>
        <v>25701.81</v>
      </c>
      <c r="U1100" s="30">
        <f t="shared" si="110"/>
        <v>25701.81</v>
      </c>
      <c r="V1100" s="22">
        <f>SUM(V1097:V1099)</f>
        <v>308495.99</v>
      </c>
    </row>
    <row r="1101" ht="13.5" customHeight="1">
      <c r="C1101" s="10"/>
    </row>
    <row r="1102" spans="1:3" ht="13.5" customHeight="1">
      <c r="A1102" s="1">
        <f>A1096</f>
        <v>55</v>
      </c>
      <c r="B1102" s="40" t="s">
        <v>249</v>
      </c>
      <c r="C1102" s="5" t="s">
        <v>316</v>
      </c>
    </row>
    <row r="1103" spans="3:22" ht="13.5" customHeight="1">
      <c r="C1103" s="4" t="s">
        <v>3</v>
      </c>
      <c r="J1103" s="21">
        <v>0</v>
      </c>
      <c r="K1103" s="21">
        <v>0</v>
      </c>
      <c r="L1103" s="21">
        <v>0</v>
      </c>
      <c r="M1103" s="21">
        <v>0</v>
      </c>
      <c r="N1103" s="21">
        <v>0</v>
      </c>
      <c r="O1103" s="21">
        <v>0</v>
      </c>
      <c r="P1103" s="21">
        <v>0</v>
      </c>
      <c r="Q1103" s="21">
        <v>0</v>
      </c>
      <c r="R1103" s="21">
        <v>0</v>
      </c>
      <c r="S1103" s="21">
        <v>0</v>
      </c>
      <c r="T1103" s="21">
        <v>0</v>
      </c>
      <c r="U1103" s="29">
        <v>0</v>
      </c>
      <c r="V1103" s="21">
        <f>SUM(J1103:U1103)</f>
        <v>0</v>
      </c>
    </row>
    <row r="1104" spans="3:22" ht="13.5" customHeight="1">
      <c r="C1104" s="4" t="s">
        <v>4</v>
      </c>
      <c r="J1104" s="45">
        <v>77.7</v>
      </c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52"/>
      <c r="V1104" s="21">
        <f>SUM(J1104:U1104)</f>
        <v>77.7</v>
      </c>
    </row>
    <row r="1105" spans="3:22" ht="13.5" customHeight="1" thickBot="1">
      <c r="C1105" s="4" t="s">
        <v>5</v>
      </c>
      <c r="J1105" s="21">
        <v>26868.89</v>
      </c>
      <c r="K1105" s="21">
        <v>26868.89</v>
      </c>
      <c r="L1105" s="21">
        <v>26868.89</v>
      </c>
      <c r="M1105" s="21">
        <v>26868.89</v>
      </c>
      <c r="N1105" s="21">
        <v>26868.89</v>
      </c>
      <c r="O1105" s="21">
        <v>26868.89</v>
      </c>
      <c r="P1105" s="21">
        <v>26868.89</v>
      </c>
      <c r="Q1105" s="21">
        <v>26868.89</v>
      </c>
      <c r="R1105" s="21">
        <v>26868.89</v>
      </c>
      <c r="S1105" s="21">
        <v>26868.89</v>
      </c>
      <c r="T1105" s="21">
        <v>26868.88</v>
      </c>
      <c r="U1105" s="29">
        <v>26868.89</v>
      </c>
      <c r="V1105" s="21">
        <f>SUM(J1105:U1105)</f>
        <v>322426.6700000001</v>
      </c>
    </row>
    <row r="1106" spans="3:22" ht="13.5" customHeight="1" thickBot="1">
      <c r="C1106" s="6" t="s">
        <v>32</v>
      </c>
      <c r="J1106" s="22">
        <f aca="true" t="shared" si="111" ref="J1106:U1106">SUM(J1103:J1105)</f>
        <v>26946.59</v>
      </c>
      <c r="K1106" s="22">
        <f t="shared" si="111"/>
        <v>26868.89</v>
      </c>
      <c r="L1106" s="22">
        <f t="shared" si="111"/>
        <v>26868.89</v>
      </c>
      <c r="M1106" s="22">
        <f t="shared" si="111"/>
        <v>26868.89</v>
      </c>
      <c r="N1106" s="22">
        <f t="shared" si="111"/>
        <v>26868.89</v>
      </c>
      <c r="O1106" s="22">
        <f t="shared" si="111"/>
        <v>26868.89</v>
      </c>
      <c r="P1106" s="22">
        <f t="shared" si="111"/>
        <v>26868.89</v>
      </c>
      <c r="Q1106" s="22">
        <f t="shared" si="111"/>
        <v>26868.89</v>
      </c>
      <c r="R1106" s="22">
        <f t="shared" si="111"/>
        <v>26868.89</v>
      </c>
      <c r="S1106" s="22">
        <f t="shared" si="111"/>
        <v>26868.89</v>
      </c>
      <c r="T1106" s="22">
        <f t="shared" si="111"/>
        <v>26868.88</v>
      </c>
      <c r="U1106" s="30">
        <f t="shared" si="111"/>
        <v>26868.89</v>
      </c>
      <c r="V1106" s="22">
        <f>SUM(V1103:V1105)</f>
        <v>322504.3700000001</v>
      </c>
    </row>
    <row r="1107" ht="13.5" customHeight="1">
      <c r="C1107" s="10"/>
    </row>
    <row r="1108" spans="1:3" ht="13.5" customHeight="1">
      <c r="A1108" s="1">
        <f>A1096</f>
        <v>55</v>
      </c>
      <c r="B1108" s="40" t="s">
        <v>250</v>
      </c>
      <c r="C1108" s="5" t="s">
        <v>317</v>
      </c>
    </row>
    <row r="1109" spans="3:22" ht="13.5" customHeight="1">
      <c r="C1109" s="4" t="s">
        <v>3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1">
        <v>0</v>
      </c>
      <c r="Q1109" s="21">
        <v>0</v>
      </c>
      <c r="R1109" s="21">
        <v>0</v>
      </c>
      <c r="S1109" s="21">
        <v>0</v>
      </c>
      <c r="T1109" s="21">
        <v>0</v>
      </c>
      <c r="U1109" s="29">
        <v>0</v>
      </c>
      <c r="V1109" s="21">
        <f>SUM(J1109:U1109)</f>
        <v>0</v>
      </c>
    </row>
    <row r="1110" spans="3:22" ht="13.5" customHeight="1">
      <c r="C1110" s="4" t="s">
        <v>4</v>
      </c>
      <c r="J1110" s="45">
        <v>97.98</v>
      </c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52"/>
      <c r="V1110" s="21">
        <f>SUM(J1110:U1110)</f>
        <v>97.98</v>
      </c>
    </row>
    <row r="1111" spans="3:22" ht="13.5" customHeight="1" thickBot="1">
      <c r="C1111" s="4" t="s">
        <v>5</v>
      </c>
      <c r="J1111" s="21">
        <v>33880.04</v>
      </c>
      <c r="K1111" s="45">
        <v>33880.05</v>
      </c>
      <c r="L1111" s="45">
        <v>33880.05</v>
      </c>
      <c r="M1111" s="21">
        <v>33880.04</v>
      </c>
      <c r="N1111" s="21">
        <v>33880.04</v>
      </c>
      <c r="O1111" s="21">
        <v>33880.04</v>
      </c>
      <c r="P1111" s="21">
        <v>33880.04</v>
      </c>
      <c r="Q1111" s="45">
        <v>33880.05</v>
      </c>
      <c r="R1111" s="45">
        <v>33880.05</v>
      </c>
      <c r="S1111" s="21">
        <v>33880.04</v>
      </c>
      <c r="T1111" s="45">
        <v>33880.05</v>
      </c>
      <c r="U1111" s="29">
        <v>33880.04</v>
      </c>
      <c r="V1111" s="21">
        <f>SUM(J1111:U1111)</f>
        <v>406560.52999999997</v>
      </c>
    </row>
    <row r="1112" spans="3:22" ht="13.5" customHeight="1" thickBot="1">
      <c r="C1112" s="6" t="s">
        <v>82</v>
      </c>
      <c r="J1112" s="22">
        <f aca="true" t="shared" si="112" ref="J1112:U1112">SUM(J1109:J1111)</f>
        <v>33978.020000000004</v>
      </c>
      <c r="K1112" s="22">
        <f t="shared" si="112"/>
        <v>33880.05</v>
      </c>
      <c r="L1112" s="22">
        <f t="shared" si="112"/>
        <v>33880.05</v>
      </c>
      <c r="M1112" s="22">
        <f t="shared" si="112"/>
        <v>33880.04</v>
      </c>
      <c r="N1112" s="22">
        <f t="shared" si="112"/>
        <v>33880.04</v>
      </c>
      <c r="O1112" s="22">
        <f t="shared" si="112"/>
        <v>33880.04</v>
      </c>
      <c r="P1112" s="22">
        <f t="shared" si="112"/>
        <v>33880.04</v>
      </c>
      <c r="Q1112" s="22">
        <f t="shared" si="112"/>
        <v>33880.05</v>
      </c>
      <c r="R1112" s="22">
        <f t="shared" si="112"/>
        <v>33880.05</v>
      </c>
      <c r="S1112" s="22">
        <f t="shared" si="112"/>
        <v>33880.04</v>
      </c>
      <c r="T1112" s="22">
        <f t="shared" si="112"/>
        <v>33880.05</v>
      </c>
      <c r="U1112" s="30">
        <f t="shared" si="112"/>
        <v>33880.04</v>
      </c>
      <c r="V1112" s="22">
        <f>SUM(V1109:V1111)</f>
        <v>406658.50999999995</v>
      </c>
    </row>
    <row r="1113" ht="13.5" customHeight="1">
      <c r="C1113" s="10"/>
    </row>
    <row r="1114" spans="1:3" ht="13.5" customHeight="1">
      <c r="A1114" s="1">
        <f>A1096+1</f>
        <v>56</v>
      </c>
      <c r="B1114" s="40"/>
      <c r="C1114" s="5" t="s">
        <v>318</v>
      </c>
    </row>
    <row r="1115" spans="3:22" ht="13.5" customHeight="1">
      <c r="C1115" s="4" t="s">
        <v>3</v>
      </c>
      <c r="J1115" s="21">
        <v>0</v>
      </c>
      <c r="K1115" s="21">
        <v>0</v>
      </c>
      <c r="L1115" s="21">
        <v>0</v>
      </c>
      <c r="M1115" s="21">
        <v>0</v>
      </c>
      <c r="N1115" s="21">
        <v>0</v>
      </c>
      <c r="O1115" s="21">
        <v>0</v>
      </c>
      <c r="P1115" s="21">
        <v>0</v>
      </c>
      <c r="Q1115" s="21">
        <v>0</v>
      </c>
      <c r="R1115" s="21">
        <v>0</v>
      </c>
      <c r="S1115" s="21">
        <v>0</v>
      </c>
      <c r="T1115" s="21">
        <v>0</v>
      </c>
      <c r="U1115" s="29">
        <v>0</v>
      </c>
      <c r="V1115" s="21">
        <f>SUM(J1115:U1115)</f>
        <v>0</v>
      </c>
    </row>
    <row r="1116" spans="3:22" ht="13.5" customHeight="1">
      <c r="C1116" s="4" t="s">
        <v>4</v>
      </c>
      <c r="J1116" s="45">
        <v>250</v>
      </c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52"/>
      <c r="V1116" s="21">
        <f>SUM(J1116:U1116)</f>
        <v>250</v>
      </c>
    </row>
    <row r="1117" spans="3:22" ht="13.5" customHeight="1" thickBot="1">
      <c r="C1117" s="4" t="s">
        <v>5</v>
      </c>
      <c r="J1117" s="45">
        <v>17523.79</v>
      </c>
      <c r="K1117" s="21">
        <v>17523.8</v>
      </c>
      <c r="L1117" s="45">
        <v>17523.79</v>
      </c>
      <c r="M1117" s="21">
        <v>17523.8</v>
      </c>
      <c r="N1117" s="45">
        <v>17523.79</v>
      </c>
      <c r="O1117" s="21">
        <v>17523.8</v>
      </c>
      <c r="P1117" s="21">
        <v>17523.8</v>
      </c>
      <c r="Q1117" s="45">
        <v>17523.79</v>
      </c>
      <c r="R1117" s="21">
        <v>17523.8</v>
      </c>
      <c r="S1117" s="21">
        <v>17523.8</v>
      </c>
      <c r="T1117" s="21">
        <v>17523.8</v>
      </c>
      <c r="U1117" s="29">
        <v>17523.8</v>
      </c>
      <c r="V1117" s="21">
        <f>SUM(J1117:U1117)</f>
        <v>210285.55999999997</v>
      </c>
    </row>
    <row r="1118" spans="3:22" ht="13.5" customHeight="1" thickBot="1">
      <c r="C1118" s="6" t="s">
        <v>223</v>
      </c>
      <c r="J1118" s="22">
        <f aca="true" t="shared" si="113" ref="J1118:U1118">SUM(J1115:J1117)</f>
        <v>17773.79</v>
      </c>
      <c r="K1118" s="22">
        <f t="shared" si="113"/>
        <v>17523.8</v>
      </c>
      <c r="L1118" s="22">
        <f t="shared" si="113"/>
        <v>17523.79</v>
      </c>
      <c r="M1118" s="22">
        <f t="shared" si="113"/>
        <v>17523.8</v>
      </c>
      <c r="N1118" s="22">
        <f t="shared" si="113"/>
        <v>17523.79</v>
      </c>
      <c r="O1118" s="22">
        <f t="shared" si="113"/>
        <v>17523.8</v>
      </c>
      <c r="P1118" s="22">
        <f t="shared" si="113"/>
        <v>17523.8</v>
      </c>
      <c r="Q1118" s="22">
        <f t="shared" si="113"/>
        <v>17523.79</v>
      </c>
      <c r="R1118" s="22">
        <f t="shared" si="113"/>
        <v>17523.8</v>
      </c>
      <c r="S1118" s="22">
        <f t="shared" si="113"/>
        <v>17523.8</v>
      </c>
      <c r="T1118" s="22">
        <f t="shared" si="113"/>
        <v>17523.8</v>
      </c>
      <c r="U1118" s="30">
        <f t="shared" si="113"/>
        <v>17523.8</v>
      </c>
      <c r="V1118" s="22">
        <f>SUM(V1115:V1117)</f>
        <v>210535.55999999997</v>
      </c>
    </row>
    <row r="1119" ht="13.5" customHeight="1">
      <c r="C1119" s="10"/>
    </row>
    <row r="1120" spans="1:3" ht="13.5" customHeight="1">
      <c r="A1120" s="1">
        <f>A1114+1</f>
        <v>57</v>
      </c>
      <c r="B1120" s="40"/>
      <c r="C1120" s="5" t="s">
        <v>319</v>
      </c>
    </row>
    <row r="1121" spans="3:22" ht="13.5" customHeight="1">
      <c r="C1121" s="4" t="s">
        <v>3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21">
        <v>0</v>
      </c>
      <c r="S1121" s="21">
        <v>0</v>
      </c>
      <c r="T1121" s="21">
        <v>0</v>
      </c>
      <c r="U1121" s="29">
        <v>0</v>
      </c>
      <c r="V1121" s="21">
        <f>SUM(J1121:U1121)</f>
        <v>0</v>
      </c>
    </row>
    <row r="1122" spans="3:22" ht="13.5" customHeight="1">
      <c r="C1122" s="4" t="s">
        <v>4</v>
      </c>
      <c r="J1122" s="45">
        <v>250</v>
      </c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52"/>
      <c r="V1122" s="21">
        <f>SUM(J1122:U1122)</f>
        <v>250</v>
      </c>
    </row>
    <row r="1123" spans="3:22" ht="13.5" customHeight="1" thickBot="1">
      <c r="C1123" s="4" t="s">
        <v>5</v>
      </c>
      <c r="J1123" s="45">
        <v>12850.79</v>
      </c>
      <c r="K1123" s="45">
        <v>12850.79</v>
      </c>
      <c r="L1123" s="45">
        <v>12850.79</v>
      </c>
      <c r="M1123" s="45">
        <v>12850.79</v>
      </c>
      <c r="N1123" s="45">
        <v>12850.79</v>
      </c>
      <c r="O1123" s="45">
        <v>12850.79</v>
      </c>
      <c r="P1123" s="45">
        <v>12850.79</v>
      </c>
      <c r="Q1123" s="21">
        <v>12850.78</v>
      </c>
      <c r="R1123" s="21">
        <v>12850.78</v>
      </c>
      <c r="S1123" s="21">
        <v>12850.78</v>
      </c>
      <c r="T1123" s="45">
        <v>12850.79</v>
      </c>
      <c r="U1123" s="52">
        <v>12850.79</v>
      </c>
      <c r="V1123" s="21">
        <f>SUM(J1123:U1123)</f>
        <v>154209.45</v>
      </c>
    </row>
    <row r="1124" spans="3:22" ht="13.5" customHeight="1" thickBot="1">
      <c r="C1124" s="6" t="s">
        <v>255</v>
      </c>
      <c r="J1124" s="22">
        <f aca="true" t="shared" si="114" ref="J1124:U1124">SUM(J1121:J1123)</f>
        <v>13100.79</v>
      </c>
      <c r="K1124" s="22">
        <f t="shared" si="114"/>
        <v>12850.79</v>
      </c>
      <c r="L1124" s="22">
        <f t="shared" si="114"/>
        <v>12850.79</v>
      </c>
      <c r="M1124" s="22">
        <f t="shared" si="114"/>
        <v>12850.79</v>
      </c>
      <c r="N1124" s="22">
        <f t="shared" si="114"/>
        <v>12850.79</v>
      </c>
      <c r="O1124" s="22">
        <f t="shared" si="114"/>
        <v>12850.79</v>
      </c>
      <c r="P1124" s="22">
        <f t="shared" si="114"/>
        <v>12850.79</v>
      </c>
      <c r="Q1124" s="22">
        <f t="shared" si="114"/>
        <v>12850.78</v>
      </c>
      <c r="R1124" s="22">
        <f t="shared" si="114"/>
        <v>12850.78</v>
      </c>
      <c r="S1124" s="22">
        <f t="shared" si="114"/>
        <v>12850.78</v>
      </c>
      <c r="T1124" s="22">
        <f t="shared" si="114"/>
        <v>12850.79</v>
      </c>
      <c r="U1124" s="30">
        <f t="shared" si="114"/>
        <v>12850.79</v>
      </c>
      <c r="V1124" s="22">
        <f>SUM(V1121:V1123)</f>
        <v>154459.45</v>
      </c>
    </row>
    <row r="1125" ht="13.5" customHeight="1">
      <c r="C1125" s="10"/>
    </row>
    <row r="1126" spans="2:3" ht="13.5" customHeight="1">
      <c r="B1126" s="37" t="s">
        <v>104</v>
      </c>
      <c r="C1126" s="25" t="s">
        <v>320</v>
      </c>
    </row>
    <row r="1127" spans="3:22" ht="13.5" customHeight="1">
      <c r="C1127" s="4" t="s">
        <v>3</v>
      </c>
      <c r="J1127" s="21">
        <v>0</v>
      </c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9"/>
      <c r="V1127" s="21">
        <f>SUM(J1127:U1127)</f>
        <v>0</v>
      </c>
    </row>
    <row r="1128" spans="3:22" ht="13.5" customHeight="1">
      <c r="C1128" s="4" t="s">
        <v>4</v>
      </c>
      <c r="J1128" s="45">
        <v>250</v>
      </c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52"/>
      <c r="V1128" s="21">
        <f>SUM(J1128:U1128)</f>
        <v>250</v>
      </c>
    </row>
    <row r="1129" spans="3:22" ht="13.5" customHeight="1" thickBot="1">
      <c r="C1129" s="4" t="s">
        <v>5</v>
      </c>
      <c r="J1129" s="21">
        <v>86093.75</v>
      </c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52"/>
      <c r="V1129" s="21">
        <f>SUM(J1129:U1129)</f>
        <v>86093.75</v>
      </c>
    </row>
    <row r="1130" spans="3:22" ht="13.5" customHeight="1" thickBot="1">
      <c r="C1130" s="6" t="s">
        <v>321</v>
      </c>
      <c r="J1130" s="22">
        <f aca="true" t="shared" si="115" ref="J1130:U1130">SUM(J1127:J1129)</f>
        <v>86343.75</v>
      </c>
      <c r="K1130" s="22">
        <f t="shared" si="115"/>
        <v>0</v>
      </c>
      <c r="L1130" s="22">
        <f t="shared" si="115"/>
        <v>0</v>
      </c>
      <c r="M1130" s="22">
        <f t="shared" si="115"/>
        <v>0</v>
      </c>
      <c r="N1130" s="22">
        <f t="shared" si="115"/>
        <v>0</v>
      </c>
      <c r="O1130" s="22">
        <f t="shared" si="115"/>
        <v>0</v>
      </c>
      <c r="P1130" s="22">
        <f t="shared" si="115"/>
        <v>0</v>
      </c>
      <c r="Q1130" s="22">
        <f t="shared" si="115"/>
        <v>0</v>
      </c>
      <c r="R1130" s="22">
        <f t="shared" si="115"/>
        <v>0</v>
      </c>
      <c r="S1130" s="22">
        <f t="shared" si="115"/>
        <v>0</v>
      </c>
      <c r="T1130" s="22">
        <f t="shared" si="115"/>
        <v>0</v>
      </c>
      <c r="U1130" s="30">
        <f t="shared" si="115"/>
        <v>0</v>
      </c>
      <c r="V1130" s="22">
        <f>SUM(V1127:V1129)</f>
        <v>86343.75</v>
      </c>
    </row>
    <row r="1131" ht="13.5" customHeight="1">
      <c r="C1131" s="10"/>
    </row>
    <row r="1132" spans="1:3" ht="13.5" customHeight="1">
      <c r="A1132" s="1">
        <f>A1120+1</f>
        <v>58</v>
      </c>
      <c r="B1132" s="40"/>
      <c r="C1132" s="5" t="s">
        <v>322</v>
      </c>
    </row>
    <row r="1133" spans="3:22" ht="13.5" customHeight="1">
      <c r="C1133" s="4" t="s">
        <v>3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  <c r="Q1133" s="21">
        <v>0</v>
      </c>
      <c r="R1133" s="21">
        <v>0</v>
      </c>
      <c r="S1133" s="21">
        <v>0</v>
      </c>
      <c r="T1133" s="21">
        <v>0</v>
      </c>
      <c r="U1133" s="29">
        <v>0</v>
      </c>
      <c r="V1133" s="21">
        <f>SUM(J1133:U1133)</f>
        <v>0</v>
      </c>
    </row>
    <row r="1134" spans="3:22" ht="13.5" customHeight="1">
      <c r="C1134" s="4" t="s">
        <v>4</v>
      </c>
      <c r="J1134" s="45">
        <v>250</v>
      </c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52"/>
      <c r="V1134" s="21">
        <f>SUM(J1134:U1134)</f>
        <v>250</v>
      </c>
    </row>
    <row r="1135" spans="3:22" ht="13.5" customHeight="1" thickBot="1">
      <c r="C1135" s="4" t="s">
        <v>5</v>
      </c>
      <c r="J1135" s="21">
        <v>138044.79</v>
      </c>
      <c r="K1135" s="21">
        <v>138044.79</v>
      </c>
      <c r="L1135" s="21">
        <v>138044.79</v>
      </c>
      <c r="M1135" s="21">
        <v>138044.79</v>
      </c>
      <c r="N1135" s="21">
        <v>138044.79</v>
      </c>
      <c r="O1135" s="21">
        <v>138044.79</v>
      </c>
      <c r="P1135" s="21">
        <v>138044.79</v>
      </c>
      <c r="Q1135" s="21">
        <v>138044.79</v>
      </c>
      <c r="R1135" s="21">
        <v>138044.79</v>
      </c>
      <c r="S1135" s="21">
        <v>138044.79</v>
      </c>
      <c r="T1135" s="21">
        <v>138044.79</v>
      </c>
      <c r="U1135" s="29">
        <v>138044.79</v>
      </c>
      <c r="V1135" s="21">
        <f>SUM(J1135:U1135)</f>
        <v>1656537.4800000002</v>
      </c>
    </row>
    <row r="1136" spans="3:22" ht="13.5" customHeight="1" thickBot="1">
      <c r="C1136" s="6" t="s">
        <v>323</v>
      </c>
      <c r="J1136" s="22">
        <f aca="true" t="shared" si="116" ref="J1136:U1136">SUM(J1133:J1135)</f>
        <v>138294.79</v>
      </c>
      <c r="K1136" s="22">
        <f t="shared" si="116"/>
        <v>138044.79</v>
      </c>
      <c r="L1136" s="22">
        <f t="shared" si="116"/>
        <v>138044.79</v>
      </c>
      <c r="M1136" s="22">
        <f t="shared" si="116"/>
        <v>138044.79</v>
      </c>
      <c r="N1136" s="22">
        <f t="shared" si="116"/>
        <v>138044.79</v>
      </c>
      <c r="O1136" s="22">
        <f t="shared" si="116"/>
        <v>138044.79</v>
      </c>
      <c r="P1136" s="22">
        <f t="shared" si="116"/>
        <v>138044.79</v>
      </c>
      <c r="Q1136" s="22">
        <f t="shared" si="116"/>
        <v>138044.79</v>
      </c>
      <c r="R1136" s="22">
        <f t="shared" si="116"/>
        <v>138044.79</v>
      </c>
      <c r="S1136" s="22">
        <f t="shared" si="116"/>
        <v>138044.79</v>
      </c>
      <c r="T1136" s="22">
        <f t="shared" si="116"/>
        <v>138044.79</v>
      </c>
      <c r="U1136" s="30">
        <f t="shared" si="116"/>
        <v>138044.79</v>
      </c>
      <c r="V1136" s="22">
        <f>SUM(V1133:V1135)</f>
        <v>1656787.4800000002</v>
      </c>
    </row>
    <row r="1137" ht="13.5" customHeight="1">
      <c r="C1137" s="10"/>
    </row>
    <row r="1138" spans="2:3" ht="13.5" customHeight="1">
      <c r="B1138" s="46" t="s">
        <v>104</v>
      </c>
      <c r="C1138" s="25" t="s">
        <v>332</v>
      </c>
    </row>
    <row r="1139" spans="3:22" ht="13.5" customHeight="1">
      <c r="C1139" s="4" t="s">
        <v>3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  <c r="Q1139" s="21">
        <v>0</v>
      </c>
      <c r="R1139" s="21">
        <v>0</v>
      </c>
      <c r="S1139" s="21">
        <v>0</v>
      </c>
      <c r="T1139" s="21">
        <v>0</v>
      </c>
      <c r="U1139" s="29"/>
      <c r="V1139" s="21">
        <f>SUM(J1139:U1139)</f>
        <v>0</v>
      </c>
    </row>
    <row r="1140" spans="3:22" ht="13.5" customHeight="1">
      <c r="C1140" s="4" t="s">
        <v>4</v>
      </c>
      <c r="J1140" s="45">
        <v>250</v>
      </c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52"/>
      <c r="V1140" s="21">
        <f>SUM(J1140:U1140)</f>
        <v>250</v>
      </c>
    </row>
    <row r="1141" spans="3:22" ht="13.5" customHeight="1" thickBot="1">
      <c r="C1141" s="4" t="s">
        <v>5</v>
      </c>
      <c r="J1141" s="45">
        <v>69801.56</v>
      </c>
      <c r="K1141" s="45">
        <v>69801.56</v>
      </c>
      <c r="L1141" s="45">
        <v>69801.56</v>
      </c>
      <c r="M1141" s="45">
        <v>69801.56</v>
      </c>
      <c r="N1141" s="45">
        <v>69801.56</v>
      </c>
      <c r="O1141" s="45">
        <v>69801.57</v>
      </c>
      <c r="P1141" s="45">
        <v>69104.3</v>
      </c>
      <c r="Q1141" s="45">
        <v>69104.3</v>
      </c>
      <c r="R1141" s="45">
        <v>69104.3</v>
      </c>
      <c r="S1141" s="45">
        <v>69104.3</v>
      </c>
      <c r="T1141" s="45">
        <v>69104.3</v>
      </c>
      <c r="U1141" s="52"/>
      <c r="V1141" s="21">
        <f>SUM(J1141:U1141)</f>
        <v>764330.8700000001</v>
      </c>
    </row>
    <row r="1142" spans="3:22" ht="13.5" customHeight="1" thickBot="1">
      <c r="C1142" s="6" t="s">
        <v>302</v>
      </c>
      <c r="J1142" s="22">
        <f aca="true" t="shared" si="117" ref="J1142:U1142">SUM(J1139:J1141)</f>
        <v>70051.56</v>
      </c>
      <c r="K1142" s="22">
        <f t="shared" si="117"/>
        <v>69801.56</v>
      </c>
      <c r="L1142" s="22">
        <f t="shared" si="117"/>
        <v>69801.56</v>
      </c>
      <c r="M1142" s="22">
        <f t="shared" si="117"/>
        <v>69801.56</v>
      </c>
      <c r="N1142" s="22">
        <f t="shared" si="117"/>
        <v>69801.56</v>
      </c>
      <c r="O1142" s="22">
        <f t="shared" si="117"/>
        <v>69801.57</v>
      </c>
      <c r="P1142" s="22">
        <f t="shared" si="117"/>
        <v>69104.3</v>
      </c>
      <c r="Q1142" s="22">
        <f t="shared" si="117"/>
        <v>69104.3</v>
      </c>
      <c r="R1142" s="22">
        <f t="shared" si="117"/>
        <v>69104.3</v>
      </c>
      <c r="S1142" s="22">
        <f t="shared" si="117"/>
        <v>69104.3</v>
      </c>
      <c r="T1142" s="22">
        <f t="shared" si="117"/>
        <v>69104.3</v>
      </c>
      <c r="U1142" s="30">
        <f t="shared" si="117"/>
        <v>0</v>
      </c>
      <c r="V1142" s="22">
        <f>SUM(V1139:V1141)</f>
        <v>764580.8700000001</v>
      </c>
    </row>
    <row r="1143" ht="13.5" customHeight="1">
      <c r="C1143" s="10"/>
    </row>
    <row r="1144" spans="1:3" ht="13.5" customHeight="1">
      <c r="A1144" s="14"/>
      <c r="B1144" s="46" t="s">
        <v>104</v>
      </c>
      <c r="C1144" s="25" t="s">
        <v>325</v>
      </c>
    </row>
    <row r="1145" ht="13.5" customHeight="1">
      <c r="C1145" s="4" t="s">
        <v>3</v>
      </c>
    </row>
    <row r="1146" ht="13.5" customHeight="1">
      <c r="C1146" s="4" t="s">
        <v>4</v>
      </c>
    </row>
    <row r="1147" ht="13.5" customHeight="1" thickBot="1">
      <c r="C1147" s="4" t="s">
        <v>5</v>
      </c>
    </row>
    <row r="1148" ht="13.5" customHeight="1" thickBot="1">
      <c r="C1148" s="6" t="s">
        <v>155</v>
      </c>
    </row>
    <row r="1149" ht="13.5" customHeight="1">
      <c r="C1149" s="10"/>
    </row>
    <row r="1150" spans="1:3" ht="13.5" customHeight="1">
      <c r="A1150" s="14">
        <f>+A1132+1</f>
        <v>59</v>
      </c>
      <c r="C1150" s="5" t="s">
        <v>326</v>
      </c>
    </row>
    <row r="1151" spans="3:22" ht="13.5" customHeight="1">
      <c r="C1151" s="4" t="s">
        <v>3</v>
      </c>
      <c r="J1151" s="21">
        <v>0</v>
      </c>
      <c r="K1151" s="21">
        <v>0</v>
      </c>
      <c r="L1151" s="21">
        <v>0</v>
      </c>
      <c r="M1151" s="21">
        <v>0</v>
      </c>
      <c r="N1151" s="21">
        <v>0</v>
      </c>
      <c r="O1151" s="21">
        <v>0</v>
      </c>
      <c r="P1151" s="21">
        <v>0</v>
      </c>
      <c r="Q1151" s="21">
        <v>0</v>
      </c>
      <c r="R1151" s="21">
        <v>0</v>
      </c>
      <c r="S1151" s="21">
        <v>0</v>
      </c>
      <c r="T1151" s="21">
        <v>0</v>
      </c>
      <c r="U1151" s="29">
        <v>0</v>
      </c>
      <c r="V1151" s="21">
        <f>SUM(J1151:U1151)</f>
        <v>0</v>
      </c>
    </row>
    <row r="1152" spans="3:22" ht="13.5" customHeight="1">
      <c r="C1152" s="4" t="s">
        <v>4</v>
      </c>
      <c r="J1152" s="45">
        <v>250</v>
      </c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52"/>
      <c r="V1152" s="21">
        <f>SUM(J1152:U1152)</f>
        <v>250</v>
      </c>
    </row>
    <row r="1153" spans="3:22" ht="13.5" customHeight="1" thickBot="1">
      <c r="C1153" s="4" t="s">
        <v>5</v>
      </c>
      <c r="J1153" s="21">
        <v>197854.17</v>
      </c>
      <c r="K1153" s="21">
        <v>197854.17</v>
      </c>
      <c r="L1153" s="21">
        <v>197854.17</v>
      </c>
      <c r="M1153" s="45">
        <v>197666.67</v>
      </c>
      <c r="N1153" s="45">
        <v>197666.67</v>
      </c>
      <c r="O1153" s="45">
        <v>197666.67</v>
      </c>
      <c r="P1153" s="45">
        <v>197666.67</v>
      </c>
      <c r="Q1153" s="45">
        <v>197666.67</v>
      </c>
      <c r="R1153" s="45">
        <v>197666.67</v>
      </c>
      <c r="S1153" s="45">
        <v>197666.67</v>
      </c>
      <c r="T1153" s="45">
        <v>197666.67</v>
      </c>
      <c r="U1153" s="52">
        <v>197666.67</v>
      </c>
      <c r="V1153" s="21">
        <f>SUM(J1153:U1153)</f>
        <v>2372562.5399999996</v>
      </c>
    </row>
    <row r="1154" spans="3:22" ht="13.5" customHeight="1" thickBot="1">
      <c r="C1154" s="6" t="s">
        <v>184</v>
      </c>
      <c r="J1154" s="22">
        <f aca="true" t="shared" si="118" ref="J1154:U1154">SUM(J1151:J1153)</f>
        <v>198104.17</v>
      </c>
      <c r="K1154" s="22">
        <f t="shared" si="118"/>
        <v>197854.17</v>
      </c>
      <c r="L1154" s="22">
        <f t="shared" si="118"/>
        <v>197854.17</v>
      </c>
      <c r="M1154" s="22">
        <f t="shared" si="118"/>
        <v>197666.67</v>
      </c>
      <c r="N1154" s="22">
        <f t="shared" si="118"/>
        <v>197666.67</v>
      </c>
      <c r="O1154" s="22">
        <f t="shared" si="118"/>
        <v>197666.67</v>
      </c>
      <c r="P1154" s="22">
        <f t="shared" si="118"/>
        <v>197666.67</v>
      </c>
      <c r="Q1154" s="22">
        <f t="shared" si="118"/>
        <v>197666.67</v>
      </c>
      <c r="R1154" s="22">
        <f t="shared" si="118"/>
        <v>197666.67</v>
      </c>
      <c r="S1154" s="22">
        <f t="shared" si="118"/>
        <v>197666.67</v>
      </c>
      <c r="T1154" s="22">
        <f t="shared" si="118"/>
        <v>197666.67</v>
      </c>
      <c r="U1154" s="30">
        <f t="shared" si="118"/>
        <v>197666.67</v>
      </c>
      <c r="V1154" s="22">
        <f>SUM(V1151:V1153)</f>
        <v>2372812.5399999996</v>
      </c>
    </row>
    <row r="1155" ht="13.5" customHeight="1">
      <c r="C1155" s="10"/>
    </row>
    <row r="1156" spans="1:3" ht="13.5" customHeight="1">
      <c r="A1156" s="14">
        <f>+A1150+1</f>
        <v>60</v>
      </c>
      <c r="C1156" s="5" t="s">
        <v>327</v>
      </c>
    </row>
    <row r="1157" spans="3:22" ht="13.5" customHeight="1">
      <c r="C1157" s="4" t="s">
        <v>3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  <c r="Q1157" s="21">
        <v>0</v>
      </c>
      <c r="R1157" s="21">
        <v>0</v>
      </c>
      <c r="S1157" s="21">
        <v>0</v>
      </c>
      <c r="T1157" s="21">
        <v>0</v>
      </c>
      <c r="U1157" s="29">
        <v>0</v>
      </c>
      <c r="V1157" s="21">
        <f>SUM(J1157:U1157)</f>
        <v>0</v>
      </c>
    </row>
    <row r="1158" spans="3:22" ht="13.5" customHeight="1">
      <c r="C1158" s="4" t="s">
        <v>4</v>
      </c>
      <c r="J1158" s="45">
        <v>250</v>
      </c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52"/>
      <c r="V1158" s="21">
        <f>SUM(J1158:U1158)</f>
        <v>250</v>
      </c>
    </row>
    <row r="1159" spans="3:22" ht="13.5" customHeight="1" thickBot="1">
      <c r="C1159" s="4" t="s">
        <v>5</v>
      </c>
      <c r="J1159" s="45">
        <v>59134.37</v>
      </c>
      <c r="K1159" s="45">
        <v>59134.37</v>
      </c>
      <c r="L1159" s="45">
        <v>59134.37</v>
      </c>
      <c r="M1159" s="45">
        <v>59134.37</v>
      </c>
      <c r="N1159" s="45">
        <v>59134.37</v>
      </c>
      <c r="O1159" s="45">
        <v>59134.38</v>
      </c>
      <c r="P1159" s="45">
        <v>59134.37</v>
      </c>
      <c r="Q1159" s="45">
        <v>59134.37</v>
      </c>
      <c r="R1159" s="45">
        <v>59134.37</v>
      </c>
      <c r="S1159" s="45">
        <v>59134.37</v>
      </c>
      <c r="T1159" s="45">
        <v>59134.37</v>
      </c>
      <c r="U1159" s="52">
        <v>59134.42</v>
      </c>
      <c r="V1159" s="21">
        <f>SUM(J1159:U1159)</f>
        <v>709612.5000000001</v>
      </c>
    </row>
    <row r="1160" spans="3:22" ht="13.5" customHeight="1" thickBot="1">
      <c r="C1160" s="6" t="s">
        <v>328</v>
      </c>
      <c r="J1160" s="22">
        <f aca="true" t="shared" si="119" ref="J1160:U1160">SUM(J1157:J1159)</f>
        <v>59384.37</v>
      </c>
      <c r="K1160" s="22">
        <f t="shared" si="119"/>
        <v>59134.37</v>
      </c>
      <c r="L1160" s="22">
        <f t="shared" si="119"/>
        <v>59134.37</v>
      </c>
      <c r="M1160" s="22">
        <f t="shared" si="119"/>
        <v>59134.37</v>
      </c>
      <c r="N1160" s="22">
        <f t="shared" si="119"/>
        <v>59134.37</v>
      </c>
      <c r="O1160" s="22">
        <f t="shared" si="119"/>
        <v>59134.38</v>
      </c>
      <c r="P1160" s="22">
        <f t="shared" si="119"/>
        <v>59134.37</v>
      </c>
      <c r="Q1160" s="22">
        <f t="shared" si="119"/>
        <v>59134.37</v>
      </c>
      <c r="R1160" s="22">
        <f t="shared" si="119"/>
        <v>59134.37</v>
      </c>
      <c r="S1160" s="22">
        <f t="shared" si="119"/>
        <v>59134.37</v>
      </c>
      <c r="T1160" s="22">
        <f t="shared" si="119"/>
        <v>59134.37</v>
      </c>
      <c r="U1160" s="30">
        <f t="shared" si="119"/>
        <v>59134.42</v>
      </c>
      <c r="V1160" s="22">
        <f>SUM(V1157:V1159)</f>
        <v>709862.5000000001</v>
      </c>
    </row>
    <row r="1161" ht="13.5" customHeight="1">
      <c r="C1161" s="10"/>
    </row>
    <row r="1162" spans="1:3" ht="13.5" customHeight="1">
      <c r="A1162" s="14">
        <f>+A1156+1</f>
        <v>61</v>
      </c>
      <c r="C1162" s="5" t="s">
        <v>329</v>
      </c>
    </row>
    <row r="1163" spans="3:22" ht="13.5" customHeight="1">
      <c r="C1163" s="4" t="s">
        <v>3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1">
        <v>0</v>
      </c>
      <c r="P1163" s="21">
        <v>0</v>
      </c>
      <c r="Q1163" s="21">
        <v>0</v>
      </c>
      <c r="R1163" s="21">
        <v>0</v>
      </c>
      <c r="S1163" s="21">
        <v>0</v>
      </c>
      <c r="T1163" s="21">
        <v>0</v>
      </c>
      <c r="U1163" s="29">
        <v>0</v>
      </c>
      <c r="V1163" s="21">
        <f>SUM(J1163:U1163)</f>
        <v>0</v>
      </c>
    </row>
    <row r="1164" spans="3:22" ht="13.5" customHeight="1">
      <c r="C1164" s="4" t="s">
        <v>4</v>
      </c>
      <c r="J1164" s="45">
        <v>250</v>
      </c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52"/>
      <c r="V1164" s="21">
        <f>SUM(J1164:U1164)</f>
        <v>250</v>
      </c>
    </row>
    <row r="1165" spans="3:22" ht="13.5" customHeight="1" thickBot="1">
      <c r="C1165" s="4" t="s">
        <v>5</v>
      </c>
      <c r="J1165" s="21">
        <f>44070.83+6250</f>
        <v>50320.83</v>
      </c>
      <c r="K1165" s="21">
        <f>44070.83+6250</f>
        <v>50320.83</v>
      </c>
      <c r="L1165" s="21">
        <f>44070.83+6250</f>
        <v>50320.83</v>
      </c>
      <c r="M1165" s="21">
        <f>44070.85+6250</f>
        <v>50320.85</v>
      </c>
      <c r="N1165" s="45">
        <f>43820.83+6250</f>
        <v>50070.83</v>
      </c>
      <c r="O1165" s="45">
        <f aca="true" t="shared" si="120" ref="O1165:U1165">43820.83+6250</f>
        <v>50070.83</v>
      </c>
      <c r="P1165" s="45">
        <f t="shared" si="120"/>
        <v>50070.83</v>
      </c>
      <c r="Q1165" s="45">
        <f t="shared" si="120"/>
        <v>50070.83</v>
      </c>
      <c r="R1165" s="45">
        <f t="shared" si="120"/>
        <v>50070.83</v>
      </c>
      <c r="S1165" s="45">
        <f>43820.85+6250</f>
        <v>50070.85</v>
      </c>
      <c r="T1165" s="45">
        <f t="shared" si="120"/>
        <v>50070.83</v>
      </c>
      <c r="U1165" s="52">
        <f t="shared" si="120"/>
        <v>50070.83</v>
      </c>
      <c r="V1165" s="21">
        <f>SUM(J1165:U1165)</f>
        <v>601850</v>
      </c>
    </row>
    <row r="1166" spans="3:22" ht="13.5" customHeight="1" thickBot="1">
      <c r="C1166" s="6" t="s">
        <v>158</v>
      </c>
      <c r="J1166" s="22">
        <f aca="true" t="shared" si="121" ref="J1166:U1166">SUM(J1163:J1165)</f>
        <v>50570.83</v>
      </c>
      <c r="K1166" s="22">
        <f t="shared" si="121"/>
        <v>50320.83</v>
      </c>
      <c r="L1166" s="22">
        <f t="shared" si="121"/>
        <v>50320.83</v>
      </c>
      <c r="M1166" s="22">
        <f t="shared" si="121"/>
        <v>50320.85</v>
      </c>
      <c r="N1166" s="22">
        <f t="shared" si="121"/>
        <v>50070.83</v>
      </c>
      <c r="O1166" s="22">
        <f t="shared" si="121"/>
        <v>50070.83</v>
      </c>
      <c r="P1166" s="22">
        <f t="shared" si="121"/>
        <v>50070.83</v>
      </c>
      <c r="Q1166" s="22">
        <f t="shared" si="121"/>
        <v>50070.83</v>
      </c>
      <c r="R1166" s="22">
        <f t="shared" si="121"/>
        <v>50070.83</v>
      </c>
      <c r="S1166" s="22">
        <f t="shared" si="121"/>
        <v>50070.85</v>
      </c>
      <c r="T1166" s="22">
        <f t="shared" si="121"/>
        <v>50070.83</v>
      </c>
      <c r="U1166" s="30">
        <f t="shared" si="121"/>
        <v>50070.83</v>
      </c>
      <c r="V1166" s="22">
        <f>SUM(V1163:V1165)</f>
        <v>602100</v>
      </c>
    </row>
    <row r="1167" ht="13.5" customHeight="1">
      <c r="C1167" s="10"/>
    </row>
    <row r="1168" spans="1:3" ht="13.5" customHeight="1">
      <c r="A1168" s="14">
        <f>+A1162+1</f>
        <v>62</v>
      </c>
      <c r="C1168" s="5" t="s">
        <v>330</v>
      </c>
    </row>
    <row r="1169" spans="3:22" ht="13.5" customHeight="1">
      <c r="C1169" s="4" t="s">
        <v>3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  <c r="Q1169" s="21">
        <v>0</v>
      </c>
      <c r="R1169" s="21">
        <v>0</v>
      </c>
      <c r="S1169" s="21">
        <v>0</v>
      </c>
      <c r="T1169" s="21">
        <v>0</v>
      </c>
      <c r="U1169" s="29">
        <v>0</v>
      </c>
      <c r="V1169" s="21">
        <f>SUM(J1169:U1169)</f>
        <v>0</v>
      </c>
    </row>
    <row r="1170" spans="3:22" ht="13.5" customHeight="1">
      <c r="C1170" s="4" t="s">
        <v>4</v>
      </c>
      <c r="J1170" s="45">
        <v>250</v>
      </c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52"/>
      <c r="V1170" s="21">
        <f>SUM(J1170:U1170)</f>
        <v>250</v>
      </c>
    </row>
    <row r="1171" spans="3:22" ht="13.5" customHeight="1" thickBot="1">
      <c r="C1171" s="4" t="s">
        <v>5</v>
      </c>
      <c r="J1171" s="21">
        <v>28916.67</v>
      </c>
      <c r="K1171" s="21">
        <v>28916.67</v>
      </c>
      <c r="L1171" s="21">
        <v>28916.67</v>
      </c>
      <c r="M1171" s="21">
        <v>28916.67</v>
      </c>
      <c r="N1171" s="21">
        <v>28916.67</v>
      </c>
      <c r="O1171" s="45">
        <v>55583.33</v>
      </c>
      <c r="P1171" s="45">
        <v>55583.33</v>
      </c>
      <c r="Q1171" s="45">
        <v>55583.33</v>
      </c>
      <c r="R1171" s="45">
        <v>55583.33</v>
      </c>
      <c r="S1171" s="45">
        <v>55583.33</v>
      </c>
      <c r="T1171" s="45">
        <v>55583.33</v>
      </c>
      <c r="U1171" s="52">
        <v>55583.33</v>
      </c>
      <c r="V1171" s="21">
        <f>SUM(J1171:U1171)</f>
        <v>533666.66</v>
      </c>
    </row>
    <row r="1172" spans="3:22" ht="13.5" customHeight="1" thickBot="1">
      <c r="C1172" s="6" t="s">
        <v>331</v>
      </c>
      <c r="J1172" s="22">
        <f aca="true" t="shared" si="122" ref="J1172:U1172">SUM(J1169:J1171)</f>
        <v>29166.67</v>
      </c>
      <c r="K1172" s="22">
        <f t="shared" si="122"/>
        <v>28916.67</v>
      </c>
      <c r="L1172" s="22">
        <f t="shared" si="122"/>
        <v>28916.67</v>
      </c>
      <c r="M1172" s="22">
        <f t="shared" si="122"/>
        <v>28916.67</v>
      </c>
      <c r="N1172" s="22">
        <f t="shared" si="122"/>
        <v>28916.67</v>
      </c>
      <c r="O1172" s="22">
        <f t="shared" si="122"/>
        <v>55583.33</v>
      </c>
      <c r="P1172" s="22">
        <f t="shared" si="122"/>
        <v>55583.33</v>
      </c>
      <c r="Q1172" s="22">
        <f t="shared" si="122"/>
        <v>55583.33</v>
      </c>
      <c r="R1172" s="22">
        <f t="shared" si="122"/>
        <v>55583.33</v>
      </c>
      <c r="S1172" s="22">
        <f t="shared" si="122"/>
        <v>55583.33</v>
      </c>
      <c r="T1172" s="22">
        <f t="shared" si="122"/>
        <v>55583.33</v>
      </c>
      <c r="U1172" s="30">
        <f t="shared" si="122"/>
        <v>55583.33</v>
      </c>
      <c r="V1172" s="22">
        <f>SUM(V1169:V1171)</f>
        <v>533916.66</v>
      </c>
    </row>
    <row r="1173" ht="13.5" customHeight="1">
      <c r="C1173" s="10"/>
    </row>
    <row r="1174" spans="1:3" ht="13.5" customHeight="1">
      <c r="A1174" s="14"/>
      <c r="B1174" s="50" t="s">
        <v>104</v>
      </c>
      <c r="C1174" s="25" t="s">
        <v>333</v>
      </c>
    </row>
    <row r="1175" spans="3:22" ht="13.5" customHeight="1">
      <c r="C1175" s="4" t="s">
        <v>3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  <c r="Q1175" s="21">
        <v>0</v>
      </c>
      <c r="R1175" s="21">
        <v>0</v>
      </c>
      <c r="S1175" s="21">
        <v>0</v>
      </c>
      <c r="T1175" s="21">
        <v>0</v>
      </c>
      <c r="U1175" s="29"/>
      <c r="V1175" s="21">
        <f>SUM(J1175:U1175)</f>
        <v>0</v>
      </c>
    </row>
    <row r="1176" spans="3:22" ht="13.5" customHeight="1">
      <c r="C1176" s="4" t="s">
        <v>4</v>
      </c>
      <c r="J1176" s="45">
        <v>250</v>
      </c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52"/>
      <c r="V1176" s="21">
        <f>SUM(J1176:U1176)</f>
        <v>250</v>
      </c>
    </row>
    <row r="1177" spans="3:22" ht="13.5" customHeight="1" thickBot="1">
      <c r="C1177" s="4" t="s">
        <v>5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45">
        <v>110677.57</v>
      </c>
      <c r="Q1177" s="45">
        <v>110677.57</v>
      </c>
      <c r="R1177" s="45">
        <v>110677.57</v>
      </c>
      <c r="S1177" s="45">
        <v>110677.57</v>
      </c>
      <c r="T1177" s="45">
        <v>110677.57</v>
      </c>
      <c r="U1177" s="52"/>
      <c r="V1177" s="21">
        <f>SUM(J1177:U1177)</f>
        <v>553387.8500000001</v>
      </c>
    </row>
    <row r="1178" spans="3:22" ht="13.5" customHeight="1" thickBot="1">
      <c r="C1178" s="6" t="s">
        <v>334</v>
      </c>
      <c r="J1178" s="22">
        <f aca="true" t="shared" si="123" ref="J1178:U1178">SUM(J1175:J1177)</f>
        <v>250</v>
      </c>
      <c r="K1178" s="22">
        <f t="shared" si="123"/>
        <v>0</v>
      </c>
      <c r="L1178" s="22">
        <f t="shared" si="123"/>
        <v>0</v>
      </c>
      <c r="M1178" s="22">
        <f t="shared" si="123"/>
        <v>0</v>
      </c>
      <c r="N1178" s="22">
        <f t="shared" si="123"/>
        <v>0</v>
      </c>
      <c r="O1178" s="22">
        <f t="shared" si="123"/>
        <v>0</v>
      </c>
      <c r="P1178" s="22">
        <f t="shared" si="123"/>
        <v>110677.57</v>
      </c>
      <c r="Q1178" s="22">
        <f t="shared" si="123"/>
        <v>110677.57</v>
      </c>
      <c r="R1178" s="22">
        <f t="shared" si="123"/>
        <v>110677.57</v>
      </c>
      <c r="S1178" s="22">
        <f t="shared" si="123"/>
        <v>110677.57</v>
      </c>
      <c r="T1178" s="22">
        <f t="shared" si="123"/>
        <v>110677.57</v>
      </c>
      <c r="U1178" s="30">
        <f t="shared" si="123"/>
        <v>0</v>
      </c>
      <c r="V1178" s="22">
        <f>SUM(V1175:V1177)</f>
        <v>553637.8500000001</v>
      </c>
    </row>
    <row r="1179" ht="13.5" customHeight="1">
      <c r="C1179" s="10"/>
    </row>
    <row r="1180" spans="1:3" ht="13.5" customHeight="1">
      <c r="A1180" s="14">
        <f>+A1168+1</f>
        <v>63</v>
      </c>
      <c r="C1180" s="5" t="s">
        <v>335</v>
      </c>
    </row>
    <row r="1181" spans="3:22" ht="13.5" customHeight="1">
      <c r="C1181" s="4" t="s">
        <v>3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21">
        <v>0</v>
      </c>
      <c r="P1181" s="21">
        <v>0</v>
      </c>
      <c r="Q1181" s="21">
        <v>0</v>
      </c>
      <c r="R1181" s="21">
        <v>0</v>
      </c>
      <c r="S1181" s="21">
        <v>0</v>
      </c>
      <c r="T1181" s="21">
        <v>0</v>
      </c>
      <c r="U1181" s="29">
        <v>0</v>
      </c>
      <c r="V1181" s="21">
        <f>SUM(J1181:U1181)</f>
        <v>0</v>
      </c>
    </row>
    <row r="1182" spans="3:22" ht="13.5" customHeight="1">
      <c r="C1182" s="4" t="s">
        <v>4</v>
      </c>
      <c r="J1182" s="45">
        <v>250</v>
      </c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52"/>
      <c r="V1182" s="21">
        <f>SUM(J1182:U1182)</f>
        <v>250</v>
      </c>
    </row>
    <row r="1183" spans="3:22" ht="13.5" customHeight="1" thickBot="1">
      <c r="C1183" s="4" t="s">
        <v>5</v>
      </c>
      <c r="J1183" s="45">
        <v>42338.43</v>
      </c>
      <c r="K1183" s="45">
        <v>42338.85</v>
      </c>
      <c r="L1183" s="45">
        <v>42339.17</v>
      </c>
      <c r="M1183" s="45">
        <v>42338.39</v>
      </c>
      <c r="N1183" s="45">
        <v>42338.5</v>
      </c>
      <c r="O1183" s="45">
        <v>42338.52</v>
      </c>
      <c r="P1183" s="45">
        <v>42338.43</v>
      </c>
      <c r="Q1183" s="45">
        <v>42338.25</v>
      </c>
      <c r="R1183" s="45">
        <v>42338.96</v>
      </c>
      <c r="S1183" s="45">
        <v>42338.57</v>
      </c>
      <c r="T1183" s="45">
        <v>42339.08</v>
      </c>
      <c r="U1183" s="52">
        <v>42338.48</v>
      </c>
      <c r="V1183" s="21">
        <f>SUM(J1183:U1183)</f>
        <v>508063.63</v>
      </c>
    </row>
    <row r="1184" spans="3:22" ht="13.5" customHeight="1" thickBot="1">
      <c r="C1184" s="6" t="s">
        <v>262</v>
      </c>
      <c r="J1184" s="22">
        <f aca="true" t="shared" si="124" ref="J1184:U1184">SUM(J1181:J1183)</f>
        <v>42588.43</v>
      </c>
      <c r="K1184" s="22">
        <f t="shared" si="124"/>
        <v>42338.85</v>
      </c>
      <c r="L1184" s="22">
        <f t="shared" si="124"/>
        <v>42339.17</v>
      </c>
      <c r="M1184" s="22">
        <f t="shared" si="124"/>
        <v>42338.39</v>
      </c>
      <c r="N1184" s="22">
        <f t="shared" si="124"/>
        <v>42338.5</v>
      </c>
      <c r="O1184" s="22">
        <f t="shared" si="124"/>
        <v>42338.52</v>
      </c>
      <c r="P1184" s="22">
        <f t="shared" si="124"/>
        <v>42338.43</v>
      </c>
      <c r="Q1184" s="22">
        <f t="shared" si="124"/>
        <v>42338.25</v>
      </c>
      <c r="R1184" s="22">
        <f t="shared" si="124"/>
        <v>42338.96</v>
      </c>
      <c r="S1184" s="22">
        <f t="shared" si="124"/>
        <v>42338.57</v>
      </c>
      <c r="T1184" s="22">
        <f t="shared" si="124"/>
        <v>42339.08</v>
      </c>
      <c r="U1184" s="30">
        <f t="shared" si="124"/>
        <v>42338.48</v>
      </c>
      <c r="V1184" s="22">
        <f>SUM(V1181:V1183)</f>
        <v>508313.63</v>
      </c>
    </row>
    <row r="1185" ht="13.5" customHeight="1">
      <c r="C1185" s="10"/>
    </row>
    <row r="1186" spans="1:3" ht="13.5" customHeight="1">
      <c r="A1186" s="14">
        <f>+A1180+1</f>
        <v>64</v>
      </c>
      <c r="C1186" s="5" t="s">
        <v>336</v>
      </c>
    </row>
    <row r="1187" spans="3:22" ht="13.5" customHeight="1">
      <c r="C1187" s="4" t="s">
        <v>3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1">
        <v>0</v>
      </c>
      <c r="Q1187" s="21">
        <v>0</v>
      </c>
      <c r="R1187" s="21">
        <v>0</v>
      </c>
      <c r="S1187" s="21">
        <v>0</v>
      </c>
      <c r="T1187" s="21">
        <v>0</v>
      </c>
      <c r="U1187" s="29">
        <v>0</v>
      </c>
      <c r="V1187" s="21">
        <f>SUM(J1187:U1187)</f>
        <v>0</v>
      </c>
    </row>
    <row r="1188" spans="3:22" ht="13.5" customHeight="1">
      <c r="C1188" s="4" t="s">
        <v>4</v>
      </c>
      <c r="J1188" s="45">
        <v>250</v>
      </c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U1188" s="52"/>
      <c r="V1188" s="21">
        <f>SUM(J1188:U1188)</f>
        <v>250</v>
      </c>
    </row>
    <row r="1189" spans="3:22" ht="13.5" customHeight="1" thickBot="1">
      <c r="C1189" s="4" t="s">
        <v>5</v>
      </c>
      <c r="J1189" s="45">
        <v>76337.111</v>
      </c>
      <c r="K1189" s="45">
        <v>76337.73</v>
      </c>
      <c r="L1189" s="45">
        <v>76337.02</v>
      </c>
      <c r="M1189" s="45">
        <v>76337</v>
      </c>
      <c r="N1189" s="45">
        <v>76337.66</v>
      </c>
      <c r="O1189" s="45">
        <v>76336.99</v>
      </c>
      <c r="P1189" s="45">
        <v>76336.99</v>
      </c>
      <c r="Q1189" s="45">
        <v>76337.67</v>
      </c>
      <c r="R1189" s="45">
        <v>76337.02</v>
      </c>
      <c r="S1189" s="45">
        <v>76337.04</v>
      </c>
      <c r="T1189" s="45">
        <v>76337.73</v>
      </c>
      <c r="U1189" s="52">
        <v>76337.08</v>
      </c>
      <c r="V1189" s="21">
        <f>SUM(J1189:U1189)</f>
        <v>916047.0410000001</v>
      </c>
    </row>
    <row r="1190" spans="3:22" ht="13.5" customHeight="1" thickBot="1">
      <c r="C1190" s="6" t="s">
        <v>337</v>
      </c>
      <c r="J1190" s="22">
        <f aca="true" t="shared" si="125" ref="J1190:U1190">SUM(J1187:J1189)</f>
        <v>76587.111</v>
      </c>
      <c r="K1190" s="22">
        <f t="shared" si="125"/>
        <v>76337.73</v>
      </c>
      <c r="L1190" s="22">
        <f t="shared" si="125"/>
        <v>76337.02</v>
      </c>
      <c r="M1190" s="22">
        <f t="shared" si="125"/>
        <v>76337</v>
      </c>
      <c r="N1190" s="22">
        <f t="shared" si="125"/>
        <v>76337.66</v>
      </c>
      <c r="O1190" s="22">
        <f t="shared" si="125"/>
        <v>76336.99</v>
      </c>
      <c r="P1190" s="22">
        <f t="shared" si="125"/>
        <v>76336.99</v>
      </c>
      <c r="Q1190" s="22">
        <f t="shared" si="125"/>
        <v>76337.67</v>
      </c>
      <c r="R1190" s="22">
        <f t="shared" si="125"/>
        <v>76337.02</v>
      </c>
      <c r="S1190" s="22">
        <f t="shared" si="125"/>
        <v>76337.04</v>
      </c>
      <c r="T1190" s="22">
        <f t="shared" si="125"/>
        <v>76337.73</v>
      </c>
      <c r="U1190" s="30">
        <f t="shared" si="125"/>
        <v>76337.08</v>
      </c>
      <c r="V1190" s="22">
        <f>SUM(V1187:V1189)</f>
        <v>916297.0410000001</v>
      </c>
    </row>
    <row r="1191" ht="13.5" customHeight="1">
      <c r="C1191" s="10"/>
    </row>
    <row r="1192" spans="1:3" ht="13.5" customHeight="1">
      <c r="A1192" s="14">
        <f>+A1186+1</f>
        <v>65</v>
      </c>
      <c r="C1192" s="5" t="s">
        <v>338</v>
      </c>
    </row>
    <row r="1193" spans="3:22" ht="14.25" customHeight="1">
      <c r="C1193" s="4" t="s">
        <v>3</v>
      </c>
      <c r="J1193" s="21">
        <v>2897.92</v>
      </c>
      <c r="K1193" s="21">
        <v>2897.92</v>
      </c>
      <c r="L1193" s="21">
        <v>2897.92</v>
      </c>
      <c r="M1193" s="21">
        <v>2897.92</v>
      </c>
      <c r="N1193" s="21">
        <v>2897.92</v>
      </c>
      <c r="O1193" s="21">
        <v>2897.92</v>
      </c>
      <c r="P1193" s="21">
        <v>2897.92</v>
      </c>
      <c r="Q1193" s="21">
        <v>2897.92</v>
      </c>
      <c r="R1193" s="21">
        <v>2897.92</v>
      </c>
      <c r="S1193" s="21">
        <v>2897.92</v>
      </c>
      <c r="T1193" s="21">
        <v>2897.92</v>
      </c>
      <c r="U1193" s="29">
        <v>2897.92</v>
      </c>
      <c r="V1193" s="21">
        <f>SUM(J1193:U1193)</f>
        <v>34775.03999999999</v>
      </c>
    </row>
    <row r="1194" spans="3:22" ht="14.25" customHeight="1">
      <c r="C1194" s="4" t="s">
        <v>4</v>
      </c>
      <c r="J1194" s="45">
        <v>250</v>
      </c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U1194" s="52"/>
      <c r="V1194" s="21">
        <f>SUM(J1194:U1194)</f>
        <v>250</v>
      </c>
    </row>
    <row r="1195" spans="3:22" ht="14.25" customHeight="1" thickBot="1">
      <c r="C1195" s="4" t="s">
        <v>5</v>
      </c>
      <c r="J1195" s="21">
        <v>140451.56</v>
      </c>
      <c r="K1195" s="21">
        <v>140451.58</v>
      </c>
      <c r="L1195" s="21">
        <v>140451.56</v>
      </c>
      <c r="M1195" s="21">
        <v>140451.56</v>
      </c>
      <c r="N1195" s="21">
        <v>140451.56</v>
      </c>
      <c r="O1195" s="21">
        <v>140451.56</v>
      </c>
      <c r="P1195" s="21">
        <v>140451.56</v>
      </c>
      <c r="Q1195" s="21">
        <v>140451.58</v>
      </c>
      <c r="R1195" s="45">
        <f>37083.33+140451.56</f>
        <v>177534.89</v>
      </c>
      <c r="S1195" s="45">
        <f>37083.33+140451.56</f>
        <v>177534.89</v>
      </c>
      <c r="T1195" s="45">
        <f>37083.33+140451.56</f>
        <v>177534.89</v>
      </c>
      <c r="U1195" s="52">
        <f>37083.33+140451.56</f>
        <v>177534.89</v>
      </c>
      <c r="V1195" s="21">
        <f>SUM(J1195:U1195)</f>
        <v>1833752.0800000005</v>
      </c>
    </row>
    <row r="1196" spans="3:22" ht="14.25" customHeight="1" thickBot="1">
      <c r="C1196" s="6" t="s">
        <v>182</v>
      </c>
      <c r="J1196" s="22">
        <f aca="true" t="shared" si="126" ref="J1196:U1196">SUM(J1193:J1195)</f>
        <v>143599.48</v>
      </c>
      <c r="K1196" s="22">
        <f t="shared" si="126"/>
        <v>143349.5</v>
      </c>
      <c r="L1196" s="22">
        <f t="shared" si="126"/>
        <v>143349.48</v>
      </c>
      <c r="M1196" s="22">
        <f t="shared" si="126"/>
        <v>143349.48</v>
      </c>
      <c r="N1196" s="22">
        <f t="shared" si="126"/>
        <v>143349.48</v>
      </c>
      <c r="O1196" s="22">
        <f t="shared" si="126"/>
        <v>143349.48</v>
      </c>
      <c r="P1196" s="22">
        <f t="shared" si="126"/>
        <v>143349.48</v>
      </c>
      <c r="Q1196" s="22">
        <f t="shared" si="126"/>
        <v>143349.5</v>
      </c>
      <c r="R1196" s="22">
        <f t="shared" si="126"/>
        <v>180432.81000000003</v>
      </c>
      <c r="S1196" s="22">
        <f t="shared" si="126"/>
        <v>180432.81000000003</v>
      </c>
      <c r="T1196" s="22">
        <f t="shared" si="126"/>
        <v>180432.81000000003</v>
      </c>
      <c r="U1196" s="30">
        <f t="shared" si="126"/>
        <v>180432.81000000003</v>
      </c>
      <c r="V1196" s="22">
        <f>SUM(V1193:V1195)</f>
        <v>1868777.1200000006</v>
      </c>
    </row>
    <row r="1197" ht="14.25" customHeight="1">
      <c r="C1197" s="10"/>
    </row>
    <row r="1198" spans="1:3" ht="14.25" customHeight="1">
      <c r="A1198" s="14">
        <f>+A1192+1</f>
        <v>66</v>
      </c>
      <c r="C1198" s="5" t="s">
        <v>339</v>
      </c>
    </row>
    <row r="1199" spans="3:22" ht="14.25" customHeight="1">
      <c r="C1199" s="4" t="s">
        <v>3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21">
        <v>0</v>
      </c>
      <c r="P1199" s="21">
        <v>0</v>
      </c>
      <c r="Q1199" s="21">
        <v>0</v>
      </c>
      <c r="R1199" s="21">
        <v>0</v>
      </c>
      <c r="S1199" s="21">
        <v>0</v>
      </c>
      <c r="T1199" s="21">
        <v>0</v>
      </c>
      <c r="U1199" s="29">
        <v>0</v>
      </c>
      <c r="V1199" s="21">
        <f>SUM(J1199:U1199)</f>
        <v>0</v>
      </c>
    </row>
    <row r="1200" spans="3:22" ht="14.25" customHeight="1">
      <c r="C1200" s="4" t="s">
        <v>4</v>
      </c>
      <c r="J1200" s="45">
        <v>250</v>
      </c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  <c r="U1200" s="52"/>
      <c r="V1200" s="21">
        <f>SUM(J1200:U1200)</f>
        <v>250</v>
      </c>
    </row>
    <row r="1201" spans="3:22" ht="14.25" customHeight="1" thickBot="1">
      <c r="C1201" s="4" t="s">
        <v>5</v>
      </c>
      <c r="J1201" s="21">
        <v>18702.38</v>
      </c>
      <c r="K1201" s="21">
        <v>18702.38</v>
      </c>
      <c r="L1201" s="21">
        <v>18702.38</v>
      </c>
      <c r="M1201" s="21">
        <v>18702.38</v>
      </c>
      <c r="N1201" s="21">
        <v>18702.38</v>
      </c>
      <c r="O1201" s="21">
        <v>18702.38</v>
      </c>
      <c r="P1201" s="21">
        <v>18702.38</v>
      </c>
      <c r="Q1201" s="21">
        <v>18702.38</v>
      </c>
      <c r="R1201" s="21">
        <v>18702.38</v>
      </c>
      <c r="S1201" s="21">
        <v>18702.38</v>
      </c>
      <c r="T1201" s="21">
        <v>18702.38</v>
      </c>
      <c r="U1201" s="29">
        <v>18702.38</v>
      </c>
      <c r="V1201" s="21">
        <f>SUM(J1201:U1201)</f>
        <v>224428.56000000003</v>
      </c>
    </row>
    <row r="1202" spans="3:22" ht="14.25" customHeight="1" thickBot="1">
      <c r="C1202" s="6" t="s">
        <v>340</v>
      </c>
      <c r="J1202" s="22">
        <f aca="true" t="shared" si="127" ref="J1202:U1202">SUM(J1199:J1201)</f>
        <v>18952.38</v>
      </c>
      <c r="K1202" s="22">
        <f t="shared" si="127"/>
        <v>18702.38</v>
      </c>
      <c r="L1202" s="22">
        <f t="shared" si="127"/>
        <v>18702.38</v>
      </c>
      <c r="M1202" s="22">
        <f t="shared" si="127"/>
        <v>18702.38</v>
      </c>
      <c r="N1202" s="22">
        <f t="shared" si="127"/>
        <v>18702.38</v>
      </c>
      <c r="O1202" s="22">
        <f t="shared" si="127"/>
        <v>18702.38</v>
      </c>
      <c r="P1202" s="22">
        <f t="shared" si="127"/>
        <v>18702.38</v>
      </c>
      <c r="Q1202" s="22">
        <f t="shared" si="127"/>
        <v>18702.38</v>
      </c>
      <c r="R1202" s="22">
        <f t="shared" si="127"/>
        <v>18702.38</v>
      </c>
      <c r="S1202" s="22">
        <f t="shared" si="127"/>
        <v>18702.38</v>
      </c>
      <c r="T1202" s="22">
        <f t="shared" si="127"/>
        <v>18702.38</v>
      </c>
      <c r="U1202" s="30">
        <f t="shared" si="127"/>
        <v>18702.38</v>
      </c>
      <c r="V1202" s="22">
        <f>SUM(V1199:V1201)</f>
        <v>224678.56000000003</v>
      </c>
    </row>
    <row r="1203" ht="14.25" customHeight="1">
      <c r="C1203" s="10"/>
    </row>
    <row r="1204" spans="1:3" ht="14.25" customHeight="1">
      <c r="A1204" s="14"/>
      <c r="B1204" s="46" t="s">
        <v>104</v>
      </c>
      <c r="C1204" s="25" t="s">
        <v>341</v>
      </c>
    </row>
    <row r="1205" spans="3:22" ht="14.25" customHeight="1">
      <c r="C1205" s="4" t="s">
        <v>3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  <c r="Q1205" s="21"/>
      <c r="R1205" s="21"/>
      <c r="S1205" s="21"/>
      <c r="T1205" s="21"/>
      <c r="U1205" s="29"/>
      <c r="V1205" s="21">
        <f>SUM(J1205:U1205)</f>
        <v>0</v>
      </c>
    </row>
    <row r="1206" spans="3:22" ht="14.25" customHeight="1">
      <c r="C1206" s="4" t="s">
        <v>4</v>
      </c>
      <c r="J1206" s="45">
        <v>250</v>
      </c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  <c r="U1206" s="52"/>
      <c r="V1206" s="21">
        <f>SUM(J1206:U1206)</f>
        <v>250</v>
      </c>
    </row>
    <row r="1207" spans="3:22" ht="14.25" customHeight="1" thickBot="1">
      <c r="C1207" s="4" t="s">
        <v>5</v>
      </c>
      <c r="J1207" s="45">
        <f aca="true" t="shared" si="128" ref="J1207:O1207">20172.92+32611.23</f>
        <v>52784.149999999994</v>
      </c>
      <c r="K1207" s="45">
        <f t="shared" si="128"/>
        <v>52784.149999999994</v>
      </c>
      <c r="L1207" s="45">
        <f t="shared" si="128"/>
        <v>52784.149999999994</v>
      </c>
      <c r="M1207" s="45">
        <f t="shared" si="128"/>
        <v>52784.149999999994</v>
      </c>
      <c r="N1207" s="45">
        <f t="shared" si="128"/>
        <v>52784.149999999994</v>
      </c>
      <c r="O1207" s="45">
        <f t="shared" si="128"/>
        <v>52784.149999999994</v>
      </c>
      <c r="P1207" s="45">
        <f>20172.92+32079.53</f>
        <v>52252.45</v>
      </c>
      <c r="Q1207" s="45"/>
      <c r="R1207" s="45"/>
      <c r="S1207" s="45"/>
      <c r="T1207" s="45"/>
      <c r="U1207" s="52"/>
      <c r="V1207" s="21">
        <f>SUM(J1207:U1207)</f>
        <v>368957.35000000003</v>
      </c>
    </row>
    <row r="1208" spans="3:22" ht="14.25" customHeight="1" thickBot="1">
      <c r="C1208" s="6" t="s">
        <v>342</v>
      </c>
      <c r="J1208" s="22">
        <f aca="true" t="shared" si="129" ref="J1208:U1208">SUM(J1205:J1207)</f>
        <v>53034.149999999994</v>
      </c>
      <c r="K1208" s="22">
        <f t="shared" si="129"/>
        <v>52784.149999999994</v>
      </c>
      <c r="L1208" s="22">
        <f t="shared" si="129"/>
        <v>52784.149999999994</v>
      </c>
      <c r="M1208" s="22">
        <f t="shared" si="129"/>
        <v>52784.149999999994</v>
      </c>
      <c r="N1208" s="22">
        <f t="shared" si="129"/>
        <v>52784.149999999994</v>
      </c>
      <c r="O1208" s="22">
        <f t="shared" si="129"/>
        <v>52784.149999999994</v>
      </c>
      <c r="P1208" s="22">
        <f t="shared" si="129"/>
        <v>52252.45</v>
      </c>
      <c r="Q1208" s="22">
        <f t="shared" si="129"/>
        <v>0</v>
      </c>
      <c r="R1208" s="22">
        <f t="shared" si="129"/>
        <v>0</v>
      </c>
      <c r="S1208" s="22">
        <f t="shared" si="129"/>
        <v>0</v>
      </c>
      <c r="T1208" s="22">
        <f t="shared" si="129"/>
        <v>0</v>
      </c>
      <c r="U1208" s="30">
        <f t="shared" si="129"/>
        <v>0</v>
      </c>
      <c r="V1208" s="22">
        <f>SUM(V1205:V1207)</f>
        <v>369207.35000000003</v>
      </c>
    </row>
    <row r="1209" ht="14.25" customHeight="1">
      <c r="C1209" s="10"/>
    </row>
    <row r="1210" spans="1:3" ht="14.25" customHeight="1">
      <c r="A1210" s="14">
        <f>+A1198+1</f>
        <v>67</v>
      </c>
      <c r="C1210" s="5" t="s">
        <v>343</v>
      </c>
    </row>
    <row r="1211" spans="3:22" ht="14.25" customHeight="1">
      <c r="C1211" s="4" t="s">
        <v>3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1">
        <v>0</v>
      </c>
      <c r="Q1211" s="21">
        <v>0</v>
      </c>
      <c r="R1211" s="21">
        <v>0</v>
      </c>
      <c r="S1211" s="21">
        <v>0</v>
      </c>
      <c r="T1211" s="21">
        <v>0</v>
      </c>
      <c r="U1211" s="29">
        <v>0</v>
      </c>
      <c r="V1211" s="21">
        <f>SUM(J1211:U1211)</f>
        <v>0</v>
      </c>
    </row>
    <row r="1212" spans="3:22" ht="14.25" customHeight="1">
      <c r="C1212" s="4" t="s">
        <v>4</v>
      </c>
      <c r="J1212" s="45">
        <v>250</v>
      </c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  <c r="U1212" s="52"/>
      <c r="V1212" s="21">
        <f>SUM(J1212:U1212)</f>
        <v>250</v>
      </c>
    </row>
    <row r="1213" spans="3:22" ht="14.25" customHeight="1" thickBot="1">
      <c r="C1213" s="4" t="s">
        <v>5</v>
      </c>
      <c r="J1213" s="21">
        <f aca="true" t="shared" si="130" ref="J1213:S1213">36666.67+94818.75</f>
        <v>131485.41999999998</v>
      </c>
      <c r="K1213" s="21">
        <f t="shared" si="130"/>
        <v>131485.41999999998</v>
      </c>
      <c r="L1213" s="21">
        <f t="shared" si="130"/>
        <v>131485.41999999998</v>
      </c>
      <c r="M1213" s="21">
        <f t="shared" si="130"/>
        <v>131485.41999999998</v>
      </c>
      <c r="N1213" s="21">
        <f t="shared" si="130"/>
        <v>131485.41999999998</v>
      </c>
      <c r="O1213" s="21">
        <f t="shared" si="130"/>
        <v>131485.41999999998</v>
      </c>
      <c r="P1213" s="21">
        <f t="shared" si="130"/>
        <v>131485.41999999998</v>
      </c>
      <c r="Q1213" s="21">
        <f t="shared" si="130"/>
        <v>131485.41999999998</v>
      </c>
      <c r="R1213" s="21">
        <f t="shared" si="130"/>
        <v>131485.41999999998</v>
      </c>
      <c r="S1213" s="21">
        <f t="shared" si="130"/>
        <v>131485.41999999998</v>
      </c>
      <c r="T1213" s="21">
        <f>36666.63+94818.75</f>
        <v>131485.38</v>
      </c>
      <c r="U1213" s="52">
        <f>38333.33+93168.75</f>
        <v>131502.08000000002</v>
      </c>
      <c r="V1213" s="21">
        <f>SUM(J1213:U1213)</f>
        <v>1577841.6599999997</v>
      </c>
    </row>
    <row r="1214" spans="3:22" ht="14.25" customHeight="1" thickBot="1">
      <c r="C1214" s="6" t="s">
        <v>260</v>
      </c>
      <c r="J1214" s="22">
        <f aca="true" t="shared" si="131" ref="J1214:U1214">SUM(J1211:J1213)</f>
        <v>131735.41999999998</v>
      </c>
      <c r="K1214" s="22">
        <f t="shared" si="131"/>
        <v>131485.41999999998</v>
      </c>
      <c r="L1214" s="22">
        <f t="shared" si="131"/>
        <v>131485.41999999998</v>
      </c>
      <c r="M1214" s="22">
        <f t="shared" si="131"/>
        <v>131485.41999999998</v>
      </c>
      <c r="N1214" s="22">
        <f t="shared" si="131"/>
        <v>131485.41999999998</v>
      </c>
      <c r="O1214" s="22">
        <f t="shared" si="131"/>
        <v>131485.41999999998</v>
      </c>
      <c r="P1214" s="22">
        <f t="shared" si="131"/>
        <v>131485.41999999998</v>
      </c>
      <c r="Q1214" s="22">
        <f t="shared" si="131"/>
        <v>131485.41999999998</v>
      </c>
      <c r="R1214" s="22">
        <f t="shared" si="131"/>
        <v>131485.41999999998</v>
      </c>
      <c r="S1214" s="22">
        <f t="shared" si="131"/>
        <v>131485.41999999998</v>
      </c>
      <c r="T1214" s="22">
        <f t="shared" si="131"/>
        <v>131485.38</v>
      </c>
      <c r="U1214" s="30">
        <f t="shared" si="131"/>
        <v>131502.08000000002</v>
      </c>
      <c r="V1214" s="22">
        <f>SUM(V1211:V1213)</f>
        <v>1578091.6599999997</v>
      </c>
    </row>
    <row r="1215" ht="14.25" customHeight="1">
      <c r="C1215" s="10"/>
    </row>
    <row r="1216" spans="1:3" ht="14.25" customHeight="1">
      <c r="A1216" s="14">
        <f>+A1210+1</f>
        <v>68</v>
      </c>
      <c r="C1216" s="5" t="s">
        <v>344</v>
      </c>
    </row>
    <row r="1217" spans="3:22" ht="14.25" customHeight="1">
      <c r="C1217" s="4" t="s">
        <v>3</v>
      </c>
      <c r="J1217" s="21">
        <v>4586.67</v>
      </c>
      <c r="K1217" s="21">
        <v>4586.67</v>
      </c>
      <c r="L1217" s="21">
        <v>4586.67</v>
      </c>
      <c r="M1217" s="21">
        <v>4586.67</v>
      </c>
      <c r="N1217" s="21">
        <v>4586.67</v>
      </c>
      <c r="O1217" s="21">
        <v>4586.67</v>
      </c>
      <c r="P1217" s="21">
        <v>4586.67</v>
      </c>
      <c r="Q1217" s="21">
        <v>4586.67</v>
      </c>
      <c r="R1217" s="21">
        <v>4586.67</v>
      </c>
      <c r="S1217" s="21">
        <v>4586.67</v>
      </c>
      <c r="T1217" s="45">
        <v>4578.33</v>
      </c>
      <c r="U1217" s="52">
        <v>4578.33</v>
      </c>
      <c r="V1217" s="21">
        <f>SUM(J1217:U1217)</f>
        <v>55023.35999999999</v>
      </c>
    </row>
    <row r="1218" spans="3:22" ht="14.25" customHeight="1">
      <c r="C1218" s="4" t="s">
        <v>4</v>
      </c>
      <c r="J1218" s="45">
        <v>250</v>
      </c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  <c r="U1218" s="52"/>
      <c r="V1218" s="21">
        <f>SUM(J1218:U1218)</f>
        <v>250</v>
      </c>
    </row>
    <row r="1219" spans="3:22" ht="14.25" customHeight="1" thickBot="1">
      <c r="C1219" s="4" t="s">
        <v>5</v>
      </c>
      <c r="J1219" s="45">
        <f>8333.33+228487.5</f>
        <v>236820.83</v>
      </c>
      <c r="K1219" s="45">
        <f>8333.33+228487.5</f>
        <v>236820.83</v>
      </c>
      <c r="L1219" s="45">
        <f>8333.33+228487.5</f>
        <v>236820.83</v>
      </c>
      <c r="M1219" s="45">
        <f>8333.33+228487.5</f>
        <v>236820.83</v>
      </c>
      <c r="N1219" s="45">
        <f>8333.37+228487.5</f>
        <v>236820.87</v>
      </c>
      <c r="O1219" s="45">
        <f>25000+228070.83</f>
        <v>253070.83</v>
      </c>
      <c r="P1219" s="45">
        <f aca="true" t="shared" si="132" ref="P1219:U1219">25000+228070.83</f>
        <v>253070.83</v>
      </c>
      <c r="Q1219" s="45">
        <f t="shared" si="132"/>
        <v>253070.83</v>
      </c>
      <c r="R1219" s="45">
        <f t="shared" si="132"/>
        <v>253070.83</v>
      </c>
      <c r="S1219" s="45">
        <f t="shared" si="132"/>
        <v>253070.83</v>
      </c>
      <c r="T1219" s="45">
        <f>25000+228070.85</f>
        <v>253070.85</v>
      </c>
      <c r="U1219" s="52">
        <f t="shared" si="132"/>
        <v>253070.83</v>
      </c>
      <c r="V1219" s="21">
        <f>SUM(J1219:U1219)</f>
        <v>2955600.0200000005</v>
      </c>
    </row>
    <row r="1220" spans="3:22" ht="14.25" customHeight="1" thickBot="1">
      <c r="C1220" s="6" t="s">
        <v>115</v>
      </c>
      <c r="J1220" s="22">
        <f aca="true" t="shared" si="133" ref="J1220:U1220">SUM(J1217:J1219)</f>
        <v>241657.5</v>
      </c>
      <c r="K1220" s="22">
        <f t="shared" si="133"/>
        <v>241407.5</v>
      </c>
      <c r="L1220" s="22">
        <f t="shared" si="133"/>
        <v>241407.5</v>
      </c>
      <c r="M1220" s="22">
        <f t="shared" si="133"/>
        <v>241407.5</v>
      </c>
      <c r="N1220" s="22">
        <f t="shared" si="133"/>
        <v>241407.54</v>
      </c>
      <c r="O1220" s="22">
        <f t="shared" si="133"/>
        <v>257657.5</v>
      </c>
      <c r="P1220" s="22">
        <f t="shared" si="133"/>
        <v>257657.5</v>
      </c>
      <c r="Q1220" s="22">
        <f t="shared" si="133"/>
        <v>257657.5</v>
      </c>
      <c r="R1220" s="22">
        <f t="shared" si="133"/>
        <v>257657.5</v>
      </c>
      <c r="S1220" s="22">
        <f t="shared" si="133"/>
        <v>257657.5</v>
      </c>
      <c r="T1220" s="22">
        <f t="shared" si="133"/>
        <v>257649.18</v>
      </c>
      <c r="U1220" s="30">
        <f t="shared" si="133"/>
        <v>257649.15999999997</v>
      </c>
      <c r="V1220" s="22">
        <f>SUM(V1217:V1219)</f>
        <v>3010873.3800000004</v>
      </c>
    </row>
    <row r="1221" ht="14.25" customHeight="1">
      <c r="C1221" s="10"/>
    </row>
    <row r="1222" spans="1:3" ht="14.25" customHeight="1">
      <c r="A1222" s="14">
        <f>+A1216+1</f>
        <v>69</v>
      </c>
      <c r="C1222" s="5" t="s">
        <v>345</v>
      </c>
    </row>
    <row r="1223" spans="3:22" ht="14.25" customHeight="1">
      <c r="C1223" s="4" t="s">
        <v>3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  <c r="Q1223" s="21">
        <v>0</v>
      </c>
      <c r="R1223" s="21">
        <v>0</v>
      </c>
      <c r="S1223" s="21">
        <v>0</v>
      </c>
      <c r="T1223" s="21">
        <v>0</v>
      </c>
      <c r="U1223" s="29">
        <v>0</v>
      </c>
      <c r="V1223" s="21">
        <f>SUM(J1223:U1223)</f>
        <v>0</v>
      </c>
    </row>
    <row r="1224" spans="3:22" ht="14.25" customHeight="1">
      <c r="C1224" s="4" t="s">
        <v>4</v>
      </c>
      <c r="J1224" s="45">
        <v>250</v>
      </c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  <c r="U1224" s="52"/>
      <c r="V1224" s="21">
        <f>SUM(J1224:U1224)</f>
        <v>250</v>
      </c>
    </row>
    <row r="1225" spans="3:22" ht="14.25" customHeight="1" thickBot="1">
      <c r="C1225" s="4" t="s">
        <v>5</v>
      </c>
      <c r="J1225" s="45">
        <v>184948.75</v>
      </c>
      <c r="K1225" s="45">
        <v>184656.25</v>
      </c>
      <c r="L1225" s="45">
        <v>183363.75</v>
      </c>
      <c r="M1225" s="45">
        <v>183074.5</v>
      </c>
      <c r="N1225" s="45">
        <v>182785.25</v>
      </c>
      <c r="O1225" s="45">
        <v>180496</v>
      </c>
      <c r="P1225" s="45">
        <v>180213.25</v>
      </c>
      <c r="Q1225" s="45">
        <v>178930.5</v>
      </c>
      <c r="R1225" s="45">
        <v>177651</v>
      </c>
      <c r="S1225" s="45">
        <v>177374.75</v>
      </c>
      <c r="T1225" s="45">
        <v>177098.5</v>
      </c>
      <c r="U1225" s="52">
        <v>185822.25</v>
      </c>
      <c r="V1225" s="21">
        <f>SUM(J1225:U1225)</f>
        <v>2176414.75</v>
      </c>
    </row>
    <row r="1226" spans="3:22" ht="14.25" customHeight="1" thickBot="1">
      <c r="C1226" s="6" t="s">
        <v>26</v>
      </c>
      <c r="J1226" s="22">
        <f aca="true" t="shared" si="134" ref="J1226:U1226">SUM(J1223:J1225)</f>
        <v>185198.75</v>
      </c>
      <c r="K1226" s="22">
        <f t="shared" si="134"/>
        <v>184656.25</v>
      </c>
      <c r="L1226" s="22">
        <f t="shared" si="134"/>
        <v>183363.75</v>
      </c>
      <c r="M1226" s="22">
        <f t="shared" si="134"/>
        <v>183074.5</v>
      </c>
      <c r="N1226" s="22">
        <f t="shared" si="134"/>
        <v>182785.25</v>
      </c>
      <c r="O1226" s="22">
        <f t="shared" si="134"/>
        <v>180496</v>
      </c>
      <c r="P1226" s="22">
        <f t="shared" si="134"/>
        <v>180213.25</v>
      </c>
      <c r="Q1226" s="22">
        <f t="shared" si="134"/>
        <v>178930.5</v>
      </c>
      <c r="R1226" s="22">
        <f t="shared" si="134"/>
        <v>177651</v>
      </c>
      <c r="S1226" s="22">
        <f t="shared" si="134"/>
        <v>177374.75</v>
      </c>
      <c r="T1226" s="22">
        <f t="shared" si="134"/>
        <v>177098.5</v>
      </c>
      <c r="U1226" s="30">
        <f t="shared" si="134"/>
        <v>185822.25</v>
      </c>
      <c r="V1226" s="22">
        <f>SUM(V1223:V1225)</f>
        <v>2176664.75</v>
      </c>
    </row>
    <row r="1227" ht="14.25" customHeight="1">
      <c r="C1227" s="10"/>
    </row>
    <row r="1228" spans="1:3" ht="14.25" customHeight="1">
      <c r="A1228" s="14">
        <f>+A1222+1</f>
        <v>70</v>
      </c>
      <c r="C1228" s="5" t="s">
        <v>346</v>
      </c>
    </row>
    <row r="1229" spans="3:22" ht="14.25" customHeight="1">
      <c r="C1229" s="4" t="s">
        <v>3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1">
        <v>0</v>
      </c>
      <c r="P1229" s="21">
        <v>0</v>
      </c>
      <c r="Q1229" s="21">
        <v>0</v>
      </c>
      <c r="R1229" s="21">
        <v>0</v>
      </c>
      <c r="S1229" s="21">
        <v>0</v>
      </c>
      <c r="T1229" s="21">
        <v>0</v>
      </c>
      <c r="U1229" s="29">
        <v>0</v>
      </c>
      <c r="V1229" s="21">
        <f>SUM(J1229:U1229)</f>
        <v>0</v>
      </c>
    </row>
    <row r="1230" spans="3:22" ht="14.25" customHeight="1">
      <c r="C1230" s="4" t="s">
        <v>4</v>
      </c>
      <c r="J1230" s="45">
        <v>250</v>
      </c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52"/>
      <c r="V1230" s="21">
        <f>SUM(J1230:U1230)</f>
        <v>250</v>
      </c>
    </row>
    <row r="1231" spans="3:22" ht="14.25" customHeight="1" thickBot="1">
      <c r="C1231" s="4" t="s">
        <v>5</v>
      </c>
      <c r="J1231" s="21">
        <v>66750</v>
      </c>
      <c r="K1231" s="21">
        <v>66750</v>
      </c>
      <c r="L1231" s="21">
        <v>66750</v>
      </c>
      <c r="M1231" s="21">
        <v>66750</v>
      </c>
      <c r="N1231" s="21">
        <v>66750</v>
      </c>
      <c r="O1231" s="21">
        <v>66750</v>
      </c>
      <c r="P1231" s="21">
        <v>66750</v>
      </c>
      <c r="Q1231" s="21">
        <v>66750</v>
      </c>
      <c r="R1231" s="21">
        <v>66750</v>
      </c>
      <c r="S1231" s="21">
        <v>66750</v>
      </c>
      <c r="T1231" s="21">
        <v>66750</v>
      </c>
      <c r="U1231" s="52">
        <v>89406.25</v>
      </c>
      <c r="V1231" s="21">
        <f>SUM(J1231:U1231)</f>
        <v>823656.25</v>
      </c>
    </row>
    <row r="1232" spans="3:22" ht="14.25" customHeight="1" thickBot="1">
      <c r="C1232" s="6" t="s">
        <v>347</v>
      </c>
      <c r="J1232" s="22">
        <f aca="true" t="shared" si="135" ref="J1232:U1232">SUM(J1229:J1231)</f>
        <v>67000</v>
      </c>
      <c r="K1232" s="22">
        <f t="shared" si="135"/>
        <v>66750</v>
      </c>
      <c r="L1232" s="22">
        <f t="shared" si="135"/>
        <v>66750</v>
      </c>
      <c r="M1232" s="22">
        <f t="shared" si="135"/>
        <v>66750</v>
      </c>
      <c r="N1232" s="22">
        <f t="shared" si="135"/>
        <v>66750</v>
      </c>
      <c r="O1232" s="22">
        <f t="shared" si="135"/>
        <v>66750</v>
      </c>
      <c r="P1232" s="22">
        <f t="shared" si="135"/>
        <v>66750</v>
      </c>
      <c r="Q1232" s="22">
        <f t="shared" si="135"/>
        <v>66750</v>
      </c>
      <c r="R1232" s="22">
        <f t="shared" si="135"/>
        <v>66750</v>
      </c>
      <c r="S1232" s="22">
        <f t="shared" si="135"/>
        <v>66750</v>
      </c>
      <c r="T1232" s="22">
        <f t="shared" si="135"/>
        <v>66750</v>
      </c>
      <c r="U1232" s="30">
        <f t="shared" si="135"/>
        <v>89406.25</v>
      </c>
      <c r="V1232" s="22">
        <f>SUM(V1229:V1231)</f>
        <v>823906.25</v>
      </c>
    </row>
    <row r="1233" ht="14.25" customHeight="1">
      <c r="C1233" s="10"/>
    </row>
    <row r="1234" spans="1:3" ht="14.25" customHeight="1">
      <c r="A1234" s="14">
        <f>+A1228+1</f>
        <v>71</v>
      </c>
      <c r="C1234" s="5" t="s">
        <v>348</v>
      </c>
    </row>
    <row r="1235" spans="3:22" ht="14.25" customHeight="1">
      <c r="C1235" s="4" t="s">
        <v>3</v>
      </c>
      <c r="J1235" s="21">
        <v>1247.5</v>
      </c>
      <c r="K1235" s="21">
        <v>1247.5</v>
      </c>
      <c r="L1235" s="21">
        <v>1247.5</v>
      </c>
      <c r="M1235" s="21">
        <v>1247.5</v>
      </c>
      <c r="N1235" s="21">
        <v>1247.5</v>
      </c>
      <c r="O1235" s="21">
        <v>1247.5</v>
      </c>
      <c r="P1235" s="21">
        <v>1247.5</v>
      </c>
      <c r="Q1235" s="21">
        <v>1247.5</v>
      </c>
      <c r="R1235" s="21">
        <v>1247.5</v>
      </c>
      <c r="S1235" s="21">
        <v>1247.5</v>
      </c>
      <c r="T1235" s="21">
        <v>1247.5</v>
      </c>
      <c r="U1235" s="29">
        <v>1247.5</v>
      </c>
      <c r="V1235" s="21">
        <f>SUM(J1235:U1235)</f>
        <v>14970</v>
      </c>
    </row>
    <row r="1236" spans="3:22" ht="14.25" customHeight="1">
      <c r="C1236" s="4" t="s">
        <v>4</v>
      </c>
      <c r="J1236" s="45">
        <v>250</v>
      </c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  <c r="U1236" s="52"/>
      <c r="V1236" s="21">
        <f>SUM(J1236:U1236)</f>
        <v>250</v>
      </c>
    </row>
    <row r="1237" spans="3:22" ht="14.25" customHeight="1" thickBot="1">
      <c r="C1237" s="4" t="s">
        <v>5</v>
      </c>
      <c r="J1237" s="21">
        <v>62354.17</v>
      </c>
      <c r="K1237" s="21">
        <v>62354.17</v>
      </c>
      <c r="L1237" s="21">
        <v>62354.17</v>
      </c>
      <c r="M1237" s="21">
        <v>62354.17</v>
      </c>
      <c r="N1237" s="21">
        <v>62354.15</v>
      </c>
      <c r="O1237" s="21">
        <v>62354.17</v>
      </c>
      <c r="P1237" s="21">
        <v>62354.17</v>
      </c>
      <c r="Q1237" s="21">
        <v>62354.17</v>
      </c>
      <c r="R1237" s="21">
        <v>62354.17</v>
      </c>
      <c r="S1237" s="21">
        <v>62354.17</v>
      </c>
      <c r="T1237" s="21">
        <v>62354.15</v>
      </c>
      <c r="U1237" s="52">
        <f>21666.67+62354.17</f>
        <v>84020.84</v>
      </c>
      <c r="V1237" s="21">
        <f>SUM(J1237:U1237)</f>
        <v>769916.67</v>
      </c>
    </row>
    <row r="1238" spans="3:22" ht="14.25" customHeight="1" thickBot="1">
      <c r="C1238" s="6" t="s">
        <v>349</v>
      </c>
      <c r="J1238" s="22">
        <f aca="true" t="shared" si="136" ref="J1238:U1238">SUM(J1235:J1237)</f>
        <v>63851.67</v>
      </c>
      <c r="K1238" s="22">
        <f t="shared" si="136"/>
        <v>63601.67</v>
      </c>
      <c r="L1238" s="22">
        <f t="shared" si="136"/>
        <v>63601.67</v>
      </c>
      <c r="M1238" s="22">
        <f t="shared" si="136"/>
        <v>63601.67</v>
      </c>
      <c r="N1238" s="22">
        <f t="shared" si="136"/>
        <v>63601.65</v>
      </c>
      <c r="O1238" s="22">
        <f t="shared" si="136"/>
        <v>63601.67</v>
      </c>
      <c r="P1238" s="22">
        <f t="shared" si="136"/>
        <v>63601.67</v>
      </c>
      <c r="Q1238" s="22">
        <f t="shared" si="136"/>
        <v>63601.67</v>
      </c>
      <c r="R1238" s="22">
        <f t="shared" si="136"/>
        <v>63601.67</v>
      </c>
      <c r="S1238" s="22">
        <f t="shared" si="136"/>
        <v>63601.67</v>
      </c>
      <c r="T1238" s="22">
        <f t="shared" si="136"/>
        <v>63601.65</v>
      </c>
      <c r="U1238" s="30">
        <f t="shared" si="136"/>
        <v>85268.34</v>
      </c>
      <c r="V1238" s="22">
        <f>SUM(V1235:V1237)</f>
        <v>785136.67</v>
      </c>
    </row>
    <row r="1239" ht="14.25" customHeight="1">
      <c r="C1239" s="10"/>
    </row>
    <row r="1240" spans="1:3" ht="14.25" customHeight="1">
      <c r="A1240" s="14">
        <f>+A1234+1</f>
        <v>72</v>
      </c>
      <c r="C1240" s="5" t="s">
        <v>351</v>
      </c>
    </row>
    <row r="1241" spans="3:22" ht="14.25" customHeight="1">
      <c r="C1241" s="4" t="s">
        <v>3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1">
        <v>0</v>
      </c>
      <c r="Q1241" s="21">
        <v>0</v>
      </c>
      <c r="R1241" s="21">
        <v>0</v>
      </c>
      <c r="S1241" s="21">
        <v>0</v>
      </c>
      <c r="T1241" s="21">
        <v>0</v>
      </c>
      <c r="U1241" s="29">
        <v>0</v>
      </c>
      <c r="V1241" s="21">
        <f>SUM(J1241:U1241)</f>
        <v>0</v>
      </c>
    </row>
    <row r="1242" spans="3:22" ht="14.25" customHeight="1">
      <c r="C1242" s="4" t="s">
        <v>4</v>
      </c>
      <c r="J1242" s="45">
        <v>250</v>
      </c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U1242" s="52"/>
      <c r="V1242" s="21">
        <f>SUM(J1242:U1242)</f>
        <v>250</v>
      </c>
    </row>
    <row r="1243" spans="3:22" ht="14.25" customHeight="1" thickBot="1">
      <c r="C1243" s="4" t="s">
        <v>5</v>
      </c>
      <c r="J1243" s="21">
        <f aca="true" t="shared" si="137" ref="J1243:S1243">107473.96-28545.03</f>
        <v>78928.93000000001</v>
      </c>
      <c r="K1243" s="21">
        <f t="shared" si="137"/>
        <v>78928.93000000001</v>
      </c>
      <c r="L1243" s="21">
        <f t="shared" si="137"/>
        <v>78928.93000000001</v>
      </c>
      <c r="M1243" s="21">
        <f t="shared" si="137"/>
        <v>78928.93000000001</v>
      </c>
      <c r="N1243" s="21">
        <f t="shared" si="137"/>
        <v>78928.93000000001</v>
      </c>
      <c r="O1243" s="21">
        <f t="shared" si="137"/>
        <v>78928.93000000001</v>
      </c>
      <c r="P1243" s="21">
        <f t="shared" si="137"/>
        <v>78928.93000000001</v>
      </c>
      <c r="Q1243" s="21">
        <f t="shared" si="137"/>
        <v>78928.93000000001</v>
      </c>
      <c r="R1243" s="21">
        <f t="shared" si="137"/>
        <v>78928.93000000001</v>
      </c>
      <c r="S1243" s="21">
        <f t="shared" si="137"/>
        <v>78928.93000000001</v>
      </c>
      <c r="T1243" s="21">
        <f>107473.94-28545.13</f>
        <v>78928.81</v>
      </c>
      <c r="U1243" s="52">
        <f>107473.96-7392.5</f>
        <v>100081.46</v>
      </c>
      <c r="V1243" s="21">
        <f>SUM(J1243:U1243)</f>
        <v>968299.5700000001</v>
      </c>
    </row>
    <row r="1244" spans="3:22" ht="14.25" customHeight="1" thickBot="1">
      <c r="C1244" s="6" t="s">
        <v>352</v>
      </c>
      <c r="J1244" s="22">
        <f aca="true" t="shared" si="138" ref="J1244:U1244">SUM(J1241:J1243)</f>
        <v>79178.93000000001</v>
      </c>
      <c r="K1244" s="22">
        <f t="shared" si="138"/>
        <v>78928.93000000001</v>
      </c>
      <c r="L1244" s="22">
        <f t="shared" si="138"/>
        <v>78928.93000000001</v>
      </c>
      <c r="M1244" s="22">
        <f t="shared" si="138"/>
        <v>78928.93000000001</v>
      </c>
      <c r="N1244" s="22">
        <f t="shared" si="138"/>
        <v>78928.93000000001</v>
      </c>
      <c r="O1244" s="22">
        <f t="shared" si="138"/>
        <v>78928.93000000001</v>
      </c>
      <c r="P1244" s="22">
        <f t="shared" si="138"/>
        <v>78928.93000000001</v>
      </c>
      <c r="Q1244" s="22">
        <f t="shared" si="138"/>
        <v>78928.93000000001</v>
      </c>
      <c r="R1244" s="22">
        <f t="shared" si="138"/>
        <v>78928.93000000001</v>
      </c>
      <c r="S1244" s="22">
        <f t="shared" si="138"/>
        <v>78928.93000000001</v>
      </c>
      <c r="T1244" s="22">
        <f t="shared" si="138"/>
        <v>78928.81</v>
      </c>
      <c r="U1244" s="30">
        <f t="shared" si="138"/>
        <v>100081.46</v>
      </c>
      <c r="V1244" s="22">
        <f>SUM(V1241:V1243)</f>
        <v>968549.5700000001</v>
      </c>
    </row>
    <row r="1245" ht="14.25" customHeight="1">
      <c r="C1245" s="10"/>
    </row>
    <row r="1246" spans="1:3" ht="14.25" customHeight="1">
      <c r="A1246" s="14">
        <f>+A1240+1</f>
        <v>73</v>
      </c>
      <c r="C1246" s="5" t="s">
        <v>353</v>
      </c>
    </row>
    <row r="1247" spans="3:22" ht="14.25" customHeight="1">
      <c r="C1247" s="4" t="s">
        <v>3</v>
      </c>
      <c r="J1247" s="45">
        <v>604.58</v>
      </c>
      <c r="K1247" s="45">
        <v>604.58</v>
      </c>
      <c r="L1247" s="45">
        <v>604.58</v>
      </c>
      <c r="M1247" s="45">
        <v>604.58</v>
      </c>
      <c r="N1247" s="45">
        <v>604.58</v>
      </c>
      <c r="O1247" s="45">
        <v>604.58</v>
      </c>
      <c r="P1247" s="45">
        <v>604.58</v>
      </c>
      <c r="Q1247" s="45">
        <v>604.58</v>
      </c>
      <c r="R1247" s="45">
        <v>604.58</v>
      </c>
      <c r="S1247" s="45">
        <v>604.58</v>
      </c>
      <c r="T1247" s="45">
        <v>604.58</v>
      </c>
      <c r="U1247" s="52">
        <v>604.58</v>
      </c>
      <c r="V1247" s="21">
        <f>SUM(J1247:U1247)</f>
        <v>7254.96</v>
      </c>
    </row>
    <row r="1248" spans="3:22" ht="14.25" customHeight="1">
      <c r="C1248" s="4" t="s">
        <v>4</v>
      </c>
      <c r="J1248" s="45">
        <v>250</v>
      </c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U1248" s="52"/>
      <c r="V1248" s="21">
        <f>SUM(J1248:U1248)</f>
        <v>250</v>
      </c>
    </row>
    <row r="1249" spans="3:22" ht="14.25" customHeight="1" thickBot="1">
      <c r="C1249" s="4" t="s">
        <v>5</v>
      </c>
      <c r="J1249" s="21">
        <v>15313.54</v>
      </c>
      <c r="K1249" s="21">
        <v>15313.55</v>
      </c>
      <c r="L1249" s="45">
        <f>15000+15313.54</f>
        <v>30313.54</v>
      </c>
      <c r="M1249" s="45">
        <f aca="true" t="shared" si="139" ref="M1249:U1249">15000+15313.54</f>
        <v>30313.54</v>
      </c>
      <c r="N1249" s="45">
        <f t="shared" si="139"/>
        <v>30313.54</v>
      </c>
      <c r="O1249" s="45">
        <f t="shared" si="139"/>
        <v>30313.54</v>
      </c>
      <c r="P1249" s="45">
        <f t="shared" si="139"/>
        <v>30313.54</v>
      </c>
      <c r="Q1249" s="45">
        <f>15000+15313.55</f>
        <v>30313.55</v>
      </c>
      <c r="R1249" s="45">
        <f t="shared" si="139"/>
        <v>30313.54</v>
      </c>
      <c r="S1249" s="45">
        <f t="shared" si="139"/>
        <v>30313.54</v>
      </c>
      <c r="T1249" s="45">
        <f t="shared" si="139"/>
        <v>30313.54</v>
      </c>
      <c r="U1249" s="52">
        <f t="shared" si="139"/>
        <v>30313.54</v>
      </c>
      <c r="V1249" s="21">
        <f>SUM(J1249:U1249)</f>
        <v>333762.5</v>
      </c>
    </row>
    <row r="1250" spans="3:22" ht="14.25" customHeight="1" thickBot="1">
      <c r="C1250" s="6" t="s">
        <v>201</v>
      </c>
      <c r="J1250" s="22">
        <f aca="true" t="shared" si="140" ref="J1250:U1250">SUM(J1247:J1249)</f>
        <v>16168.12</v>
      </c>
      <c r="K1250" s="22">
        <f t="shared" si="140"/>
        <v>15918.13</v>
      </c>
      <c r="L1250" s="22">
        <f t="shared" si="140"/>
        <v>30918.120000000003</v>
      </c>
      <c r="M1250" s="22">
        <f t="shared" si="140"/>
        <v>30918.120000000003</v>
      </c>
      <c r="N1250" s="22">
        <f t="shared" si="140"/>
        <v>30918.120000000003</v>
      </c>
      <c r="O1250" s="22">
        <f t="shared" si="140"/>
        <v>30918.120000000003</v>
      </c>
      <c r="P1250" s="22">
        <f t="shared" si="140"/>
        <v>30918.120000000003</v>
      </c>
      <c r="Q1250" s="22">
        <f t="shared" si="140"/>
        <v>30918.13</v>
      </c>
      <c r="R1250" s="22">
        <f t="shared" si="140"/>
        <v>30918.120000000003</v>
      </c>
      <c r="S1250" s="22">
        <f t="shared" si="140"/>
        <v>30918.120000000003</v>
      </c>
      <c r="T1250" s="22">
        <f t="shared" si="140"/>
        <v>30918.120000000003</v>
      </c>
      <c r="U1250" s="30">
        <f t="shared" si="140"/>
        <v>30918.120000000003</v>
      </c>
      <c r="V1250" s="22">
        <f>SUM(V1247:V1249)</f>
        <v>341267.46</v>
      </c>
    </row>
    <row r="1251" ht="14.25" customHeight="1">
      <c r="C1251" s="10"/>
    </row>
    <row r="1252" spans="1:3" ht="14.25" customHeight="1">
      <c r="A1252" s="14">
        <f>+A1246+1</f>
        <v>74</v>
      </c>
      <c r="C1252" s="5" t="s">
        <v>354</v>
      </c>
    </row>
    <row r="1253" spans="3:22" ht="14.25" customHeight="1">
      <c r="C1253" s="4" t="s">
        <v>3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  <c r="Q1253" s="21">
        <v>0</v>
      </c>
      <c r="R1253" s="21">
        <v>0</v>
      </c>
      <c r="S1253" s="21">
        <v>0</v>
      </c>
      <c r="T1253" s="21">
        <v>0</v>
      </c>
      <c r="U1253" s="29">
        <v>0</v>
      </c>
      <c r="V1253" s="21">
        <f>SUM(J1253:U1253)</f>
        <v>0</v>
      </c>
    </row>
    <row r="1254" spans="3:22" ht="14.25" customHeight="1">
      <c r="C1254" s="4" t="s">
        <v>4</v>
      </c>
      <c r="J1254" s="45">
        <v>250</v>
      </c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  <c r="U1254" s="52"/>
      <c r="V1254" s="21">
        <f>SUM(J1254:U1254)</f>
        <v>250</v>
      </c>
    </row>
    <row r="1255" spans="3:22" ht="14.25" customHeight="1" thickBot="1">
      <c r="C1255" s="4" t="s">
        <v>5</v>
      </c>
      <c r="J1255" s="21">
        <v>31457.29</v>
      </c>
      <c r="K1255" s="21">
        <v>31457.29</v>
      </c>
      <c r="L1255" s="21">
        <v>31457.29</v>
      </c>
      <c r="M1255" s="21">
        <v>31457.29</v>
      </c>
      <c r="N1255" s="21">
        <v>31457.3</v>
      </c>
      <c r="O1255" s="21">
        <v>31457.29</v>
      </c>
      <c r="P1255" s="21">
        <v>31457.29</v>
      </c>
      <c r="Q1255" s="21">
        <v>31457.29</v>
      </c>
      <c r="R1255" s="21">
        <v>31457.29</v>
      </c>
      <c r="S1255" s="21">
        <v>31457.29</v>
      </c>
      <c r="T1255" s="21">
        <v>31457.3</v>
      </c>
      <c r="U1255" s="29">
        <v>31457.29</v>
      </c>
      <c r="V1255" s="21">
        <f>SUM(J1255:U1255)</f>
        <v>377487.49999999994</v>
      </c>
    </row>
    <row r="1256" spans="3:22" ht="14.25" customHeight="1" thickBot="1">
      <c r="C1256" s="6" t="s">
        <v>355</v>
      </c>
      <c r="J1256" s="22">
        <f aca="true" t="shared" si="141" ref="J1256:U1256">SUM(J1253:J1255)</f>
        <v>31707.29</v>
      </c>
      <c r="K1256" s="22">
        <f t="shared" si="141"/>
        <v>31457.29</v>
      </c>
      <c r="L1256" s="22">
        <f t="shared" si="141"/>
        <v>31457.29</v>
      </c>
      <c r="M1256" s="22">
        <f t="shared" si="141"/>
        <v>31457.29</v>
      </c>
      <c r="N1256" s="22">
        <f t="shared" si="141"/>
        <v>31457.3</v>
      </c>
      <c r="O1256" s="22">
        <f t="shared" si="141"/>
        <v>31457.29</v>
      </c>
      <c r="P1256" s="22">
        <f t="shared" si="141"/>
        <v>31457.29</v>
      </c>
      <c r="Q1256" s="22">
        <f t="shared" si="141"/>
        <v>31457.29</v>
      </c>
      <c r="R1256" s="22">
        <f t="shared" si="141"/>
        <v>31457.29</v>
      </c>
      <c r="S1256" s="22">
        <f t="shared" si="141"/>
        <v>31457.29</v>
      </c>
      <c r="T1256" s="22">
        <f t="shared" si="141"/>
        <v>31457.3</v>
      </c>
      <c r="U1256" s="30">
        <f t="shared" si="141"/>
        <v>31457.29</v>
      </c>
      <c r="V1256" s="22">
        <f>SUM(V1253:V1255)</f>
        <v>377737.49999999994</v>
      </c>
    </row>
    <row r="1257" ht="14.25" customHeight="1">
      <c r="C1257" s="10"/>
    </row>
    <row r="1258" spans="1:3" ht="14.25" customHeight="1">
      <c r="A1258" s="14">
        <f>+A1252+1</f>
        <v>75</v>
      </c>
      <c r="B1258"/>
      <c r="C1258" s="5" t="s">
        <v>356</v>
      </c>
    </row>
    <row r="1259" spans="3:22" ht="14.25" customHeight="1">
      <c r="C1259" s="4" t="s">
        <v>3</v>
      </c>
      <c r="J1259" s="21">
        <v>858.75</v>
      </c>
      <c r="K1259" s="21">
        <v>858.75</v>
      </c>
      <c r="L1259" s="21">
        <v>858.75</v>
      </c>
      <c r="M1259" s="21">
        <v>0</v>
      </c>
      <c r="N1259" s="21">
        <f>858.75*2</f>
        <v>1717.5</v>
      </c>
      <c r="O1259" s="21">
        <v>858.75</v>
      </c>
      <c r="P1259" s="21">
        <v>858.75</v>
      </c>
      <c r="Q1259" s="21">
        <v>858.75</v>
      </c>
      <c r="R1259" s="21">
        <v>858.75</v>
      </c>
      <c r="S1259" s="21">
        <v>858.75</v>
      </c>
      <c r="T1259" s="21">
        <v>858.75</v>
      </c>
      <c r="U1259" s="29">
        <v>858.75</v>
      </c>
      <c r="V1259" s="21">
        <f>SUM(J1259:U1259)</f>
        <v>10305</v>
      </c>
    </row>
    <row r="1260" spans="3:22" ht="14.25" customHeight="1">
      <c r="C1260" s="4" t="s">
        <v>4</v>
      </c>
      <c r="J1260" s="45">
        <v>250</v>
      </c>
      <c r="K1260" s="45"/>
      <c r="L1260" s="45"/>
      <c r="M1260" s="49"/>
      <c r="N1260" s="45"/>
      <c r="O1260" s="45"/>
      <c r="P1260" s="45"/>
      <c r="Q1260" s="45"/>
      <c r="R1260" s="45"/>
      <c r="S1260" s="45"/>
      <c r="T1260" s="45"/>
      <c r="U1260" s="52"/>
      <c r="V1260" s="21">
        <f>SUM(J1260:U1260)</f>
        <v>250</v>
      </c>
    </row>
    <row r="1261" spans="3:22" ht="14.25" customHeight="1" thickBot="1">
      <c r="C1261" s="4" t="s">
        <v>5</v>
      </c>
      <c r="J1261" s="21">
        <v>34350</v>
      </c>
      <c r="K1261" s="21">
        <v>34350</v>
      </c>
      <c r="L1261" s="21">
        <v>34350</v>
      </c>
      <c r="M1261" s="21">
        <v>34350</v>
      </c>
      <c r="N1261" s="21">
        <v>34350</v>
      </c>
      <c r="O1261" s="21">
        <v>34350</v>
      </c>
      <c r="P1261" s="21">
        <v>34350</v>
      </c>
      <c r="Q1261" s="21">
        <v>34350</v>
      </c>
      <c r="R1261" s="21">
        <v>34350</v>
      </c>
      <c r="S1261" s="21">
        <v>34350</v>
      </c>
      <c r="T1261" s="21">
        <v>34350</v>
      </c>
      <c r="U1261" s="29">
        <v>34350</v>
      </c>
      <c r="V1261" s="21">
        <f>SUM(J1261:U1261)</f>
        <v>412200</v>
      </c>
    </row>
    <row r="1262" spans="3:22" ht="14.25" customHeight="1" thickBot="1">
      <c r="C1262" s="6" t="s">
        <v>88</v>
      </c>
      <c r="J1262" s="22">
        <f aca="true" t="shared" si="142" ref="J1262:U1262">SUM(J1259:J1261)</f>
        <v>35458.75</v>
      </c>
      <c r="K1262" s="22">
        <f t="shared" si="142"/>
        <v>35208.75</v>
      </c>
      <c r="L1262" s="22">
        <f t="shared" si="142"/>
        <v>35208.75</v>
      </c>
      <c r="M1262" s="22">
        <f t="shared" si="142"/>
        <v>34350</v>
      </c>
      <c r="N1262" s="22">
        <f t="shared" si="142"/>
        <v>36067.5</v>
      </c>
      <c r="O1262" s="22">
        <f t="shared" si="142"/>
        <v>35208.75</v>
      </c>
      <c r="P1262" s="22">
        <f t="shared" si="142"/>
        <v>35208.75</v>
      </c>
      <c r="Q1262" s="22">
        <f t="shared" si="142"/>
        <v>35208.75</v>
      </c>
      <c r="R1262" s="22">
        <f t="shared" si="142"/>
        <v>35208.75</v>
      </c>
      <c r="S1262" s="22">
        <f t="shared" si="142"/>
        <v>35208.75</v>
      </c>
      <c r="T1262" s="22">
        <f t="shared" si="142"/>
        <v>35208.75</v>
      </c>
      <c r="U1262" s="30">
        <f t="shared" si="142"/>
        <v>35208.75</v>
      </c>
      <c r="V1262" s="22">
        <f>SUM(V1259:V1261)</f>
        <v>422755</v>
      </c>
    </row>
    <row r="1263" ht="14.25" customHeight="1">
      <c r="C1263" s="10"/>
    </row>
    <row r="1264" spans="1:3" ht="14.25" customHeight="1">
      <c r="A1264" s="14">
        <f>+A1258+1</f>
        <v>76</v>
      </c>
      <c r="C1264" s="5" t="s">
        <v>357</v>
      </c>
    </row>
    <row r="1265" spans="3:22" ht="14.25" customHeight="1">
      <c r="C1265" s="4" t="s">
        <v>3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  <c r="Q1265" s="21">
        <v>0</v>
      </c>
      <c r="R1265" s="21">
        <v>0</v>
      </c>
      <c r="S1265" s="21">
        <v>0</v>
      </c>
      <c r="T1265" s="21">
        <v>0</v>
      </c>
      <c r="U1265" s="29">
        <v>0</v>
      </c>
      <c r="V1265" s="21">
        <f>SUM(J1265:U1265)</f>
        <v>0</v>
      </c>
    </row>
    <row r="1266" spans="3:22" ht="14.25" customHeight="1">
      <c r="C1266" s="4" t="s">
        <v>4</v>
      </c>
      <c r="J1266" s="45">
        <v>250</v>
      </c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  <c r="U1266" s="52"/>
      <c r="V1266" s="21">
        <f>SUM(J1266:U1266)</f>
        <v>250</v>
      </c>
    </row>
    <row r="1267" spans="3:22" ht="14.25" customHeight="1" thickBot="1">
      <c r="C1267" s="4" t="s">
        <v>5</v>
      </c>
      <c r="J1267" s="21">
        <v>64735.42</v>
      </c>
      <c r="K1267" s="21">
        <v>64735.42</v>
      </c>
      <c r="L1267" s="21">
        <v>64735.42</v>
      </c>
      <c r="M1267" s="21">
        <v>64735.42</v>
      </c>
      <c r="N1267" s="21">
        <v>64735.42</v>
      </c>
      <c r="O1267" s="21">
        <v>64735.42</v>
      </c>
      <c r="P1267" s="21">
        <v>64735.42</v>
      </c>
      <c r="Q1267" s="21">
        <v>64735.42</v>
      </c>
      <c r="R1267" s="21">
        <v>64735.42</v>
      </c>
      <c r="S1267" s="21">
        <v>64735.42</v>
      </c>
      <c r="T1267" s="21">
        <v>64735.42</v>
      </c>
      <c r="U1267" s="52">
        <f>15833.33+64735.42</f>
        <v>80568.75</v>
      </c>
      <c r="V1267" s="21">
        <f>SUM(J1267:U1267)</f>
        <v>792658.37</v>
      </c>
    </row>
    <row r="1268" spans="3:22" ht="14.25" customHeight="1" thickBot="1">
      <c r="C1268" s="6" t="s">
        <v>292</v>
      </c>
      <c r="J1268" s="22">
        <f aca="true" t="shared" si="143" ref="J1268:U1268">SUM(J1265:J1267)</f>
        <v>64985.42</v>
      </c>
      <c r="K1268" s="22">
        <f t="shared" si="143"/>
        <v>64735.42</v>
      </c>
      <c r="L1268" s="22">
        <f t="shared" si="143"/>
        <v>64735.42</v>
      </c>
      <c r="M1268" s="22">
        <f t="shared" si="143"/>
        <v>64735.42</v>
      </c>
      <c r="N1268" s="22">
        <f t="shared" si="143"/>
        <v>64735.42</v>
      </c>
      <c r="O1268" s="22">
        <f t="shared" si="143"/>
        <v>64735.42</v>
      </c>
      <c r="P1268" s="22">
        <f t="shared" si="143"/>
        <v>64735.42</v>
      </c>
      <c r="Q1268" s="22">
        <f t="shared" si="143"/>
        <v>64735.42</v>
      </c>
      <c r="R1268" s="22">
        <f t="shared" si="143"/>
        <v>64735.42</v>
      </c>
      <c r="S1268" s="22">
        <f t="shared" si="143"/>
        <v>64735.42</v>
      </c>
      <c r="T1268" s="22">
        <f t="shared" si="143"/>
        <v>64735.42</v>
      </c>
      <c r="U1268" s="30">
        <f t="shared" si="143"/>
        <v>80568.75</v>
      </c>
      <c r="V1268" s="22">
        <f>SUM(V1265:V1267)</f>
        <v>792908.37</v>
      </c>
    </row>
    <row r="1269" ht="14.25" customHeight="1">
      <c r="C1269" s="10"/>
    </row>
    <row r="1270" spans="1:3" ht="14.25" customHeight="1">
      <c r="A1270" s="14">
        <f>+A1264+1</f>
        <v>77</v>
      </c>
      <c r="C1270" s="5" t="s">
        <v>358</v>
      </c>
    </row>
    <row r="1271" spans="3:22" ht="14.25" customHeight="1">
      <c r="C1271" s="4" t="s">
        <v>3</v>
      </c>
      <c r="J1271" s="21">
        <v>0</v>
      </c>
      <c r="K1271" s="21">
        <v>0</v>
      </c>
      <c r="L1271" s="21">
        <v>0</v>
      </c>
      <c r="M1271" s="21">
        <v>0</v>
      </c>
      <c r="N1271" s="21">
        <v>0</v>
      </c>
      <c r="O1271" s="21">
        <v>0</v>
      </c>
      <c r="P1271" s="21">
        <v>0</v>
      </c>
      <c r="Q1271" s="21">
        <v>0</v>
      </c>
      <c r="R1271" s="21">
        <v>0</v>
      </c>
      <c r="S1271" s="21">
        <v>0</v>
      </c>
      <c r="T1271" s="21">
        <v>0</v>
      </c>
      <c r="U1271" s="29">
        <v>0</v>
      </c>
      <c r="V1271" s="21">
        <f>SUM(J1271:U1271)</f>
        <v>0</v>
      </c>
    </row>
    <row r="1272" spans="3:22" ht="14.25" customHeight="1">
      <c r="C1272" s="4" t="s">
        <v>4</v>
      </c>
      <c r="J1272" s="45">
        <v>250</v>
      </c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  <c r="U1272" s="52"/>
      <c r="V1272" s="21">
        <f>SUM(J1272:U1272)</f>
        <v>250</v>
      </c>
    </row>
    <row r="1273" spans="3:22" ht="14.25" customHeight="1" thickBot="1">
      <c r="C1273" s="4" t="s">
        <v>5</v>
      </c>
      <c r="J1273" s="45">
        <v>45642.84</v>
      </c>
      <c r="K1273" s="45">
        <v>45642.84</v>
      </c>
      <c r="L1273" s="45">
        <v>45642.82</v>
      </c>
      <c r="M1273" s="45">
        <v>32347.64</v>
      </c>
      <c r="N1273" s="45">
        <v>32347.64</v>
      </c>
      <c r="O1273" s="45">
        <v>32347.65</v>
      </c>
      <c r="P1273" s="45">
        <v>37373.12</v>
      </c>
      <c r="Q1273" s="45">
        <v>37373.12</v>
      </c>
      <c r="R1273" s="45">
        <v>37373.14</v>
      </c>
      <c r="S1273" s="45">
        <v>35571.25</v>
      </c>
      <c r="T1273" s="45">
        <v>35571.25</v>
      </c>
      <c r="U1273" s="52">
        <v>35571.25</v>
      </c>
      <c r="V1273" s="21">
        <f>SUM(J1273:U1273)</f>
        <v>452804.56000000006</v>
      </c>
    </row>
    <row r="1274" spans="3:22" ht="14.25" customHeight="1" thickBot="1">
      <c r="C1274" s="6" t="s">
        <v>359</v>
      </c>
      <c r="J1274" s="22">
        <f aca="true" t="shared" si="144" ref="J1274:U1274">SUM(J1271:J1273)</f>
        <v>45892.84</v>
      </c>
      <c r="K1274" s="22">
        <f t="shared" si="144"/>
        <v>45642.84</v>
      </c>
      <c r="L1274" s="22">
        <f t="shared" si="144"/>
        <v>45642.82</v>
      </c>
      <c r="M1274" s="22">
        <f t="shared" si="144"/>
        <v>32347.64</v>
      </c>
      <c r="N1274" s="22">
        <f t="shared" si="144"/>
        <v>32347.64</v>
      </c>
      <c r="O1274" s="22">
        <f t="shared" si="144"/>
        <v>32347.65</v>
      </c>
      <c r="P1274" s="22">
        <f t="shared" si="144"/>
        <v>37373.12</v>
      </c>
      <c r="Q1274" s="22">
        <f t="shared" si="144"/>
        <v>37373.12</v>
      </c>
      <c r="R1274" s="22">
        <f t="shared" si="144"/>
        <v>37373.14</v>
      </c>
      <c r="S1274" s="22">
        <f t="shared" si="144"/>
        <v>35571.25</v>
      </c>
      <c r="T1274" s="22">
        <f t="shared" si="144"/>
        <v>35571.25</v>
      </c>
      <c r="U1274" s="30">
        <f t="shared" si="144"/>
        <v>35571.25</v>
      </c>
      <c r="V1274" s="22">
        <f>SUM(V1271:V1273)</f>
        <v>453054.56000000006</v>
      </c>
    </row>
    <row r="1275" ht="14.25" customHeight="1">
      <c r="C1275" s="10"/>
    </row>
    <row r="1276" spans="1:3" ht="14.25" customHeight="1">
      <c r="A1276" s="14">
        <f>+A1270+1</f>
        <v>78</v>
      </c>
      <c r="C1276" s="5" t="s">
        <v>362</v>
      </c>
    </row>
    <row r="1277" spans="3:22" ht="14.25" customHeight="1">
      <c r="C1277" s="4" t="s">
        <v>3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  <c r="Q1277" s="21">
        <v>0</v>
      </c>
      <c r="R1277" s="21">
        <v>0</v>
      </c>
      <c r="S1277" s="21">
        <v>0</v>
      </c>
      <c r="T1277" s="21">
        <v>0</v>
      </c>
      <c r="U1277" s="29">
        <v>0</v>
      </c>
      <c r="V1277" s="21">
        <f>SUM(J1277:U1277)</f>
        <v>0</v>
      </c>
    </row>
    <row r="1278" spans="3:22" ht="14.25" customHeight="1">
      <c r="C1278" s="4" t="s">
        <v>4</v>
      </c>
      <c r="J1278" s="45">
        <v>250</v>
      </c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  <c r="U1278" s="52"/>
      <c r="V1278" s="21">
        <f>SUM(J1278:U1278)</f>
        <v>250</v>
      </c>
    </row>
    <row r="1279" spans="3:22" ht="14.25" customHeight="1" thickBot="1">
      <c r="C1279" s="4" t="s">
        <v>5</v>
      </c>
      <c r="J1279" s="45">
        <v>55644.27</v>
      </c>
      <c r="K1279" s="45">
        <v>55644.27</v>
      </c>
      <c r="L1279" s="45">
        <v>55644.27</v>
      </c>
      <c r="M1279" s="45">
        <v>55644.27</v>
      </c>
      <c r="N1279" s="45">
        <v>55644.27</v>
      </c>
      <c r="O1279" s="45">
        <v>55644.26</v>
      </c>
      <c r="P1279" s="45">
        <v>133689.06</v>
      </c>
      <c r="Q1279" s="45">
        <v>133689.06</v>
      </c>
      <c r="R1279" s="45">
        <v>133689.06</v>
      </c>
      <c r="S1279" s="45">
        <v>133689.06</v>
      </c>
      <c r="T1279" s="45">
        <v>133689.06</v>
      </c>
      <c r="U1279" s="52">
        <v>133689.08</v>
      </c>
      <c r="V1279" s="21">
        <f>SUM(J1279:U1279)</f>
        <v>1135999.9900000002</v>
      </c>
    </row>
    <row r="1280" spans="3:22" ht="14.25" customHeight="1" thickBot="1">
      <c r="C1280" s="6" t="s">
        <v>363</v>
      </c>
      <c r="J1280" s="22">
        <f aca="true" t="shared" si="145" ref="J1280:U1280">SUM(J1277:J1279)</f>
        <v>55894.27</v>
      </c>
      <c r="K1280" s="22">
        <f t="shared" si="145"/>
        <v>55644.27</v>
      </c>
      <c r="L1280" s="22">
        <f t="shared" si="145"/>
        <v>55644.27</v>
      </c>
      <c r="M1280" s="22">
        <f t="shared" si="145"/>
        <v>55644.27</v>
      </c>
      <c r="N1280" s="22">
        <f t="shared" si="145"/>
        <v>55644.27</v>
      </c>
      <c r="O1280" s="22">
        <f t="shared" si="145"/>
        <v>55644.26</v>
      </c>
      <c r="P1280" s="22">
        <f t="shared" si="145"/>
        <v>133689.06</v>
      </c>
      <c r="Q1280" s="22">
        <f t="shared" si="145"/>
        <v>133689.06</v>
      </c>
      <c r="R1280" s="22">
        <f t="shared" si="145"/>
        <v>133689.06</v>
      </c>
      <c r="S1280" s="22">
        <f t="shared" si="145"/>
        <v>133689.06</v>
      </c>
      <c r="T1280" s="22">
        <f t="shared" si="145"/>
        <v>133689.06</v>
      </c>
      <c r="U1280" s="30">
        <f t="shared" si="145"/>
        <v>133689.08</v>
      </c>
      <c r="V1280" s="22">
        <f>SUM(V1277:V1279)</f>
        <v>1136249.9900000002</v>
      </c>
    </row>
    <row r="1281" ht="14.25" customHeight="1">
      <c r="C1281" s="10"/>
    </row>
    <row r="1282" spans="1:3" ht="14.25" customHeight="1">
      <c r="A1282" s="14">
        <f>+A1276+1</f>
        <v>79</v>
      </c>
      <c r="C1282" s="5" t="s">
        <v>364</v>
      </c>
    </row>
    <row r="1283" spans="3:22" ht="14.25" customHeight="1">
      <c r="C1283" s="4" t="s">
        <v>3</v>
      </c>
      <c r="J1283" s="21">
        <v>0</v>
      </c>
      <c r="K1283" s="21">
        <v>0</v>
      </c>
      <c r="L1283" s="21">
        <v>0</v>
      </c>
      <c r="M1283" s="21">
        <v>0</v>
      </c>
      <c r="N1283" s="21">
        <v>0</v>
      </c>
      <c r="O1283" s="21">
        <v>0</v>
      </c>
      <c r="P1283" s="21">
        <v>0</v>
      </c>
      <c r="Q1283" s="21">
        <v>0</v>
      </c>
      <c r="R1283" s="21">
        <v>0</v>
      </c>
      <c r="S1283" s="21">
        <v>0</v>
      </c>
      <c r="T1283" s="21">
        <v>0</v>
      </c>
      <c r="U1283" s="29">
        <v>0</v>
      </c>
      <c r="V1283" s="21">
        <f>SUM(J1283:U1283)</f>
        <v>0</v>
      </c>
    </row>
    <row r="1284" spans="3:22" ht="14.25" customHeight="1">
      <c r="C1284" s="4" t="s">
        <v>4</v>
      </c>
      <c r="J1284" s="45">
        <v>250</v>
      </c>
      <c r="K1284" s="45"/>
      <c r="L1284" s="45"/>
      <c r="M1284" s="45"/>
      <c r="N1284" s="45"/>
      <c r="O1284" s="45"/>
      <c r="P1284" s="45"/>
      <c r="Q1284" s="45"/>
      <c r="R1284" s="45"/>
      <c r="S1284" s="45"/>
      <c r="T1284" s="45"/>
      <c r="U1284" s="52"/>
      <c r="V1284" s="21">
        <f>SUM(J1284:U1284)</f>
        <v>250</v>
      </c>
    </row>
    <row r="1285" spans="3:22" ht="14.25" customHeight="1" thickBot="1">
      <c r="C1285" s="4" t="s">
        <v>5</v>
      </c>
      <c r="J1285" s="45">
        <f>12500+89195.31</f>
        <v>101695.31</v>
      </c>
      <c r="K1285" s="45">
        <f aca="true" t="shared" si="146" ref="K1285:T1285">12500+89195.31</f>
        <v>101695.31</v>
      </c>
      <c r="L1285" s="45">
        <f t="shared" si="146"/>
        <v>101695.31</v>
      </c>
      <c r="M1285" s="45">
        <f t="shared" si="146"/>
        <v>101695.31</v>
      </c>
      <c r="N1285" s="45">
        <f t="shared" si="146"/>
        <v>101695.31</v>
      </c>
      <c r="O1285" s="45">
        <f>12500+89195.33</f>
        <v>101695.33</v>
      </c>
      <c r="P1285" s="45">
        <f t="shared" si="146"/>
        <v>101695.31</v>
      </c>
      <c r="Q1285" s="45">
        <f t="shared" si="146"/>
        <v>101695.31</v>
      </c>
      <c r="R1285" s="45">
        <f t="shared" si="146"/>
        <v>101695.31</v>
      </c>
      <c r="S1285" s="45">
        <f t="shared" si="146"/>
        <v>101695.31</v>
      </c>
      <c r="T1285" s="45">
        <f t="shared" si="146"/>
        <v>101695.31</v>
      </c>
      <c r="U1285" s="52">
        <f>12500+89195.33</f>
        <v>101695.33</v>
      </c>
      <c r="V1285" s="21">
        <f>SUM(J1285:U1285)</f>
        <v>1220343.7600000002</v>
      </c>
    </row>
    <row r="1286" spans="3:22" ht="14.25" customHeight="1" thickBot="1">
      <c r="C1286" s="6" t="s">
        <v>365</v>
      </c>
      <c r="J1286" s="22">
        <f aca="true" t="shared" si="147" ref="J1286:U1286">SUM(J1283:J1285)</f>
        <v>101945.31</v>
      </c>
      <c r="K1286" s="22">
        <f t="shared" si="147"/>
        <v>101695.31</v>
      </c>
      <c r="L1286" s="22">
        <f t="shared" si="147"/>
        <v>101695.31</v>
      </c>
      <c r="M1286" s="22">
        <f t="shared" si="147"/>
        <v>101695.31</v>
      </c>
      <c r="N1286" s="22">
        <f t="shared" si="147"/>
        <v>101695.31</v>
      </c>
      <c r="O1286" s="22">
        <f t="shared" si="147"/>
        <v>101695.33</v>
      </c>
      <c r="P1286" s="22">
        <f t="shared" si="147"/>
        <v>101695.31</v>
      </c>
      <c r="Q1286" s="22">
        <f t="shared" si="147"/>
        <v>101695.31</v>
      </c>
      <c r="R1286" s="22">
        <f t="shared" si="147"/>
        <v>101695.31</v>
      </c>
      <c r="S1286" s="22">
        <f t="shared" si="147"/>
        <v>101695.31</v>
      </c>
      <c r="T1286" s="22">
        <f t="shared" si="147"/>
        <v>101695.31</v>
      </c>
      <c r="U1286" s="30">
        <f t="shared" si="147"/>
        <v>101695.33</v>
      </c>
      <c r="V1286" s="22">
        <f>SUM(V1283:V1285)</f>
        <v>1220593.7600000002</v>
      </c>
    </row>
    <row r="1287" ht="14.25" customHeight="1">
      <c r="C1287" s="10"/>
    </row>
    <row r="1288" spans="1:3" ht="14.25" customHeight="1">
      <c r="A1288" s="14">
        <f>+A1282+1</f>
        <v>80</v>
      </c>
      <c r="C1288" s="5" t="s">
        <v>366</v>
      </c>
    </row>
    <row r="1289" spans="3:22" ht="14.25" customHeight="1">
      <c r="C1289" s="4" t="s">
        <v>3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  <c r="P1289" s="21">
        <v>0</v>
      </c>
      <c r="Q1289" s="21">
        <v>0</v>
      </c>
      <c r="R1289" s="21">
        <v>0</v>
      </c>
      <c r="S1289" s="21">
        <v>0</v>
      </c>
      <c r="T1289" s="21">
        <v>0</v>
      </c>
      <c r="U1289" s="29">
        <v>0</v>
      </c>
      <c r="V1289" s="21">
        <f>SUM(J1289:U1289)</f>
        <v>0</v>
      </c>
    </row>
    <row r="1290" spans="3:22" ht="14.25" customHeight="1">
      <c r="C1290" s="4" t="s">
        <v>4</v>
      </c>
      <c r="J1290" s="45">
        <v>250</v>
      </c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U1290" s="52"/>
      <c r="V1290" s="21">
        <f>SUM(J1290:U1290)</f>
        <v>250</v>
      </c>
    </row>
    <row r="1291" spans="3:22" ht="14.25" customHeight="1" thickBot="1">
      <c r="C1291" s="4" t="s">
        <v>5</v>
      </c>
      <c r="J1291" s="21">
        <f aca="true" t="shared" si="148" ref="J1291:S1291">7083.33+11970</f>
        <v>19053.33</v>
      </c>
      <c r="K1291" s="21">
        <f t="shared" si="148"/>
        <v>19053.33</v>
      </c>
      <c r="L1291" s="21">
        <f t="shared" si="148"/>
        <v>19053.33</v>
      </c>
      <c r="M1291" s="21">
        <f t="shared" si="148"/>
        <v>19053.33</v>
      </c>
      <c r="N1291" s="21">
        <f t="shared" si="148"/>
        <v>19053.33</v>
      </c>
      <c r="O1291" s="21">
        <f t="shared" si="148"/>
        <v>19053.33</v>
      </c>
      <c r="P1291" s="21">
        <f t="shared" si="148"/>
        <v>19053.33</v>
      </c>
      <c r="Q1291" s="21">
        <f t="shared" si="148"/>
        <v>19053.33</v>
      </c>
      <c r="R1291" s="21">
        <f t="shared" si="148"/>
        <v>19053.33</v>
      </c>
      <c r="S1291" s="21">
        <f t="shared" si="148"/>
        <v>19053.33</v>
      </c>
      <c r="T1291" s="21">
        <f>7083.37+11970</f>
        <v>19053.37</v>
      </c>
      <c r="U1291" s="52">
        <f>7500+11727.75</f>
        <v>19227.75</v>
      </c>
      <c r="V1291" s="21">
        <f>SUM(J1291:U1291)</f>
        <v>228814.42000000004</v>
      </c>
    </row>
    <row r="1292" spans="3:22" ht="14.25" customHeight="1" thickBot="1">
      <c r="C1292" s="6" t="s">
        <v>367</v>
      </c>
      <c r="J1292" s="22">
        <f aca="true" t="shared" si="149" ref="J1292:U1292">SUM(J1289:J1291)</f>
        <v>19303.33</v>
      </c>
      <c r="K1292" s="22">
        <f t="shared" si="149"/>
        <v>19053.33</v>
      </c>
      <c r="L1292" s="22">
        <f t="shared" si="149"/>
        <v>19053.33</v>
      </c>
      <c r="M1292" s="22">
        <f t="shared" si="149"/>
        <v>19053.33</v>
      </c>
      <c r="N1292" s="22">
        <f t="shared" si="149"/>
        <v>19053.33</v>
      </c>
      <c r="O1292" s="22">
        <f t="shared" si="149"/>
        <v>19053.33</v>
      </c>
      <c r="P1292" s="22">
        <f t="shared" si="149"/>
        <v>19053.33</v>
      </c>
      <c r="Q1292" s="22">
        <f t="shared" si="149"/>
        <v>19053.33</v>
      </c>
      <c r="R1292" s="22">
        <f t="shared" si="149"/>
        <v>19053.33</v>
      </c>
      <c r="S1292" s="22">
        <f t="shared" si="149"/>
        <v>19053.33</v>
      </c>
      <c r="T1292" s="22">
        <f t="shared" si="149"/>
        <v>19053.37</v>
      </c>
      <c r="U1292" s="30">
        <f t="shared" si="149"/>
        <v>19227.75</v>
      </c>
      <c r="V1292" s="22">
        <f>SUM(V1289:V1291)</f>
        <v>229064.42000000004</v>
      </c>
    </row>
    <row r="1293" ht="14.25" customHeight="1">
      <c r="C1293" s="10"/>
    </row>
    <row r="1294" spans="1:3" ht="14.25" customHeight="1">
      <c r="A1294" s="14">
        <f>+A1288+1</f>
        <v>81</v>
      </c>
      <c r="C1294" s="5" t="s">
        <v>368</v>
      </c>
    </row>
    <row r="1295" spans="3:22" ht="14.25" customHeight="1">
      <c r="C1295" s="4" t="s">
        <v>3</v>
      </c>
      <c r="J1295" s="21">
        <v>0</v>
      </c>
      <c r="K1295" s="21">
        <v>0</v>
      </c>
      <c r="L1295" s="21">
        <v>0</v>
      </c>
      <c r="M1295" s="21">
        <v>0</v>
      </c>
      <c r="N1295" s="21">
        <v>0</v>
      </c>
      <c r="O1295" s="21">
        <v>0</v>
      </c>
      <c r="P1295" s="21">
        <v>0</v>
      </c>
      <c r="Q1295" s="21">
        <v>0</v>
      </c>
      <c r="R1295" s="21">
        <v>0</v>
      </c>
      <c r="S1295" s="21">
        <v>0</v>
      </c>
      <c r="T1295" s="21">
        <v>0</v>
      </c>
      <c r="U1295" s="29">
        <v>0</v>
      </c>
      <c r="V1295" s="21">
        <f>SUM(J1295:U1295)</f>
        <v>0</v>
      </c>
    </row>
    <row r="1296" spans="3:22" ht="14.25" customHeight="1">
      <c r="C1296" s="4" t="s">
        <v>4</v>
      </c>
      <c r="J1296" s="45">
        <v>250</v>
      </c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U1296" s="52"/>
      <c r="V1296" s="21">
        <f>SUM(J1296:U1296)</f>
        <v>250</v>
      </c>
    </row>
    <row r="1297" spans="3:22" ht="14.25" customHeight="1" thickBot="1">
      <c r="C1297" s="4" t="s">
        <v>5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  <c r="Q1297" s="21">
        <v>0</v>
      </c>
      <c r="R1297" s="21">
        <v>0</v>
      </c>
      <c r="S1297" s="21">
        <v>0</v>
      </c>
      <c r="T1297" s="45">
        <v>6212.76</v>
      </c>
      <c r="U1297" s="52">
        <v>6212.76</v>
      </c>
      <c r="V1297" s="21">
        <f>SUM(J1297:U1297)</f>
        <v>12425.52</v>
      </c>
    </row>
    <row r="1298" spans="3:22" ht="14.25" customHeight="1" thickBot="1">
      <c r="C1298" s="6" t="s">
        <v>192</v>
      </c>
      <c r="J1298" s="22">
        <f aca="true" t="shared" si="150" ref="J1298:U1298">SUM(J1295:J1297)</f>
        <v>250</v>
      </c>
      <c r="K1298" s="22">
        <f t="shared" si="150"/>
        <v>0</v>
      </c>
      <c r="L1298" s="22">
        <f t="shared" si="150"/>
        <v>0</v>
      </c>
      <c r="M1298" s="22">
        <f t="shared" si="150"/>
        <v>0</v>
      </c>
      <c r="N1298" s="22">
        <f t="shared" si="150"/>
        <v>0</v>
      </c>
      <c r="O1298" s="22">
        <f t="shared" si="150"/>
        <v>0</v>
      </c>
      <c r="P1298" s="22">
        <f t="shared" si="150"/>
        <v>0</v>
      </c>
      <c r="Q1298" s="22">
        <f t="shared" si="150"/>
        <v>0</v>
      </c>
      <c r="R1298" s="22">
        <f t="shared" si="150"/>
        <v>0</v>
      </c>
      <c r="S1298" s="22">
        <f t="shared" si="150"/>
        <v>0</v>
      </c>
      <c r="T1298" s="22">
        <f t="shared" si="150"/>
        <v>6212.76</v>
      </c>
      <c r="U1298" s="30">
        <f t="shared" si="150"/>
        <v>6212.76</v>
      </c>
      <c r="V1298" s="22">
        <f>SUM(V1295:V1297)</f>
        <v>12675.52</v>
      </c>
    </row>
    <row r="1299" ht="14.25" customHeight="1">
      <c r="C1299" s="10"/>
    </row>
    <row r="1300" spans="1:3" ht="14.25" customHeight="1">
      <c r="A1300" s="14">
        <f>+A1294+1</f>
        <v>82</v>
      </c>
      <c r="C1300" s="5" t="s">
        <v>369</v>
      </c>
    </row>
    <row r="1301" spans="3:22" ht="14.25" customHeight="1">
      <c r="C1301" s="4" t="s">
        <v>3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  <c r="Q1301" s="21">
        <v>0</v>
      </c>
      <c r="R1301" s="21">
        <v>0</v>
      </c>
      <c r="S1301" s="21">
        <v>0</v>
      </c>
      <c r="T1301" s="21">
        <v>0</v>
      </c>
      <c r="U1301" s="29">
        <v>0</v>
      </c>
      <c r="V1301" s="21">
        <f>SUM(J1301:U1301)</f>
        <v>0</v>
      </c>
    </row>
    <row r="1302" spans="3:22" ht="14.25" customHeight="1">
      <c r="C1302" s="4" t="s">
        <v>4</v>
      </c>
      <c r="J1302" s="45">
        <v>250</v>
      </c>
      <c r="K1302" s="45"/>
      <c r="L1302" s="45"/>
      <c r="M1302" s="45"/>
      <c r="N1302" s="45"/>
      <c r="O1302" s="45"/>
      <c r="P1302" s="45"/>
      <c r="Q1302" s="45"/>
      <c r="R1302" s="45"/>
      <c r="S1302" s="45"/>
      <c r="T1302" s="45"/>
      <c r="U1302" s="52"/>
      <c r="V1302" s="21">
        <f>SUM(J1302:U1302)</f>
        <v>250</v>
      </c>
    </row>
    <row r="1303" spans="3:22" ht="14.25" customHeight="1" thickBot="1">
      <c r="C1303" s="4" t="s">
        <v>5</v>
      </c>
      <c r="J1303" s="21">
        <v>18902.14</v>
      </c>
      <c r="K1303" s="21">
        <v>18902.14</v>
      </c>
      <c r="L1303" s="21">
        <v>18902.14</v>
      </c>
      <c r="M1303" s="21">
        <v>18902.14</v>
      </c>
      <c r="N1303" s="21">
        <v>18902.15</v>
      </c>
      <c r="O1303" s="21">
        <v>18902.14</v>
      </c>
      <c r="P1303" s="21">
        <v>18902.14</v>
      </c>
      <c r="Q1303" s="21">
        <v>18902.14</v>
      </c>
      <c r="R1303" s="21">
        <v>18902.14</v>
      </c>
      <c r="S1303" s="21">
        <v>18902.14</v>
      </c>
      <c r="T1303" s="21">
        <v>18902.18</v>
      </c>
      <c r="U1303" s="52">
        <v>77895.84</v>
      </c>
      <c r="V1303" s="21">
        <f>SUM(J1303:U1303)</f>
        <v>285819.43000000005</v>
      </c>
    </row>
    <row r="1304" spans="3:22" ht="14.25" customHeight="1" thickBot="1">
      <c r="C1304" s="6" t="s">
        <v>298</v>
      </c>
      <c r="J1304" s="22">
        <f aca="true" t="shared" si="151" ref="J1304:U1304">SUM(J1301:J1303)</f>
        <v>19152.14</v>
      </c>
      <c r="K1304" s="22">
        <f t="shared" si="151"/>
        <v>18902.14</v>
      </c>
      <c r="L1304" s="22">
        <f t="shared" si="151"/>
        <v>18902.14</v>
      </c>
      <c r="M1304" s="22">
        <f t="shared" si="151"/>
        <v>18902.14</v>
      </c>
      <c r="N1304" s="22">
        <f t="shared" si="151"/>
        <v>18902.15</v>
      </c>
      <c r="O1304" s="22">
        <f t="shared" si="151"/>
        <v>18902.14</v>
      </c>
      <c r="P1304" s="22">
        <f t="shared" si="151"/>
        <v>18902.14</v>
      </c>
      <c r="Q1304" s="22">
        <f t="shared" si="151"/>
        <v>18902.14</v>
      </c>
      <c r="R1304" s="22">
        <f t="shared" si="151"/>
        <v>18902.14</v>
      </c>
      <c r="S1304" s="22">
        <f t="shared" si="151"/>
        <v>18902.14</v>
      </c>
      <c r="T1304" s="22">
        <f t="shared" si="151"/>
        <v>18902.18</v>
      </c>
      <c r="U1304" s="30">
        <f t="shared" si="151"/>
        <v>77895.84</v>
      </c>
      <c r="V1304" s="22">
        <f>SUM(V1301:V1303)</f>
        <v>286069.43000000005</v>
      </c>
    </row>
    <row r="1305" ht="14.25" customHeight="1">
      <c r="C1305" s="10"/>
    </row>
    <row r="1306" spans="1:3" ht="14.25" customHeight="1">
      <c r="A1306" s="14">
        <f>+A1300+1</f>
        <v>83</v>
      </c>
      <c r="C1306" s="5" t="s">
        <v>370</v>
      </c>
    </row>
    <row r="1307" spans="3:22" ht="14.25" customHeight="1">
      <c r="C1307" s="4" t="s">
        <v>3</v>
      </c>
      <c r="J1307" s="21">
        <v>0</v>
      </c>
      <c r="K1307" s="21">
        <v>0</v>
      </c>
      <c r="L1307" s="21">
        <v>0</v>
      </c>
      <c r="M1307" s="21">
        <v>0</v>
      </c>
      <c r="N1307" s="21">
        <v>0</v>
      </c>
      <c r="O1307" s="21">
        <v>0</v>
      </c>
      <c r="P1307" s="21">
        <v>0</v>
      </c>
      <c r="Q1307" s="21">
        <v>0</v>
      </c>
      <c r="R1307" s="21">
        <v>0</v>
      </c>
      <c r="S1307" s="21">
        <v>0</v>
      </c>
      <c r="T1307" s="21">
        <v>0</v>
      </c>
      <c r="U1307" s="29">
        <v>0</v>
      </c>
      <c r="V1307" s="21">
        <f>SUM(J1307:U1307)</f>
        <v>0</v>
      </c>
    </row>
    <row r="1308" spans="3:22" ht="14.25" customHeight="1">
      <c r="C1308" s="4" t="s">
        <v>4</v>
      </c>
      <c r="J1308" s="45">
        <v>250</v>
      </c>
      <c r="K1308" s="45"/>
      <c r="L1308" s="45"/>
      <c r="M1308" s="45"/>
      <c r="N1308" s="45"/>
      <c r="O1308" s="45"/>
      <c r="P1308" s="45"/>
      <c r="Q1308" s="45"/>
      <c r="R1308" s="45"/>
      <c r="S1308" s="45"/>
      <c r="T1308" s="45"/>
      <c r="U1308" s="52"/>
      <c r="V1308" s="21">
        <f>SUM(J1308:U1308)</f>
        <v>250</v>
      </c>
    </row>
    <row r="1309" spans="3:22" ht="14.25" customHeight="1" thickBot="1">
      <c r="C1309" s="4" t="s">
        <v>5</v>
      </c>
      <c r="J1309" s="45">
        <v>24397.17</v>
      </c>
      <c r="K1309" s="45">
        <v>24357.39</v>
      </c>
      <c r="L1309" s="45">
        <v>23855.75</v>
      </c>
      <c r="M1309" s="45">
        <v>24277.82</v>
      </c>
      <c r="N1309" s="45">
        <v>23778.75</v>
      </c>
      <c r="O1309" s="45">
        <v>24198.26</v>
      </c>
      <c r="P1309" s="45">
        <v>24158.47</v>
      </c>
      <c r="Q1309" s="45">
        <v>27752.36</v>
      </c>
      <c r="R1309" s="45">
        <v>24059.01</v>
      </c>
      <c r="S1309" s="45">
        <v>23567</v>
      </c>
      <c r="T1309" s="45">
        <v>23979.45</v>
      </c>
      <c r="U1309" s="52">
        <v>23490</v>
      </c>
      <c r="V1309" s="21">
        <f>SUM(J1309:U1309)</f>
        <v>291871.43000000005</v>
      </c>
    </row>
    <row r="1310" spans="3:22" ht="14.25" customHeight="1" thickBot="1">
      <c r="C1310" s="6" t="s">
        <v>108</v>
      </c>
      <c r="J1310" s="22">
        <f aca="true" t="shared" si="152" ref="J1310:U1310">SUM(J1307:J1309)</f>
        <v>24647.17</v>
      </c>
      <c r="K1310" s="22">
        <f t="shared" si="152"/>
        <v>24357.39</v>
      </c>
      <c r="L1310" s="22">
        <f t="shared" si="152"/>
        <v>23855.75</v>
      </c>
      <c r="M1310" s="22">
        <f t="shared" si="152"/>
        <v>24277.82</v>
      </c>
      <c r="N1310" s="22">
        <f t="shared" si="152"/>
        <v>23778.75</v>
      </c>
      <c r="O1310" s="22">
        <f t="shared" si="152"/>
        <v>24198.26</v>
      </c>
      <c r="P1310" s="22">
        <f t="shared" si="152"/>
        <v>24158.47</v>
      </c>
      <c r="Q1310" s="22">
        <f t="shared" si="152"/>
        <v>27752.36</v>
      </c>
      <c r="R1310" s="22">
        <f t="shared" si="152"/>
        <v>24059.01</v>
      </c>
      <c r="S1310" s="22">
        <f t="shared" si="152"/>
        <v>23567</v>
      </c>
      <c r="T1310" s="22">
        <f t="shared" si="152"/>
        <v>23979.45</v>
      </c>
      <c r="U1310" s="30">
        <f t="shared" si="152"/>
        <v>23490</v>
      </c>
      <c r="V1310" s="22">
        <f>SUM(V1307:V1309)</f>
        <v>292121.43000000005</v>
      </c>
    </row>
    <row r="1311" ht="14.25" customHeight="1">
      <c r="C1311" s="10"/>
    </row>
    <row r="1312" spans="1:3" ht="14.25" customHeight="1">
      <c r="A1312" s="14">
        <f>+A1306+1</f>
        <v>84</v>
      </c>
      <c r="C1312" s="5" t="s">
        <v>371</v>
      </c>
    </row>
    <row r="1313" spans="3:22" ht="14.25" customHeight="1">
      <c r="C1313" s="4" t="s">
        <v>3</v>
      </c>
      <c r="J1313" s="21">
        <v>1615</v>
      </c>
      <c r="K1313" s="21">
        <v>1615</v>
      </c>
      <c r="L1313" s="21">
        <v>1615</v>
      </c>
      <c r="M1313" s="21">
        <v>1615</v>
      </c>
      <c r="N1313" s="21">
        <v>1615</v>
      </c>
      <c r="O1313" s="21">
        <v>1615</v>
      </c>
      <c r="P1313" s="21">
        <v>1615</v>
      </c>
      <c r="Q1313" s="45">
        <v>1480.42</v>
      </c>
      <c r="R1313" s="45">
        <v>1480.42</v>
      </c>
      <c r="S1313" s="45">
        <v>1480.42</v>
      </c>
      <c r="T1313" s="45">
        <v>1480.42</v>
      </c>
      <c r="U1313" s="52">
        <v>1480.42</v>
      </c>
      <c r="V1313" s="21">
        <f>SUM(J1313:U1313)</f>
        <v>18707.1</v>
      </c>
    </row>
    <row r="1314" spans="3:22" ht="14.25" customHeight="1">
      <c r="C1314" s="4" t="s">
        <v>4</v>
      </c>
      <c r="J1314" s="45">
        <v>250</v>
      </c>
      <c r="K1314" s="45"/>
      <c r="L1314" s="45"/>
      <c r="M1314" s="45"/>
      <c r="N1314" s="45"/>
      <c r="O1314" s="45"/>
      <c r="P1314" s="45"/>
      <c r="Q1314" s="45"/>
      <c r="R1314" s="45"/>
      <c r="S1314" s="45"/>
      <c r="T1314" s="45"/>
      <c r="U1314" s="52"/>
      <c r="V1314" s="21">
        <f>SUM(J1314:U1314)</f>
        <v>250</v>
      </c>
    </row>
    <row r="1315" spans="3:22" ht="14.25" customHeight="1" thickBot="1">
      <c r="C1315" s="4" t="s">
        <v>5</v>
      </c>
      <c r="J1315" s="21">
        <v>59216.67</v>
      </c>
      <c r="K1315" s="21">
        <v>59216.67</v>
      </c>
      <c r="L1315" s="21">
        <v>59216.67</v>
      </c>
      <c r="M1315" s="21">
        <v>59216.67</v>
      </c>
      <c r="N1315" s="21">
        <v>59216.65</v>
      </c>
      <c r="O1315" s="21">
        <v>59216.67</v>
      </c>
      <c r="P1315" s="21">
        <v>59216.67</v>
      </c>
      <c r="Q1315" s="21">
        <v>59216.67</v>
      </c>
      <c r="R1315" s="21">
        <v>59216.67</v>
      </c>
      <c r="S1315" s="21">
        <v>59216.67</v>
      </c>
      <c r="T1315" s="21">
        <v>59216.65</v>
      </c>
      <c r="U1315" s="29">
        <v>59216.67</v>
      </c>
      <c r="V1315" s="21">
        <f>SUM(J1315:U1315)</f>
        <v>710600.0000000001</v>
      </c>
    </row>
    <row r="1316" spans="3:22" ht="14.25" customHeight="1" thickBot="1">
      <c r="C1316" s="6" t="s">
        <v>128</v>
      </c>
      <c r="J1316" s="22">
        <f aca="true" t="shared" si="153" ref="J1316:U1316">SUM(J1313:J1315)</f>
        <v>61081.67</v>
      </c>
      <c r="K1316" s="22">
        <f t="shared" si="153"/>
        <v>60831.67</v>
      </c>
      <c r="L1316" s="22">
        <f t="shared" si="153"/>
        <v>60831.67</v>
      </c>
      <c r="M1316" s="22">
        <f t="shared" si="153"/>
        <v>60831.67</v>
      </c>
      <c r="N1316" s="22">
        <f t="shared" si="153"/>
        <v>60831.65</v>
      </c>
      <c r="O1316" s="22">
        <f t="shared" si="153"/>
        <v>60831.67</v>
      </c>
      <c r="P1316" s="22">
        <f t="shared" si="153"/>
        <v>60831.67</v>
      </c>
      <c r="Q1316" s="22">
        <f t="shared" si="153"/>
        <v>60697.09</v>
      </c>
      <c r="R1316" s="22">
        <f t="shared" si="153"/>
        <v>60697.09</v>
      </c>
      <c r="S1316" s="22">
        <f t="shared" si="153"/>
        <v>60697.09</v>
      </c>
      <c r="T1316" s="22">
        <f t="shared" si="153"/>
        <v>60697.07</v>
      </c>
      <c r="U1316" s="30">
        <f t="shared" si="153"/>
        <v>60697.09</v>
      </c>
      <c r="V1316" s="22">
        <f>SUM(V1313:V1315)</f>
        <v>729557.1000000001</v>
      </c>
    </row>
    <row r="1317" ht="14.25" customHeight="1">
      <c r="C1317" s="10"/>
    </row>
    <row r="1318" spans="1:3" ht="14.25" customHeight="1">
      <c r="A1318" s="14">
        <f>+A1312+1</f>
        <v>85</v>
      </c>
      <c r="C1318" s="5" t="s">
        <v>372</v>
      </c>
    </row>
    <row r="1319" spans="3:22" ht="14.25" customHeight="1">
      <c r="C1319" s="4" t="s">
        <v>3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  <c r="Q1319" s="21">
        <v>0</v>
      </c>
      <c r="R1319" s="21">
        <v>0</v>
      </c>
      <c r="S1319" s="21">
        <v>0</v>
      </c>
      <c r="T1319" s="21">
        <v>0</v>
      </c>
      <c r="U1319" s="29">
        <v>0</v>
      </c>
      <c r="V1319" s="21">
        <f>SUM(J1319:U1319)</f>
        <v>0</v>
      </c>
    </row>
    <row r="1320" spans="3:22" ht="14.25" customHeight="1">
      <c r="C1320" s="4" t="s">
        <v>4</v>
      </c>
      <c r="J1320" s="45">
        <v>250</v>
      </c>
      <c r="K1320" s="45"/>
      <c r="L1320" s="45"/>
      <c r="M1320" s="45"/>
      <c r="N1320" s="45"/>
      <c r="O1320" s="45"/>
      <c r="P1320" s="45"/>
      <c r="Q1320" s="45"/>
      <c r="R1320" s="45"/>
      <c r="S1320" s="45"/>
      <c r="T1320" s="45"/>
      <c r="U1320" s="52"/>
      <c r="V1320" s="21">
        <f>SUM(J1320:U1320)</f>
        <v>250</v>
      </c>
    </row>
    <row r="1321" spans="3:22" ht="14.25" customHeight="1" thickBot="1">
      <c r="C1321" s="4" t="s">
        <v>5</v>
      </c>
      <c r="J1321" s="45">
        <v>55899.25</v>
      </c>
      <c r="K1321" s="45">
        <v>55899.25</v>
      </c>
      <c r="L1321" s="45">
        <v>55899.25</v>
      </c>
      <c r="M1321" s="45">
        <v>55899.25</v>
      </c>
      <c r="N1321" s="45">
        <v>55899.25</v>
      </c>
      <c r="O1321" s="45">
        <v>55899.25</v>
      </c>
      <c r="P1321" s="45">
        <v>55899.25</v>
      </c>
      <c r="Q1321" s="45">
        <v>55899.25</v>
      </c>
      <c r="R1321" s="45">
        <v>55899.25</v>
      </c>
      <c r="S1321" s="45">
        <v>55899.25</v>
      </c>
      <c r="T1321" s="45">
        <v>55899.25</v>
      </c>
      <c r="U1321" s="52">
        <v>55899.25</v>
      </c>
      <c r="V1321" s="21">
        <f>SUM(J1321:U1321)</f>
        <v>670791</v>
      </c>
    </row>
    <row r="1322" spans="3:22" ht="14.25" customHeight="1" thickBot="1">
      <c r="C1322" s="6" t="s">
        <v>373</v>
      </c>
      <c r="J1322" s="22">
        <f aca="true" t="shared" si="154" ref="J1322:U1322">SUM(J1319:J1321)</f>
        <v>56149.25</v>
      </c>
      <c r="K1322" s="22">
        <f t="shared" si="154"/>
        <v>55899.25</v>
      </c>
      <c r="L1322" s="22">
        <f t="shared" si="154"/>
        <v>55899.25</v>
      </c>
      <c r="M1322" s="22">
        <f t="shared" si="154"/>
        <v>55899.25</v>
      </c>
      <c r="N1322" s="22">
        <f t="shared" si="154"/>
        <v>55899.25</v>
      </c>
      <c r="O1322" s="22">
        <f t="shared" si="154"/>
        <v>55899.25</v>
      </c>
      <c r="P1322" s="22">
        <f t="shared" si="154"/>
        <v>55899.25</v>
      </c>
      <c r="Q1322" s="22">
        <f t="shared" si="154"/>
        <v>55899.25</v>
      </c>
      <c r="R1322" s="22">
        <f t="shared" si="154"/>
        <v>55899.25</v>
      </c>
      <c r="S1322" s="22">
        <f t="shared" si="154"/>
        <v>55899.25</v>
      </c>
      <c r="T1322" s="22">
        <f t="shared" si="154"/>
        <v>55899.25</v>
      </c>
      <c r="U1322" s="30">
        <f t="shared" si="154"/>
        <v>55899.25</v>
      </c>
      <c r="V1322" s="22">
        <f>SUM(V1319:V1321)</f>
        <v>671041</v>
      </c>
    </row>
    <row r="1323" ht="14.25" customHeight="1">
      <c r="C1323" s="10"/>
    </row>
    <row r="1324" spans="1:3" ht="14.25" customHeight="1">
      <c r="A1324" s="14">
        <f>+A1318+1</f>
        <v>86</v>
      </c>
      <c r="C1324" s="5" t="s">
        <v>374</v>
      </c>
    </row>
    <row r="1325" spans="3:22" ht="14.25" customHeight="1">
      <c r="C1325" s="4" t="s">
        <v>3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  <c r="Q1325" s="21">
        <v>0</v>
      </c>
      <c r="R1325" s="21">
        <v>0</v>
      </c>
      <c r="S1325" s="21">
        <v>0</v>
      </c>
      <c r="T1325" s="21">
        <v>0</v>
      </c>
      <c r="U1325" s="29">
        <v>0</v>
      </c>
      <c r="V1325" s="21">
        <f>SUM(J1325:U1325)</f>
        <v>0</v>
      </c>
    </row>
    <row r="1326" spans="3:22" ht="14.25" customHeight="1">
      <c r="C1326" s="4" t="s">
        <v>4</v>
      </c>
      <c r="J1326" s="45">
        <v>250</v>
      </c>
      <c r="K1326" s="45"/>
      <c r="L1326" s="45"/>
      <c r="M1326" s="45"/>
      <c r="N1326" s="45"/>
      <c r="O1326" s="45"/>
      <c r="P1326" s="45"/>
      <c r="Q1326" s="45"/>
      <c r="R1326" s="45"/>
      <c r="S1326" s="45"/>
      <c r="T1326" s="45"/>
      <c r="U1326" s="52"/>
      <c r="V1326" s="21">
        <f>SUM(J1326:U1326)</f>
        <v>250</v>
      </c>
    </row>
    <row r="1327" spans="3:22" ht="14.25" customHeight="1" thickBot="1">
      <c r="C1327" s="4" t="s">
        <v>5</v>
      </c>
      <c r="J1327" s="21">
        <f>15544.04+19711.67-0.54</f>
        <v>35255.17</v>
      </c>
      <c r="K1327" s="21">
        <f>15544.04+19711.67+0.54</f>
        <v>35256.25</v>
      </c>
      <c r="L1327" s="21">
        <f aca="true" t="shared" si="155" ref="L1327:U1327">15544.04+19711.67</f>
        <v>35255.71</v>
      </c>
      <c r="M1327" s="21">
        <f t="shared" si="155"/>
        <v>35255.71</v>
      </c>
      <c r="N1327" s="21">
        <f t="shared" si="155"/>
        <v>35255.71</v>
      </c>
      <c r="O1327" s="21">
        <f t="shared" si="155"/>
        <v>35255.71</v>
      </c>
      <c r="P1327" s="21">
        <f t="shared" si="155"/>
        <v>35255.71</v>
      </c>
      <c r="Q1327" s="21">
        <f t="shared" si="155"/>
        <v>35255.71</v>
      </c>
      <c r="R1327" s="21">
        <f t="shared" si="155"/>
        <v>35255.71</v>
      </c>
      <c r="S1327" s="21">
        <f t="shared" si="155"/>
        <v>35255.71</v>
      </c>
      <c r="T1327" s="21">
        <f t="shared" si="155"/>
        <v>35255.71</v>
      </c>
      <c r="U1327" s="29">
        <f t="shared" si="155"/>
        <v>35255.71</v>
      </c>
      <c r="V1327" s="21">
        <f>SUM(J1327:U1327)</f>
        <v>423068.5200000001</v>
      </c>
    </row>
    <row r="1328" spans="3:22" ht="14.25" customHeight="1" thickBot="1">
      <c r="C1328" s="6" t="s">
        <v>375</v>
      </c>
      <c r="J1328" s="22">
        <f aca="true" t="shared" si="156" ref="J1328:U1328">SUM(J1325:J1327)</f>
        <v>35505.17</v>
      </c>
      <c r="K1328" s="22">
        <f t="shared" si="156"/>
        <v>35256.25</v>
      </c>
      <c r="L1328" s="22">
        <f t="shared" si="156"/>
        <v>35255.71</v>
      </c>
      <c r="M1328" s="22">
        <f t="shared" si="156"/>
        <v>35255.71</v>
      </c>
      <c r="N1328" s="22">
        <f t="shared" si="156"/>
        <v>35255.71</v>
      </c>
      <c r="O1328" s="22">
        <f t="shared" si="156"/>
        <v>35255.71</v>
      </c>
      <c r="P1328" s="22">
        <f t="shared" si="156"/>
        <v>35255.71</v>
      </c>
      <c r="Q1328" s="22">
        <f t="shared" si="156"/>
        <v>35255.71</v>
      </c>
      <c r="R1328" s="22">
        <f t="shared" si="156"/>
        <v>35255.71</v>
      </c>
      <c r="S1328" s="22">
        <f t="shared" si="156"/>
        <v>35255.71</v>
      </c>
      <c r="T1328" s="22">
        <f t="shared" si="156"/>
        <v>35255.71</v>
      </c>
      <c r="U1328" s="30">
        <f t="shared" si="156"/>
        <v>35255.71</v>
      </c>
      <c r="V1328" s="22">
        <f>SUM(V1325:V1327)</f>
        <v>423318.5200000001</v>
      </c>
    </row>
    <row r="1329" ht="14.25" customHeight="1">
      <c r="C1329" s="10"/>
    </row>
    <row r="1330" spans="1:3" ht="14.25" customHeight="1">
      <c r="A1330" s="14">
        <f>+A1324+1</f>
        <v>87</v>
      </c>
      <c r="C1330" s="5" t="s">
        <v>376</v>
      </c>
    </row>
    <row r="1331" spans="3:22" ht="14.25" customHeight="1">
      <c r="C1331" s="4" t="s">
        <v>3</v>
      </c>
      <c r="J1331" s="21">
        <v>803.18</v>
      </c>
      <c r="K1331" s="21">
        <v>803.18</v>
      </c>
      <c r="L1331" s="21">
        <v>803.18</v>
      </c>
      <c r="M1331" s="21">
        <v>803.18</v>
      </c>
      <c r="N1331" s="21">
        <v>803.18</v>
      </c>
      <c r="O1331" s="21">
        <v>803.18</v>
      </c>
      <c r="P1331" s="21">
        <v>803.18</v>
      </c>
      <c r="Q1331" s="21">
        <v>803.18</v>
      </c>
      <c r="R1331" s="21">
        <v>803.18</v>
      </c>
      <c r="S1331" s="45">
        <v>721.67</v>
      </c>
      <c r="T1331" s="45">
        <v>721.67</v>
      </c>
      <c r="U1331" s="52">
        <v>721.67</v>
      </c>
      <c r="V1331" s="21">
        <f>SUM(J1331:U1331)</f>
        <v>9393.630000000001</v>
      </c>
    </row>
    <row r="1332" spans="3:22" ht="14.25" customHeight="1">
      <c r="C1332" s="4" t="s">
        <v>4</v>
      </c>
      <c r="J1332" s="45">
        <v>250</v>
      </c>
      <c r="K1332" s="45"/>
      <c r="L1332" s="45"/>
      <c r="M1332" s="45"/>
      <c r="N1332" s="45"/>
      <c r="O1332" s="45"/>
      <c r="P1332" s="45"/>
      <c r="Q1332" s="45"/>
      <c r="R1332" s="45"/>
      <c r="S1332" s="45"/>
      <c r="T1332" s="45"/>
      <c r="U1332" s="52"/>
      <c r="V1332" s="21">
        <f>SUM(J1332:U1332)</f>
        <v>250</v>
      </c>
    </row>
    <row r="1333" spans="3:22" ht="14.25" customHeight="1" thickBot="1">
      <c r="C1333" s="4" t="s">
        <v>5</v>
      </c>
      <c r="J1333" s="21">
        <f>17500+30758.71</f>
        <v>48258.71</v>
      </c>
      <c r="K1333" s="21">
        <f>17500+30758.7</f>
        <v>48258.7</v>
      </c>
      <c r="L1333" s="45">
        <f>17500+26941.93</f>
        <v>44441.93</v>
      </c>
      <c r="M1333" s="45">
        <f>17500+26941.93</f>
        <v>44441.93</v>
      </c>
      <c r="N1333" s="45">
        <f>17500+26941.93</f>
        <v>44441.93</v>
      </c>
      <c r="O1333" s="45">
        <f>17500+26941.93</f>
        <v>44441.93</v>
      </c>
      <c r="P1333" s="45">
        <f>17500+26941.93</f>
        <v>44441.93</v>
      </c>
      <c r="Q1333" s="45">
        <f>17500+26941.95</f>
        <v>44441.95</v>
      </c>
      <c r="R1333" s="45">
        <f>11666.67+26585.34</f>
        <v>38252.01</v>
      </c>
      <c r="S1333" s="45">
        <f>11666.67+26585.34</f>
        <v>38252.01</v>
      </c>
      <c r="T1333" s="45">
        <f>11666.67+26585.34</f>
        <v>38252.01</v>
      </c>
      <c r="U1333" s="52">
        <f>11666.67+26585.34</f>
        <v>38252.01</v>
      </c>
      <c r="V1333" s="21">
        <f>SUM(J1333:U1333)</f>
        <v>516177.05000000005</v>
      </c>
    </row>
    <row r="1334" spans="3:22" ht="14.25" customHeight="1" thickBot="1">
      <c r="C1334" s="6" t="s">
        <v>174</v>
      </c>
      <c r="J1334" s="22">
        <f aca="true" t="shared" si="157" ref="J1334:U1334">SUM(J1331:J1333)</f>
        <v>49311.89</v>
      </c>
      <c r="K1334" s="22">
        <f t="shared" si="157"/>
        <v>49061.88</v>
      </c>
      <c r="L1334" s="22">
        <f t="shared" si="157"/>
        <v>45245.11</v>
      </c>
      <c r="M1334" s="22">
        <f t="shared" si="157"/>
        <v>45245.11</v>
      </c>
      <c r="N1334" s="22">
        <f t="shared" si="157"/>
        <v>45245.11</v>
      </c>
      <c r="O1334" s="22">
        <f t="shared" si="157"/>
        <v>45245.11</v>
      </c>
      <c r="P1334" s="22">
        <f t="shared" si="157"/>
        <v>45245.11</v>
      </c>
      <c r="Q1334" s="22">
        <f t="shared" si="157"/>
        <v>45245.13</v>
      </c>
      <c r="R1334" s="22">
        <f t="shared" si="157"/>
        <v>39055.19</v>
      </c>
      <c r="S1334" s="22">
        <f t="shared" si="157"/>
        <v>38973.68</v>
      </c>
      <c r="T1334" s="22">
        <f t="shared" si="157"/>
        <v>38973.68</v>
      </c>
      <c r="U1334" s="30">
        <f t="shared" si="157"/>
        <v>38973.68</v>
      </c>
      <c r="V1334" s="22">
        <f>SUM(V1331:V1333)</f>
        <v>525820.68</v>
      </c>
    </row>
    <row r="1335" ht="14.25" customHeight="1">
      <c r="C1335" s="10"/>
    </row>
    <row r="1336" spans="1:3" ht="14.25" customHeight="1">
      <c r="A1336" s="14">
        <f>+A1330+1</f>
        <v>88</v>
      </c>
      <c r="C1336" s="5" t="s">
        <v>377</v>
      </c>
    </row>
    <row r="1337" spans="3:22" ht="14.25" customHeight="1">
      <c r="C1337" s="4" t="s">
        <v>3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  <c r="Q1337" s="21">
        <v>0</v>
      </c>
      <c r="R1337" s="21">
        <v>0</v>
      </c>
      <c r="S1337" s="21">
        <v>0</v>
      </c>
      <c r="T1337" s="21">
        <v>0</v>
      </c>
      <c r="U1337" s="29">
        <v>0</v>
      </c>
      <c r="V1337" s="21">
        <f>SUM(J1337:U1337)</f>
        <v>0</v>
      </c>
    </row>
    <row r="1338" spans="3:22" ht="14.25" customHeight="1">
      <c r="C1338" s="4" t="s">
        <v>4</v>
      </c>
      <c r="J1338" s="45">
        <v>250</v>
      </c>
      <c r="V1338" s="21">
        <f>SUM(J1338:U1338)</f>
        <v>250</v>
      </c>
    </row>
    <row r="1339" spans="3:22" ht="14.25" customHeight="1" thickBot="1">
      <c r="C1339" s="4" t="s">
        <v>5</v>
      </c>
      <c r="J1339" s="49">
        <f>13067.56+12148.74-6092.13</f>
        <v>19124.17</v>
      </c>
      <c r="K1339" s="45">
        <v>25216.29</v>
      </c>
      <c r="L1339" s="45">
        <v>25216.29</v>
      </c>
      <c r="M1339" s="45">
        <v>25216.29</v>
      </c>
      <c r="N1339" s="45">
        <v>25216.3</v>
      </c>
      <c r="O1339" s="45">
        <v>25216.29</v>
      </c>
      <c r="P1339" s="45">
        <v>25216.29</v>
      </c>
      <c r="Q1339" s="45">
        <v>25216.29</v>
      </c>
      <c r="R1339" s="45">
        <v>25216.29</v>
      </c>
      <c r="S1339" s="45">
        <v>25216.29</v>
      </c>
      <c r="T1339" s="45">
        <v>25216.3</v>
      </c>
      <c r="U1339" s="52">
        <v>25216.3</v>
      </c>
      <c r="V1339" s="21">
        <f>SUM(J1339:U1339)</f>
        <v>296503.39</v>
      </c>
    </row>
    <row r="1340" spans="3:22" ht="14.25" customHeight="1" thickBot="1">
      <c r="C1340" s="6" t="s">
        <v>378</v>
      </c>
      <c r="J1340" s="22">
        <f>SUM(J1337:J1339)</f>
        <v>19374.17</v>
      </c>
      <c r="K1340" s="22">
        <f aca="true" t="shared" si="158" ref="K1340:V1340">SUM(K1337:K1339)</f>
        <v>25216.29</v>
      </c>
      <c r="L1340" s="22">
        <f t="shared" si="158"/>
        <v>25216.29</v>
      </c>
      <c r="M1340" s="22">
        <f t="shared" si="158"/>
        <v>25216.29</v>
      </c>
      <c r="N1340" s="22">
        <f t="shared" si="158"/>
        <v>25216.3</v>
      </c>
      <c r="O1340" s="22">
        <f t="shared" si="158"/>
        <v>25216.29</v>
      </c>
      <c r="P1340" s="22">
        <f t="shared" si="158"/>
        <v>25216.29</v>
      </c>
      <c r="Q1340" s="22">
        <f t="shared" si="158"/>
        <v>25216.29</v>
      </c>
      <c r="R1340" s="22">
        <f t="shared" si="158"/>
        <v>25216.29</v>
      </c>
      <c r="S1340" s="22">
        <f t="shared" si="158"/>
        <v>25216.29</v>
      </c>
      <c r="T1340" s="22">
        <f t="shared" si="158"/>
        <v>25216.3</v>
      </c>
      <c r="U1340" s="30">
        <f t="shared" si="158"/>
        <v>25216.3</v>
      </c>
      <c r="V1340" s="22">
        <f t="shared" si="158"/>
        <v>296753.39</v>
      </c>
    </row>
    <row r="1341" ht="14.25" customHeight="1">
      <c r="C1341" s="10"/>
    </row>
    <row r="1342" spans="1:3" ht="14.25" customHeight="1">
      <c r="A1342" s="14">
        <f>+A1336+1</f>
        <v>89</v>
      </c>
      <c r="C1342" s="5" t="s">
        <v>379</v>
      </c>
    </row>
    <row r="1343" spans="3:22" ht="14.25" customHeight="1">
      <c r="C1343" s="4" t="s">
        <v>3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1">
        <v>0</v>
      </c>
      <c r="Q1343" s="21">
        <v>0</v>
      </c>
      <c r="R1343" s="21">
        <v>0</v>
      </c>
      <c r="S1343" s="21">
        <v>0</v>
      </c>
      <c r="T1343" s="21">
        <v>0</v>
      </c>
      <c r="U1343" s="29">
        <v>0</v>
      </c>
      <c r="V1343" s="21">
        <f>SUM(J1343:U1343)</f>
        <v>0</v>
      </c>
    </row>
    <row r="1344" spans="3:22" ht="14.25" customHeight="1">
      <c r="C1344" s="4" t="s">
        <v>4</v>
      </c>
      <c r="J1344" s="45">
        <v>250</v>
      </c>
      <c r="V1344" s="21">
        <f>SUM(J1344:U1344)</f>
        <v>250</v>
      </c>
    </row>
    <row r="1345" spans="3:22" ht="14.25" customHeight="1" thickBot="1">
      <c r="C1345" s="4" t="s">
        <v>5</v>
      </c>
      <c r="J1345" s="21">
        <v>87308</v>
      </c>
      <c r="K1345" s="21">
        <v>87308</v>
      </c>
      <c r="L1345" s="21">
        <v>87308</v>
      </c>
      <c r="M1345" s="21">
        <v>87308</v>
      </c>
      <c r="N1345" s="45">
        <v>83950</v>
      </c>
      <c r="O1345" s="45">
        <v>83950</v>
      </c>
      <c r="P1345" s="45">
        <v>83950</v>
      </c>
      <c r="Q1345" s="45">
        <v>83950</v>
      </c>
      <c r="R1345" s="45">
        <v>83950</v>
      </c>
      <c r="S1345" s="45">
        <v>83950</v>
      </c>
      <c r="T1345" s="45">
        <v>83950</v>
      </c>
      <c r="U1345" s="52">
        <v>83950</v>
      </c>
      <c r="V1345" s="21">
        <f>SUM(J1345:U1345)</f>
        <v>1020832</v>
      </c>
    </row>
    <row r="1346" spans="3:22" ht="14.25" customHeight="1" thickBot="1">
      <c r="C1346" s="6" t="s">
        <v>380</v>
      </c>
      <c r="J1346" s="22">
        <f aca="true" t="shared" si="159" ref="J1346:V1346">SUM(J1343:J1345)</f>
        <v>87558</v>
      </c>
      <c r="K1346" s="22">
        <f t="shared" si="159"/>
        <v>87308</v>
      </c>
      <c r="L1346" s="22">
        <f t="shared" si="159"/>
        <v>87308</v>
      </c>
      <c r="M1346" s="22">
        <f t="shared" si="159"/>
        <v>87308</v>
      </c>
      <c r="N1346" s="22">
        <f t="shared" si="159"/>
        <v>83950</v>
      </c>
      <c r="O1346" s="22">
        <f t="shared" si="159"/>
        <v>83950</v>
      </c>
      <c r="P1346" s="22">
        <f t="shared" si="159"/>
        <v>83950</v>
      </c>
      <c r="Q1346" s="22">
        <f t="shared" si="159"/>
        <v>83950</v>
      </c>
      <c r="R1346" s="22">
        <f t="shared" si="159"/>
        <v>83950</v>
      </c>
      <c r="S1346" s="22">
        <f t="shared" si="159"/>
        <v>83950</v>
      </c>
      <c r="T1346" s="22">
        <f t="shared" si="159"/>
        <v>83950</v>
      </c>
      <c r="U1346" s="30">
        <f t="shared" si="159"/>
        <v>83950</v>
      </c>
      <c r="V1346" s="22">
        <f t="shared" si="159"/>
        <v>1021082</v>
      </c>
    </row>
    <row r="1347" ht="14.25" customHeight="1">
      <c r="C1347" s="10"/>
    </row>
    <row r="1348" spans="1:3" ht="14.25" customHeight="1">
      <c r="A1348" s="14">
        <f>+A1342+1</f>
        <v>90</v>
      </c>
      <c r="C1348" s="5" t="s">
        <v>381</v>
      </c>
    </row>
    <row r="1349" spans="3:22" ht="14.25" customHeight="1">
      <c r="C1349" s="4" t="s">
        <v>3</v>
      </c>
      <c r="J1349" s="21">
        <v>0</v>
      </c>
      <c r="K1349" s="21">
        <v>0</v>
      </c>
      <c r="L1349" s="21">
        <v>0</v>
      </c>
      <c r="M1349" s="21">
        <v>0</v>
      </c>
      <c r="N1349" s="21">
        <v>0</v>
      </c>
      <c r="O1349" s="21">
        <v>0</v>
      </c>
      <c r="P1349" s="21">
        <v>0</v>
      </c>
      <c r="Q1349" s="21">
        <v>0</v>
      </c>
      <c r="R1349" s="21">
        <v>0</v>
      </c>
      <c r="S1349" s="21">
        <v>0</v>
      </c>
      <c r="T1349" s="21">
        <v>0</v>
      </c>
      <c r="U1349" s="29">
        <v>0</v>
      </c>
      <c r="V1349" s="21">
        <f>SUM(J1349:U1349)</f>
        <v>0</v>
      </c>
    </row>
    <row r="1350" spans="3:22" ht="14.25" customHeight="1">
      <c r="C1350" s="4" t="s">
        <v>4</v>
      </c>
      <c r="J1350" s="45">
        <v>250</v>
      </c>
      <c r="V1350" s="21">
        <f>SUM(J1350:U1350)</f>
        <v>250</v>
      </c>
    </row>
    <row r="1351" spans="3:22" ht="14.25" customHeight="1" thickBot="1">
      <c r="C1351" s="4" t="s">
        <v>5</v>
      </c>
      <c r="J1351" s="21">
        <v>0</v>
      </c>
      <c r="K1351" s="21">
        <v>0</v>
      </c>
      <c r="L1351" s="21">
        <v>0</v>
      </c>
      <c r="M1351" s="21">
        <v>0</v>
      </c>
      <c r="N1351" s="21">
        <v>0</v>
      </c>
      <c r="O1351" s="21">
        <v>0</v>
      </c>
      <c r="P1351" s="21">
        <v>0</v>
      </c>
      <c r="Q1351" s="21">
        <f>9583.34+52614.59</f>
        <v>62197.92999999999</v>
      </c>
      <c r="R1351" s="21">
        <f>9583.34+52614.59</f>
        <v>62197.92999999999</v>
      </c>
      <c r="S1351" s="21">
        <f>9583.34+52614.59</f>
        <v>62197.92999999999</v>
      </c>
      <c r="T1351" s="21">
        <f>9583.34+52614.59</f>
        <v>62197.92999999999</v>
      </c>
      <c r="U1351" s="29">
        <f>9583.34+52614.59</f>
        <v>62197.92999999999</v>
      </c>
      <c r="V1351" s="21">
        <f>SUM(J1351:U1351)</f>
        <v>310989.64999999997</v>
      </c>
    </row>
    <row r="1352" spans="3:22" ht="14.25" customHeight="1" thickBot="1">
      <c r="C1352" s="6" t="s">
        <v>382</v>
      </c>
      <c r="J1352" s="22">
        <f aca="true" t="shared" si="160" ref="J1352:V1352">SUM(J1349:J1351)</f>
        <v>250</v>
      </c>
      <c r="K1352" s="22">
        <f t="shared" si="160"/>
        <v>0</v>
      </c>
      <c r="L1352" s="22">
        <f t="shared" si="160"/>
        <v>0</v>
      </c>
      <c r="M1352" s="22">
        <f t="shared" si="160"/>
        <v>0</v>
      </c>
      <c r="N1352" s="22">
        <f t="shared" si="160"/>
        <v>0</v>
      </c>
      <c r="O1352" s="22">
        <f t="shared" si="160"/>
        <v>0</v>
      </c>
      <c r="P1352" s="22">
        <f t="shared" si="160"/>
        <v>0</v>
      </c>
      <c r="Q1352" s="22">
        <f t="shared" si="160"/>
        <v>62197.92999999999</v>
      </c>
      <c r="R1352" s="22">
        <f t="shared" si="160"/>
        <v>62197.92999999999</v>
      </c>
      <c r="S1352" s="22">
        <f t="shared" si="160"/>
        <v>62197.92999999999</v>
      </c>
      <c r="T1352" s="22">
        <f t="shared" si="160"/>
        <v>62197.92999999999</v>
      </c>
      <c r="U1352" s="30">
        <f t="shared" si="160"/>
        <v>62197.92999999999</v>
      </c>
      <c r="V1352" s="22">
        <f t="shared" si="160"/>
        <v>311239.64999999997</v>
      </c>
    </row>
    <row r="1353" ht="14.25" customHeight="1">
      <c r="C1353" s="10"/>
    </row>
    <row r="1354" spans="1:3" ht="14.25" customHeight="1">
      <c r="A1354" s="14">
        <f>+A1348+1</f>
        <v>91</v>
      </c>
      <c r="C1354" s="5" t="s">
        <v>383</v>
      </c>
    </row>
    <row r="1355" spans="3:22" ht="14.25" customHeight="1">
      <c r="C1355" s="4" t="s">
        <v>3</v>
      </c>
      <c r="J1355" s="21">
        <v>0</v>
      </c>
      <c r="K1355" s="21">
        <v>0</v>
      </c>
      <c r="L1355" s="21">
        <v>0</v>
      </c>
      <c r="M1355" s="21">
        <v>0</v>
      </c>
      <c r="N1355" s="21">
        <v>0</v>
      </c>
      <c r="O1355" s="21">
        <v>0</v>
      </c>
      <c r="P1355" s="21">
        <v>0</v>
      </c>
      <c r="Q1355" s="21">
        <v>0</v>
      </c>
      <c r="R1355" s="21">
        <v>0</v>
      </c>
      <c r="S1355" s="21">
        <v>0</v>
      </c>
      <c r="T1355" s="21">
        <v>0</v>
      </c>
      <c r="U1355" s="29">
        <v>0</v>
      </c>
      <c r="V1355" s="21">
        <f>SUM(J1355:U1355)</f>
        <v>0</v>
      </c>
    </row>
    <row r="1356" spans="3:22" ht="14.25" customHeight="1">
      <c r="C1356" s="4" t="s">
        <v>4</v>
      </c>
      <c r="J1356" s="45">
        <v>250</v>
      </c>
      <c r="V1356" s="21">
        <f>SUM(J1356:U1356)</f>
        <v>250</v>
      </c>
    </row>
    <row r="1357" spans="3:22" ht="14.25" customHeight="1" thickBot="1">
      <c r="C1357" s="4" t="s">
        <v>5</v>
      </c>
      <c r="J1357" s="21">
        <v>184641.13</v>
      </c>
      <c r="K1357" s="21">
        <v>184641.13</v>
      </c>
      <c r="L1357" s="21">
        <v>184641.13</v>
      </c>
      <c r="M1357" s="21">
        <v>184641.13</v>
      </c>
      <c r="N1357" s="21">
        <v>101677.11</v>
      </c>
      <c r="O1357" s="21">
        <v>101677.11</v>
      </c>
      <c r="P1357" s="21">
        <v>101677.11</v>
      </c>
      <c r="Q1357" s="21">
        <v>101677.11</v>
      </c>
      <c r="R1357" s="21">
        <v>101677.11</v>
      </c>
      <c r="S1357" s="21">
        <v>101677.11</v>
      </c>
      <c r="T1357" s="21">
        <v>101677.11</v>
      </c>
      <c r="U1357" s="29">
        <v>101677.11</v>
      </c>
      <c r="V1357" s="21">
        <f>SUM(J1357:U1357)</f>
        <v>1551981.4000000004</v>
      </c>
    </row>
    <row r="1358" spans="3:22" ht="14.25" customHeight="1" thickBot="1">
      <c r="C1358" s="6" t="s">
        <v>155</v>
      </c>
      <c r="J1358" s="22">
        <f aca="true" t="shared" si="161" ref="J1358:V1358">SUM(J1355:J1357)</f>
        <v>184891.13</v>
      </c>
      <c r="K1358" s="22">
        <f t="shared" si="161"/>
        <v>184641.13</v>
      </c>
      <c r="L1358" s="22">
        <f t="shared" si="161"/>
        <v>184641.13</v>
      </c>
      <c r="M1358" s="22">
        <f t="shared" si="161"/>
        <v>184641.13</v>
      </c>
      <c r="N1358" s="22">
        <f t="shared" si="161"/>
        <v>101677.11</v>
      </c>
      <c r="O1358" s="22">
        <f t="shared" si="161"/>
        <v>101677.11</v>
      </c>
      <c r="P1358" s="22">
        <f t="shared" si="161"/>
        <v>101677.11</v>
      </c>
      <c r="Q1358" s="22">
        <f t="shared" si="161"/>
        <v>101677.11</v>
      </c>
      <c r="R1358" s="22">
        <f t="shared" si="161"/>
        <v>101677.11</v>
      </c>
      <c r="S1358" s="22">
        <f t="shared" si="161"/>
        <v>101677.11</v>
      </c>
      <c r="T1358" s="22">
        <f t="shared" si="161"/>
        <v>101677.11</v>
      </c>
      <c r="U1358" s="30">
        <f t="shared" si="161"/>
        <v>101677.11</v>
      </c>
      <c r="V1358" s="22">
        <f t="shared" si="161"/>
        <v>1552231.4000000004</v>
      </c>
    </row>
    <row r="1359" ht="14.25" customHeight="1">
      <c r="C1359" s="10"/>
    </row>
    <row r="1360" spans="1:3" ht="14.25" customHeight="1">
      <c r="A1360" s="14">
        <f>+A1354+1</f>
        <v>92</v>
      </c>
      <c r="C1360" s="5" t="s">
        <v>384</v>
      </c>
    </row>
    <row r="1361" spans="3:22" ht="14.25" customHeight="1">
      <c r="C1361" s="4" t="s">
        <v>3</v>
      </c>
      <c r="J1361" s="21">
        <v>0</v>
      </c>
      <c r="K1361" s="21">
        <v>1793</v>
      </c>
      <c r="L1361" s="21">
        <v>1793</v>
      </c>
      <c r="M1361" s="21">
        <v>1793</v>
      </c>
      <c r="N1361" s="21">
        <v>1793</v>
      </c>
      <c r="O1361" s="21">
        <v>1793</v>
      </c>
      <c r="P1361" s="21">
        <v>1793</v>
      </c>
      <c r="Q1361" s="21">
        <v>1793</v>
      </c>
      <c r="R1361" s="21">
        <v>1793</v>
      </c>
      <c r="S1361" s="21">
        <v>1793</v>
      </c>
      <c r="T1361" s="21">
        <v>1793</v>
      </c>
      <c r="U1361" s="29">
        <v>1494.17</v>
      </c>
      <c r="V1361" s="21">
        <f>SUM(J1361:U1361)</f>
        <v>19424.17</v>
      </c>
    </row>
    <row r="1362" spans="3:22" ht="14.25" customHeight="1">
      <c r="C1362" s="4" t="s">
        <v>4</v>
      </c>
      <c r="J1362" s="45">
        <v>250</v>
      </c>
      <c r="V1362" s="21">
        <f>SUM(J1362:U1362)</f>
        <v>250</v>
      </c>
    </row>
    <row r="1363" spans="3:22" ht="14.25" customHeight="1" thickBot="1">
      <c r="C1363" s="4" t="s">
        <v>5</v>
      </c>
      <c r="J1363" s="21">
        <v>0</v>
      </c>
      <c r="K1363" s="21">
        <v>68756.95</v>
      </c>
      <c r="L1363" s="21">
        <v>68756.95</v>
      </c>
      <c r="M1363" s="21">
        <v>68756.95</v>
      </c>
      <c r="N1363" s="21">
        <v>68756.95</v>
      </c>
      <c r="O1363" s="21">
        <v>68756.95</v>
      </c>
      <c r="P1363" s="21">
        <v>68756.95</v>
      </c>
      <c r="Q1363" s="21">
        <f>8333.33+48125</f>
        <v>56458.33</v>
      </c>
      <c r="R1363" s="21">
        <f>8333.33+48125</f>
        <v>56458.33</v>
      </c>
      <c r="S1363" s="21">
        <f>8333.33+48125</f>
        <v>56458.33</v>
      </c>
      <c r="T1363" s="21">
        <f>8333.33+48125</f>
        <v>56458.33</v>
      </c>
      <c r="U1363" s="29">
        <f>8333.33+48125</f>
        <v>56458.33</v>
      </c>
      <c r="V1363" s="21">
        <f>SUM(J1363:U1363)</f>
        <v>694833.3499999999</v>
      </c>
    </row>
    <row r="1364" spans="3:22" ht="14.25" customHeight="1" thickBot="1">
      <c r="C1364" s="6" t="s">
        <v>385</v>
      </c>
      <c r="J1364" s="22">
        <f aca="true" t="shared" si="162" ref="J1364:V1364">SUM(J1361:J1363)</f>
        <v>250</v>
      </c>
      <c r="K1364" s="22">
        <f t="shared" si="162"/>
        <v>70549.95</v>
      </c>
      <c r="L1364" s="22">
        <f t="shared" si="162"/>
        <v>70549.95</v>
      </c>
      <c r="M1364" s="22">
        <f t="shared" si="162"/>
        <v>70549.95</v>
      </c>
      <c r="N1364" s="22">
        <f t="shared" si="162"/>
        <v>70549.95</v>
      </c>
      <c r="O1364" s="22">
        <f t="shared" si="162"/>
        <v>70549.95</v>
      </c>
      <c r="P1364" s="22">
        <f t="shared" si="162"/>
        <v>70549.95</v>
      </c>
      <c r="Q1364" s="22">
        <f t="shared" si="162"/>
        <v>58251.33</v>
      </c>
      <c r="R1364" s="22">
        <f t="shared" si="162"/>
        <v>58251.33</v>
      </c>
      <c r="S1364" s="22">
        <f t="shared" si="162"/>
        <v>58251.33</v>
      </c>
      <c r="T1364" s="22">
        <f t="shared" si="162"/>
        <v>58251.33</v>
      </c>
      <c r="U1364" s="30">
        <f t="shared" si="162"/>
        <v>57952.5</v>
      </c>
      <c r="V1364" s="22">
        <f t="shared" si="162"/>
        <v>714507.5199999999</v>
      </c>
    </row>
    <row r="1365" ht="14.25" customHeight="1">
      <c r="C1365" s="10"/>
    </row>
    <row r="1366" spans="1:3" ht="14.25" customHeight="1">
      <c r="A1366" s="14">
        <f>+A1360+1</f>
        <v>93</v>
      </c>
      <c r="C1366" s="5" t="s">
        <v>386</v>
      </c>
    </row>
    <row r="1367" spans="3:22" ht="14.25" customHeight="1">
      <c r="C1367" s="4" t="s">
        <v>3</v>
      </c>
      <c r="J1367" s="21">
        <v>699.58</v>
      </c>
      <c r="K1367" s="21">
        <v>699.58</v>
      </c>
      <c r="L1367" s="21">
        <v>699.58</v>
      </c>
      <c r="M1367" s="21">
        <v>699.58</v>
      </c>
      <c r="N1367" s="21">
        <v>699.58</v>
      </c>
      <c r="O1367" s="21">
        <v>699.58</v>
      </c>
      <c r="P1367" s="21">
        <v>699.58</v>
      </c>
      <c r="Q1367" s="21">
        <v>699.58</v>
      </c>
      <c r="R1367" s="21">
        <v>699.58</v>
      </c>
      <c r="S1367" s="21">
        <v>699.58</v>
      </c>
      <c r="T1367" s="21">
        <v>699.58</v>
      </c>
      <c r="U1367" s="29">
        <v>699.58</v>
      </c>
      <c r="V1367" s="21">
        <f>SUM(J1367:U1367)</f>
        <v>8394.960000000001</v>
      </c>
    </row>
    <row r="1368" spans="3:22" ht="14.25" customHeight="1">
      <c r="C1368" s="4" t="s">
        <v>4</v>
      </c>
      <c r="J1368" s="45">
        <v>250</v>
      </c>
      <c r="V1368" s="21">
        <f>SUM(J1368:U1368)</f>
        <v>250</v>
      </c>
    </row>
    <row r="1369" spans="3:22" ht="14.25" customHeight="1" thickBot="1">
      <c r="C1369" s="4" t="s">
        <v>5</v>
      </c>
      <c r="J1369" s="21">
        <v>35429.17</v>
      </c>
      <c r="K1369" s="21">
        <v>35429.17</v>
      </c>
      <c r="L1369" s="21">
        <v>35429.17</v>
      </c>
      <c r="M1369" s="21">
        <v>35429.17</v>
      </c>
      <c r="N1369" s="21">
        <v>35429.17</v>
      </c>
      <c r="O1369" s="21">
        <v>35429.17</v>
      </c>
      <c r="P1369" s="21">
        <v>35429.17</v>
      </c>
      <c r="Q1369" s="21">
        <v>35429.17</v>
      </c>
      <c r="R1369" s="21">
        <v>35429.17</v>
      </c>
      <c r="S1369" s="21">
        <v>35429.17</v>
      </c>
      <c r="T1369" s="21">
        <v>35429.17</v>
      </c>
      <c r="U1369" s="29">
        <v>35429.13</v>
      </c>
      <c r="V1369" s="21">
        <f>SUM(J1369:U1369)</f>
        <v>425149.9999999999</v>
      </c>
    </row>
    <row r="1370" spans="3:22" ht="14.25" customHeight="1" thickBot="1">
      <c r="C1370" s="6" t="s">
        <v>130</v>
      </c>
      <c r="J1370" s="22">
        <f aca="true" t="shared" si="163" ref="J1370:V1370">SUM(J1367:J1369)</f>
        <v>36378.75</v>
      </c>
      <c r="K1370" s="22">
        <f t="shared" si="163"/>
        <v>36128.75</v>
      </c>
      <c r="L1370" s="22">
        <f t="shared" si="163"/>
        <v>36128.75</v>
      </c>
      <c r="M1370" s="22">
        <f t="shared" si="163"/>
        <v>36128.75</v>
      </c>
      <c r="N1370" s="22">
        <f t="shared" si="163"/>
        <v>36128.75</v>
      </c>
      <c r="O1370" s="22">
        <f t="shared" si="163"/>
        <v>36128.75</v>
      </c>
      <c r="P1370" s="22">
        <f t="shared" si="163"/>
        <v>36128.75</v>
      </c>
      <c r="Q1370" s="22">
        <f t="shared" si="163"/>
        <v>36128.75</v>
      </c>
      <c r="R1370" s="22">
        <f t="shared" si="163"/>
        <v>36128.75</v>
      </c>
      <c r="S1370" s="22">
        <f t="shared" si="163"/>
        <v>36128.75</v>
      </c>
      <c r="T1370" s="22">
        <f t="shared" si="163"/>
        <v>36128.75</v>
      </c>
      <c r="U1370" s="30">
        <f t="shared" si="163"/>
        <v>36128.71</v>
      </c>
      <c r="V1370" s="22">
        <f t="shared" si="163"/>
        <v>433794.9599999999</v>
      </c>
    </row>
    <row r="1371" ht="14.25" customHeight="1">
      <c r="C1371" s="10"/>
    </row>
    <row r="1372" spans="1:3" ht="14.25" customHeight="1">
      <c r="A1372" s="14">
        <f>+A1366+1</f>
        <v>94</v>
      </c>
      <c r="C1372" s="5" t="s">
        <v>388</v>
      </c>
    </row>
    <row r="1373" spans="3:22" ht="14.25" customHeight="1">
      <c r="C1373" s="4" t="s">
        <v>3</v>
      </c>
      <c r="J1373" s="21">
        <v>0</v>
      </c>
      <c r="K1373" s="21">
        <v>0</v>
      </c>
      <c r="L1373" s="21">
        <v>0</v>
      </c>
      <c r="M1373" s="21">
        <v>0</v>
      </c>
      <c r="N1373" s="21">
        <v>0</v>
      </c>
      <c r="O1373" s="21">
        <v>0</v>
      </c>
      <c r="P1373" s="21">
        <v>0</v>
      </c>
      <c r="Q1373" s="21">
        <v>0</v>
      </c>
      <c r="R1373" s="21">
        <v>0</v>
      </c>
      <c r="S1373" s="21">
        <v>0</v>
      </c>
      <c r="T1373" s="21">
        <v>0</v>
      </c>
      <c r="U1373" s="29">
        <v>0</v>
      </c>
      <c r="V1373" s="21">
        <f>SUM(J1373:U1373)</f>
        <v>0</v>
      </c>
    </row>
    <row r="1374" spans="3:22" ht="14.25" customHeight="1">
      <c r="C1374" s="4" t="s">
        <v>4</v>
      </c>
      <c r="J1374" s="45"/>
      <c r="K1374" s="45">
        <v>229.17</v>
      </c>
      <c r="V1374" s="21">
        <f>SUM(J1374:U1374)</f>
        <v>229.17</v>
      </c>
    </row>
    <row r="1375" spans="3:22" ht="14.25" customHeight="1" thickBot="1">
      <c r="C1375" s="4" t="s">
        <v>5</v>
      </c>
      <c r="J1375" s="21">
        <v>0</v>
      </c>
      <c r="K1375" s="21">
        <v>105949.49</v>
      </c>
      <c r="L1375" s="21">
        <v>105949.49</v>
      </c>
      <c r="M1375" s="21">
        <v>105949.49</v>
      </c>
      <c r="N1375" s="21">
        <v>105949.46</v>
      </c>
      <c r="O1375" s="21">
        <v>93484.84</v>
      </c>
      <c r="P1375" s="21">
        <v>93484.84</v>
      </c>
      <c r="Q1375" s="21">
        <v>93484.84</v>
      </c>
      <c r="R1375" s="21">
        <v>93484.84</v>
      </c>
      <c r="S1375" s="21">
        <v>93484.84</v>
      </c>
      <c r="T1375" s="21">
        <v>93484.82</v>
      </c>
      <c r="U1375" s="29">
        <v>93484.84</v>
      </c>
      <c r="V1375" s="21">
        <f>SUM(J1375:U1375)</f>
        <v>1078191.79</v>
      </c>
    </row>
    <row r="1376" spans="3:22" ht="14.25" customHeight="1" thickBot="1">
      <c r="C1376" s="6" t="s">
        <v>389</v>
      </c>
      <c r="J1376" s="22">
        <f aca="true" t="shared" si="164" ref="J1376:V1376">SUM(J1373:J1375)</f>
        <v>0</v>
      </c>
      <c r="K1376" s="22">
        <f t="shared" si="164"/>
        <v>106178.66</v>
      </c>
      <c r="L1376" s="22">
        <f t="shared" si="164"/>
        <v>105949.49</v>
      </c>
      <c r="M1376" s="22">
        <f t="shared" si="164"/>
        <v>105949.49</v>
      </c>
      <c r="N1376" s="22">
        <f t="shared" si="164"/>
        <v>105949.46</v>
      </c>
      <c r="O1376" s="22">
        <f t="shared" si="164"/>
        <v>93484.84</v>
      </c>
      <c r="P1376" s="22">
        <f t="shared" si="164"/>
        <v>93484.84</v>
      </c>
      <c r="Q1376" s="22">
        <f t="shared" si="164"/>
        <v>93484.84</v>
      </c>
      <c r="R1376" s="22">
        <f t="shared" si="164"/>
        <v>93484.84</v>
      </c>
      <c r="S1376" s="22">
        <f t="shared" si="164"/>
        <v>93484.84</v>
      </c>
      <c r="T1376" s="22">
        <f t="shared" si="164"/>
        <v>93484.82</v>
      </c>
      <c r="U1376" s="30">
        <f t="shared" si="164"/>
        <v>93484.84</v>
      </c>
      <c r="V1376" s="22">
        <f t="shared" si="164"/>
        <v>1078420.96</v>
      </c>
    </row>
    <row r="1377" spans="3:22" ht="14.25" customHeight="1">
      <c r="C1377" s="10"/>
      <c r="J1377" s="47"/>
      <c r="K1377" s="47"/>
      <c r="L1377" s="47"/>
      <c r="M1377" s="47"/>
      <c r="N1377" s="47"/>
      <c r="O1377" s="47"/>
      <c r="P1377" s="47"/>
      <c r="Q1377" s="47"/>
      <c r="R1377" s="47"/>
      <c r="S1377" s="47"/>
      <c r="T1377" s="47"/>
      <c r="U1377" s="48"/>
      <c r="V1377" s="47"/>
    </row>
    <row r="1378" spans="1:3" ht="14.25" customHeight="1">
      <c r="A1378" s="14">
        <f>+A1372+1</f>
        <v>95</v>
      </c>
      <c r="C1378" s="5" t="s">
        <v>390</v>
      </c>
    </row>
    <row r="1379" spans="3:22" ht="14.25" customHeight="1">
      <c r="C1379" s="4" t="s">
        <v>3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1">
        <v>0</v>
      </c>
      <c r="Q1379" s="21">
        <v>0</v>
      </c>
      <c r="R1379" s="21">
        <v>0</v>
      </c>
      <c r="S1379" s="21">
        <v>0</v>
      </c>
      <c r="T1379" s="21">
        <v>0</v>
      </c>
      <c r="U1379" s="29">
        <v>0</v>
      </c>
      <c r="V1379" s="21">
        <f>SUM(J1379:U1379)</f>
        <v>0</v>
      </c>
    </row>
    <row r="1380" spans="3:22" ht="14.25" customHeight="1">
      <c r="C1380" s="4" t="s">
        <v>4</v>
      </c>
      <c r="J1380" s="45"/>
      <c r="K1380" s="45"/>
      <c r="M1380" s="45"/>
      <c r="V1380" s="21">
        <f>SUM(J1380:U1380)</f>
        <v>0</v>
      </c>
    </row>
    <row r="1381" spans="3:22" ht="14.25" customHeight="1" thickBot="1">
      <c r="C1381" s="4" t="s">
        <v>5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  <c r="Q1381" s="21">
        <v>0</v>
      </c>
      <c r="R1381" s="21">
        <v>0</v>
      </c>
      <c r="S1381" s="21">
        <v>0</v>
      </c>
      <c r="T1381" s="21">
        <v>0</v>
      </c>
      <c r="U1381" s="29">
        <v>0</v>
      </c>
      <c r="V1381" s="21">
        <f>SUM(J1381:U1381)</f>
        <v>0</v>
      </c>
    </row>
    <row r="1382" spans="3:22" ht="14.25" customHeight="1" thickBot="1">
      <c r="C1382" s="6" t="s">
        <v>321</v>
      </c>
      <c r="J1382" s="22">
        <f aca="true" t="shared" si="165" ref="J1382:V1382">SUM(J1379:J1381)</f>
        <v>0</v>
      </c>
      <c r="K1382" s="22">
        <f t="shared" si="165"/>
        <v>0</v>
      </c>
      <c r="L1382" s="22">
        <f t="shared" si="165"/>
        <v>0</v>
      </c>
      <c r="M1382" s="22">
        <f t="shared" si="165"/>
        <v>0</v>
      </c>
      <c r="N1382" s="22">
        <f t="shared" si="165"/>
        <v>0</v>
      </c>
      <c r="O1382" s="22">
        <f t="shared" si="165"/>
        <v>0</v>
      </c>
      <c r="P1382" s="22">
        <f t="shared" si="165"/>
        <v>0</v>
      </c>
      <c r="Q1382" s="22">
        <f t="shared" si="165"/>
        <v>0</v>
      </c>
      <c r="R1382" s="22">
        <f t="shared" si="165"/>
        <v>0</v>
      </c>
      <c r="S1382" s="22">
        <f t="shared" si="165"/>
        <v>0</v>
      </c>
      <c r="T1382" s="22">
        <f t="shared" si="165"/>
        <v>0</v>
      </c>
      <c r="U1382" s="30">
        <f t="shared" si="165"/>
        <v>0</v>
      </c>
      <c r="V1382" s="22">
        <f t="shared" si="165"/>
        <v>0</v>
      </c>
    </row>
    <row r="1383" spans="3:22" ht="14.25" customHeight="1">
      <c r="C1383" s="10"/>
      <c r="J1383" s="47"/>
      <c r="K1383" s="47"/>
      <c r="L1383" s="47"/>
      <c r="M1383" s="47"/>
      <c r="N1383" s="47"/>
      <c r="O1383" s="47"/>
      <c r="P1383" s="47"/>
      <c r="Q1383" s="47"/>
      <c r="R1383" s="47"/>
      <c r="S1383" s="47"/>
      <c r="T1383" s="47"/>
      <c r="U1383" s="48"/>
      <c r="V1383" s="47"/>
    </row>
    <row r="1384" spans="1:3" ht="14.25" customHeight="1">
      <c r="A1384" s="14">
        <f>+A1378+1</f>
        <v>96</v>
      </c>
      <c r="C1384" s="5" t="s">
        <v>391</v>
      </c>
    </row>
    <row r="1385" spans="3:22" ht="14.25" customHeight="1">
      <c r="C1385" s="4" t="s">
        <v>3</v>
      </c>
      <c r="J1385" s="21">
        <v>0</v>
      </c>
      <c r="K1385" s="21">
        <v>0</v>
      </c>
      <c r="L1385" s="21">
        <v>0</v>
      </c>
      <c r="M1385" s="21">
        <v>634.58</v>
      </c>
      <c r="N1385" s="21">
        <v>634.58</v>
      </c>
      <c r="O1385" s="21">
        <v>634.58</v>
      </c>
      <c r="P1385" s="21">
        <v>634.58</v>
      </c>
      <c r="Q1385" s="21">
        <v>634.58</v>
      </c>
      <c r="R1385" s="21">
        <v>634.58</v>
      </c>
      <c r="S1385" s="21">
        <v>634.58</v>
      </c>
      <c r="T1385" s="21">
        <v>634.58</v>
      </c>
      <c r="U1385" s="29">
        <v>634.58</v>
      </c>
      <c r="V1385" s="21">
        <f>SUM(J1385:U1385)</f>
        <v>5711.22</v>
      </c>
    </row>
    <row r="1386" spans="3:22" ht="14.25" customHeight="1">
      <c r="C1386" s="4" t="s">
        <v>4</v>
      </c>
      <c r="J1386" s="45"/>
      <c r="K1386" s="45"/>
      <c r="M1386" s="45">
        <v>187.5</v>
      </c>
      <c r="V1386" s="21">
        <f>SUM(J1386:U1386)</f>
        <v>187.5</v>
      </c>
    </row>
    <row r="1387" spans="3:22" ht="14.25" customHeight="1" thickBot="1">
      <c r="C1387" s="4" t="s">
        <v>5</v>
      </c>
      <c r="J1387" s="21">
        <v>0</v>
      </c>
      <c r="K1387" s="21">
        <v>0</v>
      </c>
      <c r="L1387" s="21">
        <v>0</v>
      </c>
      <c r="M1387" s="21">
        <f>12222.22+21008.29</f>
        <v>33230.51</v>
      </c>
      <c r="N1387" s="21">
        <f>12222.22+21008.29</f>
        <v>33230.51</v>
      </c>
      <c r="O1387" s="21">
        <f>12222.22+21008.28</f>
        <v>33230.5</v>
      </c>
      <c r="P1387" s="21">
        <f>12222.22+21985.42</f>
        <v>34207.64</v>
      </c>
      <c r="Q1387" s="21">
        <f>12222.22+21985.42</f>
        <v>34207.64</v>
      </c>
      <c r="R1387" s="21">
        <f>12222.22+21985.42</f>
        <v>34207.64</v>
      </c>
      <c r="S1387" s="21">
        <f>12222.22+21985.42</f>
        <v>34207.64</v>
      </c>
      <c r="T1387" s="21">
        <f>12222.22+21985.42</f>
        <v>34207.64</v>
      </c>
      <c r="U1387" s="29">
        <f>12222.24+21985.4</f>
        <v>34207.64</v>
      </c>
      <c r="V1387" s="21">
        <f>SUM(J1387:U1387)</f>
        <v>304937.36000000004</v>
      </c>
    </row>
    <row r="1388" spans="3:22" ht="14.25" customHeight="1" thickBot="1">
      <c r="C1388" s="6" t="s">
        <v>162</v>
      </c>
      <c r="J1388" s="22">
        <f aca="true" t="shared" si="166" ref="J1388:V1388">SUM(J1385:J1387)</f>
        <v>0</v>
      </c>
      <c r="K1388" s="22">
        <f t="shared" si="166"/>
        <v>0</v>
      </c>
      <c r="L1388" s="22">
        <f t="shared" si="166"/>
        <v>0</v>
      </c>
      <c r="M1388" s="22">
        <f t="shared" si="166"/>
        <v>34052.590000000004</v>
      </c>
      <c r="N1388" s="22">
        <f t="shared" si="166"/>
        <v>33865.090000000004</v>
      </c>
      <c r="O1388" s="22">
        <f t="shared" si="166"/>
        <v>33865.08</v>
      </c>
      <c r="P1388" s="22">
        <f t="shared" si="166"/>
        <v>34842.22</v>
      </c>
      <c r="Q1388" s="22">
        <f t="shared" si="166"/>
        <v>34842.22</v>
      </c>
      <c r="R1388" s="22">
        <f t="shared" si="166"/>
        <v>34842.22</v>
      </c>
      <c r="S1388" s="22">
        <f t="shared" si="166"/>
        <v>34842.22</v>
      </c>
      <c r="T1388" s="22">
        <f t="shared" si="166"/>
        <v>34842.22</v>
      </c>
      <c r="U1388" s="30">
        <f t="shared" si="166"/>
        <v>34842.22</v>
      </c>
      <c r="V1388" s="22">
        <f t="shared" si="166"/>
        <v>310836.08</v>
      </c>
    </row>
    <row r="1389" spans="3:22" ht="14.25" customHeight="1">
      <c r="C1389" s="10"/>
      <c r="J1389" s="47"/>
      <c r="K1389" s="47"/>
      <c r="L1389" s="47"/>
      <c r="M1389" s="47"/>
      <c r="N1389" s="47"/>
      <c r="O1389" s="47"/>
      <c r="P1389" s="47"/>
      <c r="Q1389" s="47"/>
      <c r="R1389" s="47"/>
      <c r="S1389" s="47"/>
      <c r="T1389" s="47"/>
      <c r="U1389" s="48"/>
      <c r="V1389" s="47"/>
    </row>
    <row r="1390" spans="1:3" ht="14.25" customHeight="1">
      <c r="A1390" s="14">
        <f>+A1384+1</f>
        <v>97</v>
      </c>
      <c r="C1390" s="5" t="s">
        <v>392</v>
      </c>
    </row>
    <row r="1391" spans="3:22" ht="14.25" customHeight="1">
      <c r="C1391" s="4" t="s">
        <v>3</v>
      </c>
      <c r="J1391" s="21">
        <v>0</v>
      </c>
      <c r="K1391" s="21">
        <v>0</v>
      </c>
      <c r="L1391" s="21">
        <v>0</v>
      </c>
      <c r="M1391" s="21">
        <v>0</v>
      </c>
      <c r="N1391" s="21">
        <v>2665</v>
      </c>
      <c r="O1391" s="21">
        <v>2665</v>
      </c>
      <c r="P1391" s="21">
        <v>2665</v>
      </c>
      <c r="Q1391" s="21">
        <v>2665</v>
      </c>
      <c r="R1391" s="21">
        <v>2665</v>
      </c>
      <c r="S1391" s="21">
        <v>2665</v>
      </c>
      <c r="T1391" s="21">
        <v>2665</v>
      </c>
      <c r="U1391" s="29">
        <v>2665</v>
      </c>
      <c r="V1391" s="21">
        <f>SUM(J1391:U1391)</f>
        <v>21320</v>
      </c>
    </row>
    <row r="1392" spans="3:22" ht="14.25" customHeight="1">
      <c r="C1392" s="4" t="s">
        <v>4</v>
      </c>
      <c r="J1392" s="45"/>
      <c r="K1392" s="45"/>
      <c r="N1392" s="45">
        <v>166.67</v>
      </c>
      <c r="V1392" s="21">
        <f>SUM(J1392:U1392)</f>
        <v>166.67</v>
      </c>
    </row>
    <row r="1393" spans="3:22" ht="14.25" customHeight="1" thickBot="1">
      <c r="C1393" s="4" t="s">
        <v>5</v>
      </c>
      <c r="J1393" s="21">
        <v>0</v>
      </c>
      <c r="K1393" s="21">
        <v>0</v>
      </c>
      <c r="L1393" s="21">
        <v>0</v>
      </c>
      <c r="M1393" s="21">
        <v>0</v>
      </c>
      <c r="N1393" s="21">
        <f>75000+189274.05</f>
        <v>264274.05</v>
      </c>
      <c r="O1393" s="21">
        <f>64583.33+80951.88</f>
        <v>145535.21000000002</v>
      </c>
      <c r="P1393" s="21">
        <f aca="true" t="shared" si="167" ref="P1393:U1393">64583.33+80951.88</f>
        <v>145535.21000000002</v>
      </c>
      <c r="Q1393" s="21">
        <f t="shared" si="167"/>
        <v>145535.21000000002</v>
      </c>
      <c r="R1393" s="21">
        <f t="shared" si="167"/>
        <v>145535.21000000002</v>
      </c>
      <c r="S1393" s="21">
        <f t="shared" si="167"/>
        <v>145535.21000000002</v>
      </c>
      <c r="T1393" s="21">
        <f t="shared" si="167"/>
        <v>145535.21000000002</v>
      </c>
      <c r="U1393" s="29">
        <f t="shared" si="167"/>
        <v>145535.21000000002</v>
      </c>
      <c r="V1393" s="21">
        <f>SUM(J1393:U1393)</f>
        <v>1283020.5199999998</v>
      </c>
    </row>
    <row r="1394" spans="3:22" ht="14.25" customHeight="1" thickBot="1">
      <c r="C1394" s="6" t="s">
        <v>64</v>
      </c>
      <c r="J1394" s="22">
        <f aca="true" t="shared" si="168" ref="J1394:V1394">SUM(J1391:J1393)</f>
        <v>0</v>
      </c>
      <c r="K1394" s="22">
        <f t="shared" si="168"/>
        <v>0</v>
      </c>
      <c r="L1394" s="22">
        <f t="shared" si="168"/>
        <v>0</v>
      </c>
      <c r="M1394" s="22">
        <f t="shared" si="168"/>
        <v>0</v>
      </c>
      <c r="N1394" s="22">
        <f t="shared" si="168"/>
        <v>267105.72</v>
      </c>
      <c r="O1394" s="22">
        <f t="shared" si="168"/>
        <v>148200.21000000002</v>
      </c>
      <c r="P1394" s="22">
        <f t="shared" si="168"/>
        <v>148200.21000000002</v>
      </c>
      <c r="Q1394" s="22">
        <f t="shared" si="168"/>
        <v>148200.21000000002</v>
      </c>
      <c r="R1394" s="22">
        <f t="shared" si="168"/>
        <v>148200.21000000002</v>
      </c>
      <c r="S1394" s="22">
        <f t="shared" si="168"/>
        <v>148200.21000000002</v>
      </c>
      <c r="T1394" s="22">
        <f t="shared" si="168"/>
        <v>148200.21000000002</v>
      </c>
      <c r="U1394" s="30">
        <f t="shared" si="168"/>
        <v>148200.21000000002</v>
      </c>
      <c r="V1394" s="22">
        <f t="shared" si="168"/>
        <v>1304507.1899999997</v>
      </c>
    </row>
    <row r="1395" spans="3:22" ht="14.25" customHeight="1">
      <c r="C1395" s="10"/>
      <c r="J1395" s="47"/>
      <c r="K1395" s="47"/>
      <c r="L1395" s="47"/>
      <c r="M1395" s="47"/>
      <c r="N1395" s="47"/>
      <c r="O1395" s="47"/>
      <c r="P1395" s="47"/>
      <c r="Q1395" s="47"/>
      <c r="R1395" s="47"/>
      <c r="S1395" s="47"/>
      <c r="T1395" s="47"/>
      <c r="U1395" s="48"/>
      <c r="V1395" s="47"/>
    </row>
    <row r="1396" spans="1:3" ht="14.25" customHeight="1">
      <c r="A1396" s="14">
        <f>+A1390+1</f>
        <v>98</v>
      </c>
      <c r="C1396" s="5" t="s">
        <v>393</v>
      </c>
    </row>
    <row r="1397" spans="3:22" ht="14.25" customHeight="1">
      <c r="C1397" s="4" t="s">
        <v>3</v>
      </c>
      <c r="J1397" s="21">
        <v>0</v>
      </c>
      <c r="K1397" s="21">
        <v>0</v>
      </c>
      <c r="L1397" s="21">
        <v>0</v>
      </c>
      <c r="M1397" s="21">
        <v>0</v>
      </c>
      <c r="N1397" s="21">
        <v>1491.5</v>
      </c>
      <c r="O1397" s="21">
        <v>1491.5</v>
      </c>
      <c r="P1397" s="21">
        <v>1491.5</v>
      </c>
      <c r="Q1397" s="21">
        <v>1491.5</v>
      </c>
      <c r="R1397" s="21">
        <v>1491.5</v>
      </c>
      <c r="S1397" s="21">
        <v>1491.5</v>
      </c>
      <c r="T1397" s="21">
        <v>1491.5</v>
      </c>
      <c r="U1397" s="29">
        <v>1491.5</v>
      </c>
      <c r="V1397" s="21">
        <f>SUM(J1397:U1397)</f>
        <v>11932</v>
      </c>
    </row>
    <row r="1398" spans="3:22" ht="14.25" customHeight="1">
      <c r="C1398" s="4" t="s">
        <v>4</v>
      </c>
      <c r="J1398" s="45"/>
      <c r="K1398" s="45"/>
      <c r="N1398" s="45">
        <v>166.67</v>
      </c>
      <c r="V1398" s="21">
        <f>SUM(J1398:U1398)</f>
        <v>166.67</v>
      </c>
    </row>
    <row r="1399" spans="3:22" ht="14.25" customHeight="1" thickBot="1">
      <c r="C1399" s="4" t="s">
        <v>5</v>
      </c>
      <c r="J1399" s="21">
        <v>0</v>
      </c>
      <c r="K1399" s="21">
        <v>0</v>
      </c>
      <c r="L1399" s="21">
        <v>0</v>
      </c>
      <c r="M1399" s="21">
        <v>0</v>
      </c>
      <c r="N1399" s="21">
        <f>36500+61968.89</f>
        <v>98468.89</v>
      </c>
      <c r="O1399" s="21">
        <f>36500+61968.89</f>
        <v>98468.89</v>
      </c>
      <c r="P1399" s="21">
        <f>36500+61968.89</f>
        <v>98468.89</v>
      </c>
      <c r="Q1399" s="21">
        <f>36500+61968.89</f>
        <v>98468.89</v>
      </c>
      <c r="R1399" s="21">
        <f>36500+50933.34</f>
        <v>87433.34</v>
      </c>
      <c r="S1399" s="21">
        <f>36500+50933.34</f>
        <v>87433.34</v>
      </c>
      <c r="T1399" s="21">
        <f>36500+50933.34</f>
        <v>87433.34</v>
      </c>
      <c r="U1399" s="29">
        <f>36500+50933.34</f>
        <v>87433.34</v>
      </c>
      <c r="V1399" s="21">
        <f>SUM(J1399:U1399)</f>
        <v>743608.9199999999</v>
      </c>
    </row>
    <row r="1400" spans="3:22" ht="14.25" customHeight="1" thickBot="1">
      <c r="C1400" s="6" t="s">
        <v>88</v>
      </c>
      <c r="J1400" s="22">
        <f aca="true" t="shared" si="169" ref="J1400:V1400">SUM(J1397:J1399)</f>
        <v>0</v>
      </c>
      <c r="K1400" s="22">
        <f t="shared" si="169"/>
        <v>0</v>
      </c>
      <c r="L1400" s="22">
        <f t="shared" si="169"/>
        <v>0</v>
      </c>
      <c r="M1400" s="22">
        <f t="shared" si="169"/>
        <v>0</v>
      </c>
      <c r="N1400" s="22">
        <f t="shared" si="169"/>
        <v>100127.06</v>
      </c>
      <c r="O1400" s="22">
        <f t="shared" si="169"/>
        <v>99960.39</v>
      </c>
      <c r="P1400" s="22">
        <f t="shared" si="169"/>
        <v>99960.39</v>
      </c>
      <c r="Q1400" s="22">
        <f t="shared" si="169"/>
        <v>99960.39</v>
      </c>
      <c r="R1400" s="22">
        <f t="shared" si="169"/>
        <v>88924.84</v>
      </c>
      <c r="S1400" s="22">
        <f t="shared" si="169"/>
        <v>88924.84</v>
      </c>
      <c r="T1400" s="22">
        <f t="shared" si="169"/>
        <v>88924.84</v>
      </c>
      <c r="U1400" s="30">
        <f t="shared" si="169"/>
        <v>88924.84</v>
      </c>
      <c r="V1400" s="22">
        <f t="shared" si="169"/>
        <v>755707.59</v>
      </c>
    </row>
    <row r="1401" spans="3:22" ht="14.25" customHeight="1">
      <c r="C1401" s="10"/>
      <c r="J1401" s="47"/>
      <c r="K1401" s="47"/>
      <c r="L1401" s="47"/>
      <c r="M1401" s="47"/>
      <c r="N1401" s="47"/>
      <c r="O1401" s="47"/>
      <c r="P1401" s="47"/>
      <c r="Q1401" s="47"/>
      <c r="R1401" s="47"/>
      <c r="S1401" s="47"/>
      <c r="T1401" s="47"/>
      <c r="U1401" s="48"/>
      <c r="V1401" s="47"/>
    </row>
    <row r="1402" spans="1:3" ht="14.25" customHeight="1">
      <c r="A1402" s="14">
        <f>+A1396+1</f>
        <v>99</v>
      </c>
      <c r="C1402" s="5" t="s">
        <v>394</v>
      </c>
    </row>
    <row r="1403" spans="3:22" ht="14.25" customHeight="1">
      <c r="C1403" s="4" t="s">
        <v>3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  <c r="Q1403" s="21">
        <v>0</v>
      </c>
      <c r="R1403" s="21">
        <v>0</v>
      </c>
      <c r="S1403" s="21">
        <v>0</v>
      </c>
      <c r="T1403" s="21">
        <v>0</v>
      </c>
      <c r="U1403" s="29">
        <v>0</v>
      </c>
      <c r="V1403" s="21">
        <f>SUM(J1403:U1403)</f>
        <v>0</v>
      </c>
    </row>
    <row r="1404" spans="3:22" ht="14.25" customHeight="1">
      <c r="C1404" s="4" t="s">
        <v>4</v>
      </c>
      <c r="J1404" s="45"/>
      <c r="K1404" s="45"/>
      <c r="N1404" s="45">
        <v>166.67</v>
      </c>
      <c r="V1404" s="21">
        <f>SUM(J1404:U1404)</f>
        <v>166.67</v>
      </c>
    </row>
    <row r="1405" spans="3:22" ht="14.25" customHeight="1" thickBot="1">
      <c r="C1405" s="4" t="s">
        <v>5</v>
      </c>
      <c r="J1405" s="21">
        <v>0</v>
      </c>
      <c r="K1405" s="21">
        <v>0</v>
      </c>
      <c r="L1405" s="21">
        <v>0</v>
      </c>
      <c r="M1405" s="21">
        <v>0</v>
      </c>
      <c r="N1405" s="21">
        <v>46662.78</v>
      </c>
      <c r="O1405" s="21">
        <v>46662.78</v>
      </c>
      <c r="P1405" s="21">
        <v>46662.78</v>
      </c>
      <c r="Q1405" s="21">
        <v>46662.78</v>
      </c>
      <c r="R1405" s="21">
        <v>46662.77</v>
      </c>
      <c r="S1405" s="21">
        <v>41416.66</v>
      </c>
      <c r="T1405" s="21">
        <v>41416.66</v>
      </c>
      <c r="U1405" s="29">
        <v>41416.66</v>
      </c>
      <c r="V1405" s="21">
        <f>SUM(J1405:U1405)</f>
        <v>357563.87</v>
      </c>
    </row>
    <row r="1406" spans="3:22" ht="14.25" customHeight="1" thickBot="1">
      <c r="C1406" s="6" t="s">
        <v>158</v>
      </c>
      <c r="J1406" s="22">
        <f aca="true" t="shared" si="170" ref="J1406:V1406">SUM(J1403:J1405)</f>
        <v>0</v>
      </c>
      <c r="K1406" s="22">
        <f t="shared" si="170"/>
        <v>0</v>
      </c>
      <c r="L1406" s="22">
        <f t="shared" si="170"/>
        <v>0</v>
      </c>
      <c r="M1406" s="22">
        <f t="shared" si="170"/>
        <v>0</v>
      </c>
      <c r="N1406" s="22">
        <f t="shared" si="170"/>
        <v>46829.45</v>
      </c>
      <c r="O1406" s="22">
        <f t="shared" si="170"/>
        <v>46662.78</v>
      </c>
      <c r="P1406" s="22">
        <f t="shared" si="170"/>
        <v>46662.78</v>
      </c>
      <c r="Q1406" s="22">
        <f t="shared" si="170"/>
        <v>46662.78</v>
      </c>
      <c r="R1406" s="22">
        <f t="shared" si="170"/>
        <v>46662.77</v>
      </c>
      <c r="S1406" s="22">
        <f t="shared" si="170"/>
        <v>41416.66</v>
      </c>
      <c r="T1406" s="22">
        <f t="shared" si="170"/>
        <v>41416.66</v>
      </c>
      <c r="U1406" s="30">
        <f t="shared" si="170"/>
        <v>41416.66</v>
      </c>
      <c r="V1406" s="22">
        <f t="shared" si="170"/>
        <v>357730.54</v>
      </c>
    </row>
    <row r="1407" spans="3:22" ht="14.25" customHeight="1">
      <c r="C1407" s="10"/>
      <c r="J1407" s="47"/>
      <c r="K1407" s="47"/>
      <c r="L1407" s="47"/>
      <c r="M1407" s="47"/>
      <c r="N1407" s="47"/>
      <c r="O1407" s="47"/>
      <c r="P1407" s="47"/>
      <c r="Q1407" s="47"/>
      <c r="R1407" s="47"/>
      <c r="S1407" s="47"/>
      <c r="T1407" s="47"/>
      <c r="U1407" s="48"/>
      <c r="V1407" s="47"/>
    </row>
    <row r="1408" spans="1:3" ht="14.25" customHeight="1">
      <c r="A1408" s="14">
        <f>+A1402+1</f>
        <v>100</v>
      </c>
      <c r="C1408" s="5" t="s">
        <v>395</v>
      </c>
    </row>
    <row r="1409" spans="3:22" ht="14.25" customHeight="1">
      <c r="C1409" s="4" t="s">
        <v>3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  <c r="Q1409" s="21">
        <v>0</v>
      </c>
      <c r="R1409" s="21">
        <v>0</v>
      </c>
      <c r="S1409" s="21">
        <v>0</v>
      </c>
      <c r="T1409" s="21">
        <v>0</v>
      </c>
      <c r="U1409" s="29">
        <v>0</v>
      </c>
      <c r="V1409" s="21">
        <f>SUM(J1409:U1409)</f>
        <v>0</v>
      </c>
    </row>
    <row r="1410" spans="3:22" ht="14.25" customHeight="1">
      <c r="C1410" s="4" t="s">
        <v>4</v>
      </c>
      <c r="J1410" s="45"/>
      <c r="K1410" s="45"/>
      <c r="N1410" s="45">
        <v>166.67</v>
      </c>
      <c r="V1410" s="21">
        <f>SUM(J1410:U1410)</f>
        <v>166.67</v>
      </c>
    </row>
    <row r="1411" spans="3:22" ht="14.25" customHeight="1" thickBot="1">
      <c r="C1411" s="4" t="s">
        <v>5</v>
      </c>
      <c r="J1411" s="21">
        <v>0</v>
      </c>
      <c r="K1411" s="21">
        <v>0</v>
      </c>
      <c r="L1411" s="21">
        <v>0</v>
      </c>
      <c r="M1411" s="21">
        <v>0</v>
      </c>
      <c r="N1411" s="21">
        <v>24533.75</v>
      </c>
      <c r="O1411" s="21">
        <v>24533.75</v>
      </c>
      <c r="P1411" s="21">
        <v>24533.75</v>
      </c>
      <c r="Q1411" s="21">
        <v>24533.75</v>
      </c>
      <c r="R1411" s="21">
        <v>24533.75</v>
      </c>
      <c r="S1411" s="21">
        <v>24533.75</v>
      </c>
      <c r="T1411" s="21">
        <v>24533.75</v>
      </c>
      <c r="U1411" s="29">
        <v>38035.89</v>
      </c>
      <c r="V1411" s="21">
        <f>SUM(J1411:U1411)</f>
        <v>209772.14</v>
      </c>
    </row>
    <row r="1412" spans="3:22" ht="14.25" customHeight="1" thickBot="1">
      <c r="C1412" s="6" t="s">
        <v>396</v>
      </c>
      <c r="J1412" s="22">
        <f aca="true" t="shared" si="171" ref="J1412:V1412">SUM(J1409:J1411)</f>
        <v>0</v>
      </c>
      <c r="K1412" s="22">
        <f t="shared" si="171"/>
        <v>0</v>
      </c>
      <c r="L1412" s="22">
        <f t="shared" si="171"/>
        <v>0</v>
      </c>
      <c r="M1412" s="22">
        <f t="shared" si="171"/>
        <v>0</v>
      </c>
      <c r="N1412" s="22">
        <f t="shared" si="171"/>
        <v>24700.42</v>
      </c>
      <c r="O1412" s="22">
        <f t="shared" si="171"/>
        <v>24533.75</v>
      </c>
      <c r="P1412" s="22">
        <f t="shared" si="171"/>
        <v>24533.75</v>
      </c>
      <c r="Q1412" s="22">
        <f t="shared" si="171"/>
        <v>24533.75</v>
      </c>
      <c r="R1412" s="22">
        <f t="shared" si="171"/>
        <v>24533.75</v>
      </c>
      <c r="S1412" s="22">
        <f t="shared" si="171"/>
        <v>24533.75</v>
      </c>
      <c r="T1412" s="22">
        <f t="shared" si="171"/>
        <v>24533.75</v>
      </c>
      <c r="U1412" s="30">
        <f t="shared" si="171"/>
        <v>38035.89</v>
      </c>
      <c r="V1412" s="22">
        <f t="shared" si="171"/>
        <v>209938.81000000003</v>
      </c>
    </row>
    <row r="1413" spans="3:22" ht="14.25" customHeight="1">
      <c r="C1413" s="10"/>
      <c r="J1413" s="47"/>
      <c r="K1413" s="47"/>
      <c r="L1413" s="47"/>
      <c r="M1413" s="47"/>
      <c r="N1413" s="47"/>
      <c r="O1413" s="47"/>
      <c r="P1413" s="47"/>
      <c r="Q1413" s="47"/>
      <c r="R1413" s="47"/>
      <c r="S1413" s="47"/>
      <c r="T1413" s="47"/>
      <c r="U1413" s="48"/>
      <c r="V1413" s="47"/>
    </row>
    <row r="1414" spans="1:3" ht="14.25" customHeight="1">
      <c r="A1414" s="14">
        <f>+A1408+1</f>
        <v>101</v>
      </c>
      <c r="B1414" s="1" t="s">
        <v>248</v>
      </c>
      <c r="C1414" s="5" t="s">
        <v>399</v>
      </c>
    </row>
    <row r="1415" spans="3:22" ht="14.25" customHeight="1">
      <c r="C1415" s="4" t="s">
        <v>3</v>
      </c>
      <c r="J1415" s="21">
        <v>0</v>
      </c>
      <c r="K1415" s="21">
        <v>0</v>
      </c>
      <c r="L1415" s="21">
        <v>0</v>
      </c>
      <c r="M1415" s="21">
        <v>0</v>
      </c>
      <c r="N1415" s="21">
        <v>0</v>
      </c>
      <c r="O1415" s="21">
        <v>0</v>
      </c>
      <c r="P1415" s="21">
        <v>0</v>
      </c>
      <c r="Q1415" s="21">
        <v>0</v>
      </c>
      <c r="R1415" s="21">
        <v>0</v>
      </c>
      <c r="S1415" s="21">
        <v>0</v>
      </c>
      <c r="T1415" s="21">
        <v>0</v>
      </c>
      <c r="U1415" s="29">
        <v>0</v>
      </c>
      <c r="V1415" s="21">
        <f>SUM(J1415:U1415)</f>
        <v>0</v>
      </c>
    </row>
    <row r="1416" spans="3:22" ht="14.25" customHeight="1">
      <c r="C1416" s="4" t="s">
        <v>4</v>
      </c>
      <c r="J1416" s="45"/>
      <c r="K1416" s="45"/>
      <c r="N1416" s="45"/>
      <c r="P1416" s="45">
        <v>62.5</v>
      </c>
      <c r="V1416" s="21">
        <f>SUM(J1416:U1416)</f>
        <v>62.5</v>
      </c>
    </row>
    <row r="1417" spans="3:22" ht="14.25" customHeight="1" thickBot="1">
      <c r="C1417" s="4" t="s">
        <v>5</v>
      </c>
      <c r="J1417" s="21">
        <v>0</v>
      </c>
      <c r="K1417" s="21">
        <v>0</v>
      </c>
      <c r="L1417" s="21">
        <v>0</v>
      </c>
      <c r="M1417" s="21">
        <v>0</v>
      </c>
      <c r="N1417" s="21">
        <v>0</v>
      </c>
      <c r="O1417" s="21">
        <v>0</v>
      </c>
      <c r="P1417" s="21">
        <f>29285.71+55956.33</f>
        <v>85242.04000000001</v>
      </c>
      <c r="Q1417" s="21">
        <f>29285.71+55956.33</f>
        <v>85242.04000000001</v>
      </c>
      <c r="R1417" s="21">
        <f>29285.71+55956.33</f>
        <v>85242.04000000001</v>
      </c>
      <c r="S1417" s="21">
        <f>29285.71+55956.33</f>
        <v>85242.04000000001</v>
      </c>
      <c r="T1417" s="21">
        <f>29285.71+55956.33</f>
        <v>85242.04000000001</v>
      </c>
      <c r="U1417" s="29">
        <f>29285.74+55956.35</f>
        <v>85242.09</v>
      </c>
      <c r="V1417" s="21">
        <f>SUM(J1417:U1417)</f>
        <v>511452.29000000004</v>
      </c>
    </row>
    <row r="1418" spans="3:22" ht="14.25" customHeight="1" thickBot="1">
      <c r="C1418" s="6" t="s">
        <v>400</v>
      </c>
      <c r="J1418" s="22">
        <f aca="true" t="shared" si="172" ref="J1418:V1418">SUM(J1415:J1417)</f>
        <v>0</v>
      </c>
      <c r="K1418" s="22">
        <f t="shared" si="172"/>
        <v>0</v>
      </c>
      <c r="L1418" s="22">
        <f t="shared" si="172"/>
        <v>0</v>
      </c>
      <c r="M1418" s="22">
        <f t="shared" si="172"/>
        <v>0</v>
      </c>
      <c r="N1418" s="22">
        <f t="shared" si="172"/>
        <v>0</v>
      </c>
      <c r="O1418" s="22">
        <f t="shared" si="172"/>
        <v>0</v>
      </c>
      <c r="P1418" s="22">
        <f t="shared" si="172"/>
        <v>85304.54000000001</v>
      </c>
      <c r="Q1418" s="22">
        <f t="shared" si="172"/>
        <v>85242.04000000001</v>
      </c>
      <c r="R1418" s="22">
        <f t="shared" si="172"/>
        <v>85242.04000000001</v>
      </c>
      <c r="S1418" s="22">
        <f t="shared" si="172"/>
        <v>85242.04000000001</v>
      </c>
      <c r="T1418" s="22">
        <f t="shared" si="172"/>
        <v>85242.04000000001</v>
      </c>
      <c r="U1418" s="30">
        <f t="shared" si="172"/>
        <v>85242.09</v>
      </c>
      <c r="V1418" s="22">
        <f t="shared" si="172"/>
        <v>511514.79000000004</v>
      </c>
    </row>
    <row r="1419" spans="3:22" ht="14.25" customHeight="1">
      <c r="C1419" s="10"/>
      <c r="J1419" s="47"/>
      <c r="K1419" s="47"/>
      <c r="L1419" s="47"/>
      <c r="M1419" s="47"/>
      <c r="N1419" s="47"/>
      <c r="O1419" s="47"/>
      <c r="P1419" s="47"/>
      <c r="Q1419" s="47"/>
      <c r="R1419" s="47"/>
      <c r="S1419" s="47"/>
      <c r="T1419" s="47"/>
      <c r="U1419" s="48"/>
      <c r="V1419" s="47"/>
    </row>
    <row r="1420" spans="1:3" ht="14.25" customHeight="1">
      <c r="A1420" s="14">
        <f>A1414</f>
        <v>101</v>
      </c>
      <c r="B1420" s="1" t="s">
        <v>249</v>
      </c>
      <c r="C1420" s="5" t="s">
        <v>401</v>
      </c>
    </row>
    <row r="1421" spans="3:22" ht="14.25" customHeight="1">
      <c r="C1421" s="4" t="s">
        <v>3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  <c r="Q1421" s="21">
        <v>0</v>
      </c>
      <c r="R1421" s="21">
        <v>0</v>
      </c>
      <c r="S1421" s="21">
        <v>0</v>
      </c>
      <c r="T1421" s="21">
        <v>0</v>
      </c>
      <c r="U1421" s="29">
        <v>0</v>
      </c>
      <c r="V1421" s="21">
        <f>SUM(J1421:U1421)</f>
        <v>0</v>
      </c>
    </row>
    <row r="1422" spans="3:22" ht="14.25" customHeight="1">
      <c r="C1422" s="4" t="s">
        <v>4</v>
      </c>
      <c r="J1422" s="45"/>
      <c r="K1422" s="45"/>
      <c r="N1422" s="45"/>
      <c r="P1422" s="45">
        <v>62.5</v>
      </c>
      <c r="V1422" s="21">
        <f>SUM(J1422:U1422)</f>
        <v>62.5</v>
      </c>
    </row>
    <row r="1423" spans="3:22" ht="14.25" customHeight="1" thickBot="1">
      <c r="C1423" s="4" t="s">
        <v>5</v>
      </c>
      <c r="J1423" s="21">
        <v>0</v>
      </c>
      <c r="K1423" s="21">
        <v>0</v>
      </c>
      <c r="L1423" s="21">
        <v>0</v>
      </c>
      <c r="M1423" s="21">
        <v>0</v>
      </c>
      <c r="N1423" s="21">
        <v>0</v>
      </c>
      <c r="O1423" s="21">
        <v>0</v>
      </c>
      <c r="P1423" s="21">
        <v>28500</v>
      </c>
      <c r="Q1423" s="21">
        <v>28500</v>
      </c>
      <c r="R1423" s="21">
        <v>28500</v>
      </c>
      <c r="S1423" s="21">
        <v>28500</v>
      </c>
      <c r="T1423" s="21">
        <v>28500</v>
      </c>
      <c r="U1423" s="29">
        <v>28500</v>
      </c>
      <c r="V1423" s="21">
        <f>SUM(J1423:U1423)</f>
        <v>171000</v>
      </c>
    </row>
    <row r="1424" spans="3:22" ht="14.25" customHeight="1" thickBot="1">
      <c r="C1424" s="6" t="s">
        <v>400</v>
      </c>
      <c r="J1424" s="22">
        <f aca="true" t="shared" si="173" ref="J1424:V1424">SUM(J1421:J1423)</f>
        <v>0</v>
      </c>
      <c r="K1424" s="22">
        <f t="shared" si="173"/>
        <v>0</v>
      </c>
      <c r="L1424" s="22">
        <f t="shared" si="173"/>
        <v>0</v>
      </c>
      <c r="M1424" s="22">
        <f t="shared" si="173"/>
        <v>0</v>
      </c>
      <c r="N1424" s="22">
        <f t="shared" si="173"/>
        <v>0</v>
      </c>
      <c r="O1424" s="22">
        <f t="shared" si="173"/>
        <v>0</v>
      </c>
      <c r="P1424" s="22">
        <f t="shared" si="173"/>
        <v>28562.5</v>
      </c>
      <c r="Q1424" s="22">
        <f t="shared" si="173"/>
        <v>28500</v>
      </c>
      <c r="R1424" s="22">
        <f t="shared" si="173"/>
        <v>28500</v>
      </c>
      <c r="S1424" s="22">
        <f t="shared" si="173"/>
        <v>28500</v>
      </c>
      <c r="T1424" s="22">
        <f t="shared" si="173"/>
        <v>28500</v>
      </c>
      <c r="U1424" s="30">
        <f t="shared" si="173"/>
        <v>28500</v>
      </c>
      <c r="V1424" s="22">
        <f t="shared" si="173"/>
        <v>171062.5</v>
      </c>
    </row>
    <row r="1425" spans="3:22" ht="14.25" customHeight="1">
      <c r="C1425" s="10"/>
      <c r="J1425" s="47"/>
      <c r="K1425" s="47"/>
      <c r="L1425" s="47"/>
      <c r="M1425" s="47"/>
      <c r="N1425" s="47"/>
      <c r="O1425" s="47"/>
      <c r="P1425" s="47"/>
      <c r="Q1425" s="47"/>
      <c r="R1425" s="47"/>
      <c r="S1425" s="47"/>
      <c r="T1425" s="47"/>
      <c r="U1425" s="48"/>
      <c r="V1425" s="47"/>
    </row>
    <row r="1426" spans="1:3" ht="14.25" customHeight="1">
      <c r="A1426" s="14">
        <f>+A1420+1</f>
        <v>102</v>
      </c>
      <c r="B1426" s="1" t="s">
        <v>248</v>
      </c>
      <c r="C1426" s="5" t="s">
        <v>402</v>
      </c>
    </row>
    <row r="1427" spans="3:22" ht="14.25" customHeight="1">
      <c r="C1427" s="4" t="s">
        <v>3</v>
      </c>
      <c r="J1427" s="21">
        <v>0</v>
      </c>
      <c r="K1427" s="21">
        <v>0</v>
      </c>
      <c r="L1427" s="21">
        <v>0</v>
      </c>
      <c r="M1427" s="21">
        <v>0</v>
      </c>
      <c r="N1427" s="21">
        <v>0</v>
      </c>
      <c r="O1427" s="21">
        <v>0</v>
      </c>
      <c r="P1427" s="21">
        <v>0</v>
      </c>
      <c r="Q1427" s="21">
        <v>0</v>
      </c>
      <c r="R1427" s="21">
        <v>0</v>
      </c>
      <c r="S1427" s="21">
        <v>0</v>
      </c>
      <c r="T1427" s="21">
        <v>0</v>
      </c>
      <c r="U1427" s="29">
        <v>0</v>
      </c>
      <c r="V1427" s="21">
        <f>SUM(J1427:U1427)</f>
        <v>0</v>
      </c>
    </row>
    <row r="1428" spans="3:22" ht="14.25" customHeight="1">
      <c r="C1428" s="4" t="s">
        <v>4</v>
      </c>
      <c r="J1428" s="45"/>
      <c r="K1428" s="45"/>
      <c r="N1428" s="45"/>
      <c r="P1428" s="45">
        <v>62.5</v>
      </c>
      <c r="V1428" s="21">
        <f>SUM(J1428:U1428)</f>
        <v>62.5</v>
      </c>
    </row>
    <row r="1429" spans="3:22" ht="14.25" customHeight="1" thickBot="1">
      <c r="C1429" s="4" t="s">
        <v>5</v>
      </c>
      <c r="J1429" s="21">
        <v>0</v>
      </c>
      <c r="K1429" s="21">
        <v>0</v>
      </c>
      <c r="L1429" s="21">
        <v>0</v>
      </c>
      <c r="M1429" s="21">
        <v>0</v>
      </c>
      <c r="N1429" s="21">
        <v>0</v>
      </c>
      <c r="O1429" s="21">
        <v>0</v>
      </c>
      <c r="P1429" s="21">
        <v>20992.34</v>
      </c>
      <c r="Q1429" s="21">
        <v>20992.34</v>
      </c>
      <c r="R1429" s="21">
        <v>20992.34</v>
      </c>
      <c r="S1429" s="21">
        <v>20992.34</v>
      </c>
      <c r="T1429" s="21">
        <v>20992.34</v>
      </c>
      <c r="U1429" s="29">
        <v>20992.36</v>
      </c>
      <c r="V1429" s="21">
        <f>SUM(J1429:U1429)</f>
        <v>125954.06</v>
      </c>
    </row>
    <row r="1430" spans="3:22" ht="14.25" customHeight="1" thickBot="1">
      <c r="C1430" s="6" t="s">
        <v>403</v>
      </c>
      <c r="J1430" s="22">
        <f aca="true" t="shared" si="174" ref="J1430:V1430">SUM(J1427:J1429)</f>
        <v>0</v>
      </c>
      <c r="K1430" s="22">
        <f t="shared" si="174"/>
        <v>0</v>
      </c>
      <c r="L1430" s="22">
        <f t="shared" si="174"/>
        <v>0</v>
      </c>
      <c r="M1430" s="22">
        <f t="shared" si="174"/>
        <v>0</v>
      </c>
      <c r="N1430" s="22">
        <f t="shared" si="174"/>
        <v>0</v>
      </c>
      <c r="O1430" s="22">
        <f t="shared" si="174"/>
        <v>0</v>
      </c>
      <c r="P1430" s="22">
        <f t="shared" si="174"/>
        <v>21054.84</v>
      </c>
      <c r="Q1430" s="22">
        <f t="shared" si="174"/>
        <v>20992.34</v>
      </c>
      <c r="R1430" s="22">
        <f t="shared" si="174"/>
        <v>20992.34</v>
      </c>
      <c r="S1430" s="22">
        <f t="shared" si="174"/>
        <v>20992.34</v>
      </c>
      <c r="T1430" s="22">
        <f t="shared" si="174"/>
        <v>20992.34</v>
      </c>
      <c r="U1430" s="30">
        <f t="shared" si="174"/>
        <v>20992.36</v>
      </c>
      <c r="V1430" s="22">
        <f t="shared" si="174"/>
        <v>126016.56</v>
      </c>
    </row>
    <row r="1431" spans="3:22" ht="14.25" customHeight="1">
      <c r="C1431" s="10"/>
      <c r="J1431" s="47"/>
      <c r="K1431" s="47"/>
      <c r="L1431" s="47"/>
      <c r="M1431" s="47"/>
      <c r="N1431" s="47"/>
      <c r="O1431" s="47"/>
      <c r="P1431" s="47"/>
      <c r="Q1431" s="47"/>
      <c r="R1431" s="47"/>
      <c r="S1431" s="47"/>
      <c r="T1431" s="47"/>
      <c r="U1431" s="48"/>
      <c r="V1431" s="47"/>
    </row>
    <row r="1432" spans="1:3" ht="14.25" customHeight="1">
      <c r="A1432" s="14">
        <f>A1426</f>
        <v>102</v>
      </c>
      <c r="B1432" s="1" t="s">
        <v>249</v>
      </c>
      <c r="C1432" s="5" t="s">
        <v>404</v>
      </c>
    </row>
    <row r="1433" spans="3:22" ht="14.25" customHeight="1">
      <c r="C1433" s="4" t="s">
        <v>3</v>
      </c>
      <c r="J1433" s="21">
        <v>0</v>
      </c>
      <c r="K1433" s="21">
        <v>0</v>
      </c>
      <c r="L1433" s="21">
        <v>0</v>
      </c>
      <c r="M1433" s="21">
        <v>0</v>
      </c>
      <c r="N1433" s="21">
        <v>0</v>
      </c>
      <c r="O1433" s="21">
        <v>0</v>
      </c>
      <c r="P1433" s="21">
        <v>0</v>
      </c>
      <c r="Q1433" s="21">
        <v>0</v>
      </c>
      <c r="R1433" s="21">
        <v>0</v>
      </c>
      <c r="S1433" s="21">
        <v>0</v>
      </c>
      <c r="T1433" s="21">
        <v>0</v>
      </c>
      <c r="U1433" s="29">
        <v>0</v>
      </c>
      <c r="V1433" s="21">
        <f>SUM(J1433:U1433)</f>
        <v>0</v>
      </c>
    </row>
    <row r="1434" spans="3:22" ht="14.25" customHeight="1">
      <c r="C1434" s="4" t="s">
        <v>4</v>
      </c>
      <c r="J1434" s="45"/>
      <c r="K1434" s="45"/>
      <c r="N1434" s="45"/>
      <c r="P1434" s="45">
        <v>62.5</v>
      </c>
      <c r="V1434" s="21">
        <f>SUM(J1434:U1434)</f>
        <v>62.5</v>
      </c>
    </row>
    <row r="1435" spans="3:22" ht="14.25" customHeight="1" thickBot="1">
      <c r="C1435" s="4" t="s">
        <v>5</v>
      </c>
      <c r="J1435" s="21">
        <v>0</v>
      </c>
      <c r="K1435" s="21">
        <v>0</v>
      </c>
      <c r="L1435" s="21">
        <v>0</v>
      </c>
      <c r="M1435" s="21">
        <v>0</v>
      </c>
      <c r="N1435" s="21">
        <v>0</v>
      </c>
      <c r="O1435" s="21">
        <v>0</v>
      </c>
      <c r="P1435" s="21">
        <v>4186.88</v>
      </c>
      <c r="Q1435" s="21">
        <v>4186.88</v>
      </c>
      <c r="R1435" s="21">
        <v>4186.88</v>
      </c>
      <c r="S1435" s="21">
        <v>4186.88</v>
      </c>
      <c r="T1435" s="21">
        <v>4186.88</v>
      </c>
      <c r="U1435" s="29">
        <v>4186.85</v>
      </c>
      <c r="V1435" s="21">
        <f>SUM(J1435:U1435)</f>
        <v>25121.25</v>
      </c>
    </row>
    <row r="1436" spans="3:22" ht="14.25" customHeight="1" thickBot="1">
      <c r="C1436" s="6" t="s">
        <v>403</v>
      </c>
      <c r="J1436" s="22">
        <f aca="true" t="shared" si="175" ref="J1436:V1436">SUM(J1433:J1435)</f>
        <v>0</v>
      </c>
      <c r="K1436" s="22">
        <f t="shared" si="175"/>
        <v>0</v>
      </c>
      <c r="L1436" s="22">
        <f t="shared" si="175"/>
        <v>0</v>
      </c>
      <c r="M1436" s="22">
        <f t="shared" si="175"/>
        <v>0</v>
      </c>
      <c r="N1436" s="22">
        <f t="shared" si="175"/>
        <v>0</v>
      </c>
      <c r="O1436" s="22">
        <f t="shared" si="175"/>
        <v>0</v>
      </c>
      <c r="P1436" s="22">
        <f t="shared" si="175"/>
        <v>4249.38</v>
      </c>
      <c r="Q1436" s="22">
        <f t="shared" si="175"/>
        <v>4186.88</v>
      </c>
      <c r="R1436" s="22">
        <f t="shared" si="175"/>
        <v>4186.88</v>
      </c>
      <c r="S1436" s="22">
        <f t="shared" si="175"/>
        <v>4186.88</v>
      </c>
      <c r="T1436" s="22">
        <f t="shared" si="175"/>
        <v>4186.88</v>
      </c>
      <c r="U1436" s="30">
        <f t="shared" si="175"/>
        <v>4186.85</v>
      </c>
      <c r="V1436" s="22">
        <f t="shared" si="175"/>
        <v>25183.75</v>
      </c>
    </row>
    <row r="1437" spans="3:22" ht="14.25" customHeight="1">
      <c r="C1437" s="10"/>
      <c r="J1437" s="47"/>
      <c r="K1437" s="47"/>
      <c r="L1437" s="47"/>
      <c r="M1437" s="47"/>
      <c r="N1437" s="47"/>
      <c r="O1437" s="47"/>
      <c r="P1437" s="47"/>
      <c r="Q1437" s="47"/>
      <c r="R1437" s="47"/>
      <c r="S1437" s="47"/>
      <c r="T1437" s="47"/>
      <c r="U1437" s="48"/>
      <c r="V1437" s="47"/>
    </row>
    <row r="1438" spans="1:3" ht="14.25" customHeight="1">
      <c r="A1438" s="14">
        <f>+A1432+1</f>
        <v>103</v>
      </c>
      <c r="C1438" s="5" t="s">
        <v>405</v>
      </c>
    </row>
    <row r="1439" spans="3:22" ht="14.25" customHeight="1">
      <c r="C1439" s="4" t="s">
        <v>3</v>
      </c>
      <c r="J1439" s="21">
        <v>0</v>
      </c>
      <c r="K1439" s="21">
        <v>0</v>
      </c>
      <c r="L1439" s="21">
        <v>0</v>
      </c>
      <c r="M1439" s="21">
        <v>0</v>
      </c>
      <c r="N1439" s="21">
        <v>0</v>
      </c>
      <c r="O1439" s="21">
        <v>0</v>
      </c>
      <c r="P1439" s="21">
        <v>0</v>
      </c>
      <c r="Q1439" s="21">
        <v>0</v>
      </c>
      <c r="R1439" s="21">
        <v>0</v>
      </c>
      <c r="S1439" s="21">
        <v>0</v>
      </c>
      <c r="T1439" s="21">
        <v>0</v>
      </c>
      <c r="U1439" s="29">
        <v>0</v>
      </c>
      <c r="V1439" s="21">
        <f>SUM(J1439:U1439)</f>
        <v>0</v>
      </c>
    </row>
    <row r="1440" spans="3:22" ht="14.25" customHeight="1">
      <c r="C1440" s="4" t="s">
        <v>4</v>
      </c>
      <c r="J1440" s="45"/>
      <c r="K1440" s="45"/>
      <c r="N1440" s="45"/>
      <c r="P1440" s="45">
        <v>125</v>
      </c>
      <c r="V1440" s="21">
        <f>SUM(J1440:U1440)</f>
        <v>125</v>
      </c>
    </row>
    <row r="1441" spans="3:22" ht="14.25" customHeight="1" thickBot="1">
      <c r="C1441" s="4" t="s">
        <v>5</v>
      </c>
      <c r="J1441" s="21">
        <v>0</v>
      </c>
      <c r="K1441" s="21">
        <v>0</v>
      </c>
      <c r="L1441" s="21">
        <v>0</v>
      </c>
      <c r="M1441" s="21">
        <v>0</v>
      </c>
      <c r="N1441" s="21">
        <v>0</v>
      </c>
      <c r="O1441" s="21">
        <v>0</v>
      </c>
      <c r="P1441" s="21">
        <f>22500+79317.45</f>
        <v>101817.45</v>
      </c>
      <c r="Q1441" s="21">
        <f>22500+79317.45</f>
        <v>101817.45</v>
      </c>
      <c r="R1441" s="21">
        <f>22500+79317.45</f>
        <v>101817.45</v>
      </c>
      <c r="S1441" s="21">
        <f>22500+79317.45</f>
        <v>101817.45</v>
      </c>
      <c r="T1441" s="21">
        <f>22500+79317.45</f>
        <v>101817.45</v>
      </c>
      <c r="U1441" s="29">
        <f>22500+79317.47</f>
        <v>101817.47</v>
      </c>
      <c r="V1441" s="21">
        <f>SUM(J1441:U1441)</f>
        <v>610904.72</v>
      </c>
    </row>
    <row r="1442" spans="3:22" ht="14.25" customHeight="1" thickBot="1">
      <c r="C1442" s="6" t="s">
        <v>406</v>
      </c>
      <c r="J1442" s="22">
        <f aca="true" t="shared" si="176" ref="J1442:V1442">SUM(J1439:J1441)</f>
        <v>0</v>
      </c>
      <c r="K1442" s="22">
        <f t="shared" si="176"/>
        <v>0</v>
      </c>
      <c r="L1442" s="22">
        <f t="shared" si="176"/>
        <v>0</v>
      </c>
      <c r="M1442" s="22">
        <f t="shared" si="176"/>
        <v>0</v>
      </c>
      <c r="N1442" s="22">
        <f t="shared" si="176"/>
        <v>0</v>
      </c>
      <c r="O1442" s="22">
        <f t="shared" si="176"/>
        <v>0</v>
      </c>
      <c r="P1442" s="22">
        <f t="shared" si="176"/>
        <v>101942.45</v>
      </c>
      <c r="Q1442" s="22">
        <f t="shared" si="176"/>
        <v>101817.45</v>
      </c>
      <c r="R1442" s="22">
        <f t="shared" si="176"/>
        <v>101817.45</v>
      </c>
      <c r="S1442" s="22">
        <f t="shared" si="176"/>
        <v>101817.45</v>
      </c>
      <c r="T1442" s="22">
        <f t="shared" si="176"/>
        <v>101817.45</v>
      </c>
      <c r="U1442" s="30">
        <f t="shared" si="176"/>
        <v>101817.47</v>
      </c>
      <c r="V1442" s="22">
        <f t="shared" si="176"/>
        <v>611029.72</v>
      </c>
    </row>
    <row r="1443" spans="3:22" ht="14.25" customHeight="1">
      <c r="C1443" s="10"/>
      <c r="J1443" s="47"/>
      <c r="K1443" s="47"/>
      <c r="L1443" s="47"/>
      <c r="M1443" s="47"/>
      <c r="N1443" s="47"/>
      <c r="O1443" s="47"/>
      <c r="P1443" s="47"/>
      <c r="Q1443" s="47"/>
      <c r="R1443" s="47"/>
      <c r="S1443" s="47"/>
      <c r="T1443" s="47"/>
      <c r="U1443" s="48"/>
      <c r="V1443" s="47"/>
    </row>
    <row r="1444" spans="1:3" ht="14.25" customHeight="1">
      <c r="A1444" s="14">
        <f>+A1438+1</f>
        <v>104</v>
      </c>
      <c r="C1444" s="5" t="s">
        <v>407</v>
      </c>
    </row>
    <row r="1445" spans="3:22" ht="14.25" customHeight="1">
      <c r="C1445" s="4" t="s">
        <v>3</v>
      </c>
      <c r="J1445" s="21">
        <v>0</v>
      </c>
      <c r="K1445" s="21">
        <v>0</v>
      </c>
      <c r="L1445" s="21">
        <v>0</v>
      </c>
      <c r="M1445" s="21">
        <v>0</v>
      </c>
      <c r="N1445" s="21">
        <v>0</v>
      </c>
      <c r="O1445" s="21">
        <v>0</v>
      </c>
      <c r="P1445" s="21">
        <v>0</v>
      </c>
      <c r="Q1445" s="21">
        <v>0</v>
      </c>
      <c r="R1445" s="21">
        <v>0</v>
      </c>
      <c r="S1445" s="21">
        <v>0</v>
      </c>
      <c r="T1445" s="21">
        <v>0</v>
      </c>
      <c r="U1445" s="29">
        <v>0</v>
      </c>
      <c r="V1445" s="21">
        <f>SUM(J1445:U1445)</f>
        <v>0</v>
      </c>
    </row>
    <row r="1446" spans="3:22" ht="14.25" customHeight="1">
      <c r="C1446" s="4" t="s">
        <v>4</v>
      </c>
      <c r="J1446" s="45"/>
      <c r="K1446" s="45"/>
      <c r="N1446" s="45"/>
      <c r="P1446" s="45"/>
      <c r="Q1446" s="45">
        <v>104.17</v>
      </c>
      <c r="V1446" s="21">
        <f>SUM(J1446:U1446)</f>
        <v>104.17</v>
      </c>
    </row>
    <row r="1447" spans="3:22" ht="14.25" customHeight="1" thickBot="1">
      <c r="C1447" s="4" t="s">
        <v>5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  <c r="Q1447" s="21">
        <v>39475.34</v>
      </c>
      <c r="R1447" s="21">
        <v>39475.34</v>
      </c>
      <c r="S1447" s="21">
        <v>39475.34</v>
      </c>
      <c r="T1447" s="21">
        <v>39475.34</v>
      </c>
      <c r="U1447" s="29">
        <v>39475.31</v>
      </c>
      <c r="V1447" s="21">
        <f>SUM(J1447:U1447)</f>
        <v>197376.66999999998</v>
      </c>
    </row>
    <row r="1448" spans="3:22" ht="14.25" customHeight="1" thickBot="1">
      <c r="C1448" s="6" t="s">
        <v>342</v>
      </c>
      <c r="J1448" s="22">
        <f aca="true" t="shared" si="177" ref="J1448:V1448">SUM(J1445:J1447)</f>
        <v>0</v>
      </c>
      <c r="K1448" s="22">
        <f t="shared" si="177"/>
        <v>0</v>
      </c>
      <c r="L1448" s="22">
        <f t="shared" si="177"/>
        <v>0</v>
      </c>
      <c r="M1448" s="22">
        <f t="shared" si="177"/>
        <v>0</v>
      </c>
      <c r="N1448" s="22">
        <f t="shared" si="177"/>
        <v>0</v>
      </c>
      <c r="O1448" s="22">
        <f t="shared" si="177"/>
        <v>0</v>
      </c>
      <c r="P1448" s="22">
        <f t="shared" si="177"/>
        <v>0</v>
      </c>
      <c r="Q1448" s="22">
        <f t="shared" si="177"/>
        <v>39579.509999999995</v>
      </c>
      <c r="R1448" s="22">
        <f t="shared" si="177"/>
        <v>39475.34</v>
      </c>
      <c r="S1448" s="22">
        <f t="shared" si="177"/>
        <v>39475.34</v>
      </c>
      <c r="T1448" s="22">
        <f t="shared" si="177"/>
        <v>39475.34</v>
      </c>
      <c r="U1448" s="30">
        <f t="shared" si="177"/>
        <v>39475.31</v>
      </c>
      <c r="V1448" s="22">
        <f t="shared" si="177"/>
        <v>197480.84</v>
      </c>
    </row>
    <row r="1449" spans="3:22" ht="14.25" customHeight="1">
      <c r="C1449" s="10"/>
      <c r="J1449" s="47"/>
      <c r="K1449" s="47"/>
      <c r="L1449" s="47"/>
      <c r="M1449" s="47"/>
      <c r="N1449" s="47"/>
      <c r="O1449" s="47"/>
      <c r="P1449" s="47"/>
      <c r="Q1449" s="47"/>
      <c r="R1449" s="47"/>
      <c r="S1449" s="47"/>
      <c r="T1449" s="47"/>
      <c r="U1449" s="48"/>
      <c r="V1449" s="47"/>
    </row>
    <row r="1450" spans="1:3" ht="14.25" customHeight="1">
      <c r="A1450" s="14">
        <f>+A1444+1</f>
        <v>105</v>
      </c>
      <c r="C1450" s="5" t="s">
        <v>408</v>
      </c>
    </row>
    <row r="1451" spans="3:22" ht="14.25" customHeight="1">
      <c r="C1451" s="4" t="s">
        <v>3</v>
      </c>
      <c r="J1451" s="21">
        <v>0</v>
      </c>
      <c r="K1451" s="21">
        <v>0</v>
      </c>
      <c r="L1451" s="21">
        <v>0</v>
      </c>
      <c r="M1451" s="21">
        <v>0</v>
      </c>
      <c r="N1451" s="21">
        <v>0</v>
      </c>
      <c r="O1451" s="21">
        <v>0</v>
      </c>
      <c r="P1451" s="21">
        <v>0</v>
      </c>
      <c r="Q1451" s="21">
        <v>820.91</v>
      </c>
      <c r="R1451" s="21">
        <v>820.91</v>
      </c>
      <c r="S1451" s="21">
        <v>820.91</v>
      </c>
      <c r="T1451" s="21">
        <v>820.91</v>
      </c>
      <c r="U1451" s="29">
        <v>820.91</v>
      </c>
      <c r="V1451" s="21">
        <f>SUM(J1451:U1451)</f>
        <v>4104.55</v>
      </c>
    </row>
    <row r="1452" spans="3:22" ht="14.25" customHeight="1">
      <c r="C1452" s="4" t="s">
        <v>4</v>
      </c>
      <c r="J1452" s="45"/>
      <c r="K1452" s="45"/>
      <c r="N1452" s="45"/>
      <c r="P1452" s="45"/>
      <c r="Q1452" s="45">
        <v>104.17</v>
      </c>
      <c r="V1452" s="21">
        <f>SUM(J1452:U1452)</f>
        <v>104.17</v>
      </c>
    </row>
    <row r="1453" spans="3:22" ht="14.25" customHeight="1" thickBot="1">
      <c r="C1453" s="4" t="s">
        <v>5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  <c r="Q1453" s="21">
        <v>31994.28</v>
      </c>
      <c r="R1453" s="21">
        <v>31994.28</v>
      </c>
      <c r="S1453" s="21">
        <v>31994.28</v>
      </c>
      <c r="T1453" s="21">
        <v>31994.28</v>
      </c>
      <c r="U1453" s="29">
        <v>31994.27</v>
      </c>
      <c r="V1453" s="21">
        <f>SUM(J1453:U1453)</f>
        <v>159971.38999999998</v>
      </c>
    </row>
    <row r="1454" spans="3:22" ht="14.25" customHeight="1" thickBot="1">
      <c r="C1454" s="6" t="s">
        <v>409</v>
      </c>
      <c r="J1454" s="22">
        <f aca="true" t="shared" si="178" ref="J1454:V1454">SUM(J1451:J1453)</f>
        <v>0</v>
      </c>
      <c r="K1454" s="22">
        <f t="shared" si="178"/>
        <v>0</v>
      </c>
      <c r="L1454" s="22">
        <f t="shared" si="178"/>
        <v>0</v>
      </c>
      <c r="M1454" s="22">
        <f t="shared" si="178"/>
        <v>0</v>
      </c>
      <c r="N1454" s="22">
        <f t="shared" si="178"/>
        <v>0</v>
      </c>
      <c r="O1454" s="22">
        <f t="shared" si="178"/>
        <v>0</v>
      </c>
      <c r="P1454" s="22">
        <f t="shared" si="178"/>
        <v>0</v>
      </c>
      <c r="Q1454" s="22">
        <f t="shared" si="178"/>
        <v>32919.36</v>
      </c>
      <c r="R1454" s="22">
        <f t="shared" si="178"/>
        <v>32815.19</v>
      </c>
      <c r="S1454" s="22">
        <f t="shared" si="178"/>
        <v>32815.19</v>
      </c>
      <c r="T1454" s="22">
        <f t="shared" si="178"/>
        <v>32815.19</v>
      </c>
      <c r="U1454" s="30">
        <f t="shared" si="178"/>
        <v>32815.18</v>
      </c>
      <c r="V1454" s="22">
        <f t="shared" si="178"/>
        <v>164180.11</v>
      </c>
    </row>
    <row r="1455" spans="3:22" ht="14.25" customHeight="1">
      <c r="C1455" s="10"/>
      <c r="J1455" s="47"/>
      <c r="K1455" s="47"/>
      <c r="L1455" s="47"/>
      <c r="M1455" s="47"/>
      <c r="N1455" s="47"/>
      <c r="O1455" s="47"/>
      <c r="P1455" s="47"/>
      <c r="Q1455" s="47"/>
      <c r="R1455" s="47"/>
      <c r="S1455" s="47"/>
      <c r="T1455" s="47"/>
      <c r="U1455" s="48"/>
      <c r="V1455" s="47"/>
    </row>
    <row r="1456" spans="1:3" ht="14.25" customHeight="1">
      <c r="A1456" s="14">
        <f>+A1450+1</f>
        <v>106</v>
      </c>
      <c r="C1456" s="5" t="s">
        <v>410</v>
      </c>
    </row>
    <row r="1457" spans="3:22" ht="14.25" customHeight="1">
      <c r="C1457" s="4" t="s">
        <v>3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1">
        <v>0</v>
      </c>
      <c r="Q1457" s="21">
        <v>0</v>
      </c>
      <c r="R1457" s="21">
        <v>2980.91</v>
      </c>
      <c r="S1457" s="21">
        <v>2980.91</v>
      </c>
      <c r="T1457" s="21">
        <v>2980.91</v>
      </c>
      <c r="U1457" s="29">
        <v>2980.91</v>
      </c>
      <c r="V1457" s="21">
        <f>SUM(J1457:U1457)</f>
        <v>11923.64</v>
      </c>
    </row>
    <row r="1458" spans="3:22" ht="14.25" customHeight="1">
      <c r="C1458" s="4" t="s">
        <v>4</v>
      </c>
      <c r="J1458" s="45"/>
      <c r="K1458" s="45"/>
      <c r="N1458" s="45"/>
      <c r="P1458" s="45"/>
      <c r="Q1458" s="45"/>
      <c r="R1458" s="45">
        <v>83.33</v>
      </c>
      <c r="S1458" s="45"/>
      <c r="T1458" s="45"/>
      <c r="U1458" s="52"/>
      <c r="V1458" s="21">
        <f>SUM(J1458:U1458)</f>
        <v>83.33</v>
      </c>
    </row>
    <row r="1459" spans="3:22" ht="14.25" customHeight="1" thickBot="1">
      <c r="C1459" s="4" t="s">
        <v>5</v>
      </c>
      <c r="J1459" s="21">
        <v>0</v>
      </c>
      <c r="K1459" s="21">
        <v>0</v>
      </c>
      <c r="L1459" s="21">
        <v>0</v>
      </c>
      <c r="M1459" s="21">
        <v>0</v>
      </c>
      <c r="N1459" s="21">
        <v>0</v>
      </c>
      <c r="O1459" s="21">
        <v>0</v>
      </c>
      <c r="P1459" s="21">
        <v>0</v>
      </c>
      <c r="Q1459" s="21">
        <v>0</v>
      </c>
      <c r="R1459" s="21">
        <v>86940.72</v>
      </c>
      <c r="S1459" s="21">
        <v>86940.72</v>
      </c>
      <c r="T1459" s="21">
        <v>86940.72</v>
      </c>
      <c r="U1459" s="29">
        <v>71253.33</v>
      </c>
      <c r="V1459" s="21">
        <f>SUM(J1459:U1459)</f>
        <v>332075.49</v>
      </c>
    </row>
    <row r="1460" spans="3:22" ht="14.25" customHeight="1" thickBot="1">
      <c r="C1460" s="6" t="s">
        <v>106</v>
      </c>
      <c r="J1460" s="22">
        <f aca="true" t="shared" si="179" ref="J1460:V1460">SUM(J1457:J1459)</f>
        <v>0</v>
      </c>
      <c r="K1460" s="22">
        <f t="shared" si="179"/>
        <v>0</v>
      </c>
      <c r="L1460" s="22">
        <f t="shared" si="179"/>
        <v>0</v>
      </c>
      <c r="M1460" s="22">
        <f t="shared" si="179"/>
        <v>0</v>
      </c>
      <c r="N1460" s="22">
        <f t="shared" si="179"/>
        <v>0</v>
      </c>
      <c r="O1460" s="22">
        <f t="shared" si="179"/>
        <v>0</v>
      </c>
      <c r="P1460" s="22">
        <f t="shared" si="179"/>
        <v>0</v>
      </c>
      <c r="Q1460" s="22">
        <f t="shared" si="179"/>
        <v>0</v>
      </c>
      <c r="R1460" s="22">
        <f t="shared" si="179"/>
        <v>90004.96</v>
      </c>
      <c r="S1460" s="22">
        <f t="shared" si="179"/>
        <v>89921.63</v>
      </c>
      <c r="T1460" s="22">
        <f t="shared" si="179"/>
        <v>89921.63</v>
      </c>
      <c r="U1460" s="30">
        <f t="shared" si="179"/>
        <v>74234.24</v>
      </c>
      <c r="V1460" s="22">
        <f t="shared" si="179"/>
        <v>344082.45999999996</v>
      </c>
    </row>
    <row r="1461" spans="3:22" ht="14.25" customHeight="1">
      <c r="C1461" s="10"/>
      <c r="J1461" s="47"/>
      <c r="K1461" s="47"/>
      <c r="L1461" s="47"/>
      <c r="M1461" s="47"/>
      <c r="N1461" s="47"/>
      <c r="O1461" s="47"/>
      <c r="P1461" s="47"/>
      <c r="Q1461" s="47"/>
      <c r="R1461" s="47"/>
      <c r="S1461" s="47"/>
      <c r="T1461" s="47"/>
      <c r="U1461" s="48"/>
      <c r="V1461" s="47"/>
    </row>
    <row r="1462" spans="1:3" ht="14.25" customHeight="1">
      <c r="A1462" s="14">
        <f>+A1456+1</f>
        <v>107</v>
      </c>
      <c r="C1462" s="5" t="s">
        <v>411</v>
      </c>
    </row>
    <row r="1463" spans="3:22" ht="14.25" customHeight="1">
      <c r="C1463" s="4" t="s">
        <v>3</v>
      </c>
      <c r="J1463" s="21">
        <v>0</v>
      </c>
      <c r="K1463" s="21">
        <v>0</v>
      </c>
      <c r="L1463" s="21">
        <v>0</v>
      </c>
      <c r="M1463" s="21">
        <v>0</v>
      </c>
      <c r="N1463" s="21">
        <v>0</v>
      </c>
      <c r="O1463" s="21">
        <v>0</v>
      </c>
      <c r="P1463" s="21">
        <v>0</v>
      </c>
      <c r="Q1463" s="21">
        <v>0</v>
      </c>
      <c r="R1463" s="21">
        <v>0</v>
      </c>
      <c r="S1463" s="21">
        <v>0</v>
      </c>
      <c r="T1463" s="21">
        <v>0</v>
      </c>
      <c r="U1463" s="29">
        <v>0</v>
      </c>
      <c r="V1463" s="21">
        <f>SUM(J1463:U1463)</f>
        <v>0</v>
      </c>
    </row>
    <row r="1464" spans="3:22" ht="14.25" customHeight="1">
      <c r="C1464" s="4" t="s">
        <v>4</v>
      </c>
      <c r="J1464" s="45"/>
      <c r="K1464" s="45"/>
      <c r="N1464" s="45"/>
      <c r="P1464" s="45"/>
      <c r="Q1464" s="45"/>
      <c r="R1464" s="45"/>
      <c r="S1464" s="45">
        <v>62.5</v>
      </c>
      <c r="T1464" s="45"/>
      <c r="U1464" s="52"/>
      <c r="V1464" s="21">
        <f>SUM(J1464:U1464)</f>
        <v>62.5</v>
      </c>
    </row>
    <row r="1465" spans="3:22" ht="14.25" customHeight="1" thickBot="1">
      <c r="C1465" s="4" t="s">
        <v>5</v>
      </c>
      <c r="J1465" s="21">
        <v>0</v>
      </c>
      <c r="K1465" s="21">
        <v>0</v>
      </c>
      <c r="L1465" s="21">
        <v>0</v>
      </c>
      <c r="M1465" s="21">
        <v>0</v>
      </c>
      <c r="N1465" s="21">
        <v>0</v>
      </c>
      <c r="O1465" s="21">
        <v>0</v>
      </c>
      <c r="P1465" s="21">
        <v>0</v>
      </c>
      <c r="Q1465" s="21">
        <v>0</v>
      </c>
      <c r="R1465" s="21">
        <v>0</v>
      </c>
      <c r="S1465" s="21">
        <v>0</v>
      </c>
      <c r="T1465" s="21">
        <v>0</v>
      </c>
      <c r="U1465" s="29">
        <v>0</v>
      </c>
      <c r="V1465" s="21">
        <f>SUM(J1465:U1465)</f>
        <v>0</v>
      </c>
    </row>
    <row r="1466" spans="3:22" ht="14.25" customHeight="1" thickBot="1">
      <c r="C1466" s="6" t="s">
        <v>412</v>
      </c>
      <c r="J1466" s="22">
        <f aca="true" t="shared" si="180" ref="J1466:V1466">SUM(J1463:J1465)</f>
        <v>0</v>
      </c>
      <c r="K1466" s="22">
        <f t="shared" si="180"/>
        <v>0</v>
      </c>
      <c r="L1466" s="22">
        <f t="shared" si="180"/>
        <v>0</v>
      </c>
      <c r="M1466" s="22">
        <f t="shared" si="180"/>
        <v>0</v>
      </c>
      <c r="N1466" s="22">
        <f t="shared" si="180"/>
        <v>0</v>
      </c>
      <c r="O1466" s="22">
        <f t="shared" si="180"/>
        <v>0</v>
      </c>
      <c r="P1466" s="22">
        <f t="shared" si="180"/>
        <v>0</v>
      </c>
      <c r="Q1466" s="22">
        <f t="shared" si="180"/>
        <v>0</v>
      </c>
      <c r="R1466" s="22">
        <f t="shared" si="180"/>
        <v>0</v>
      </c>
      <c r="S1466" s="22">
        <f t="shared" si="180"/>
        <v>62.5</v>
      </c>
      <c r="T1466" s="22">
        <f t="shared" si="180"/>
        <v>0</v>
      </c>
      <c r="U1466" s="30">
        <f t="shared" si="180"/>
        <v>0</v>
      </c>
      <c r="V1466" s="22">
        <f t="shared" si="180"/>
        <v>62.5</v>
      </c>
    </row>
    <row r="1467" spans="3:22" ht="14.25" customHeight="1">
      <c r="C1467" s="10"/>
      <c r="J1467" s="47"/>
      <c r="K1467" s="47"/>
      <c r="L1467" s="47"/>
      <c r="M1467" s="47"/>
      <c r="N1467" s="47"/>
      <c r="O1467" s="47"/>
      <c r="P1467" s="47"/>
      <c r="Q1467" s="47"/>
      <c r="R1467" s="47"/>
      <c r="S1467" s="47"/>
      <c r="T1467" s="47"/>
      <c r="U1467" s="48"/>
      <c r="V1467" s="47"/>
    </row>
    <row r="1468" spans="1:3" ht="14.25" customHeight="1">
      <c r="A1468" s="14">
        <f>+A1462+1</f>
        <v>108</v>
      </c>
      <c r="C1468" s="5" t="s">
        <v>413</v>
      </c>
    </row>
    <row r="1469" spans="3:22" ht="14.25" customHeight="1">
      <c r="C1469" s="4" t="s">
        <v>3</v>
      </c>
      <c r="J1469" s="21">
        <v>0</v>
      </c>
      <c r="K1469" s="21">
        <v>0</v>
      </c>
      <c r="L1469" s="21">
        <v>0</v>
      </c>
      <c r="M1469" s="21">
        <v>0</v>
      </c>
      <c r="N1469" s="21">
        <v>0</v>
      </c>
      <c r="O1469" s="21">
        <v>0</v>
      </c>
      <c r="P1469" s="21">
        <v>0</v>
      </c>
      <c r="Q1469" s="21">
        <v>0</v>
      </c>
      <c r="R1469" s="21">
        <v>0</v>
      </c>
      <c r="S1469" s="21">
        <v>0</v>
      </c>
      <c r="T1469" s="21">
        <v>0</v>
      </c>
      <c r="U1469" s="29">
        <v>0</v>
      </c>
      <c r="V1469" s="21">
        <f>SUM(J1469:U1469)</f>
        <v>0</v>
      </c>
    </row>
    <row r="1470" spans="3:22" ht="14.25" customHeight="1">
      <c r="C1470" s="4" t="s">
        <v>4</v>
      </c>
      <c r="J1470" s="45"/>
      <c r="K1470" s="45"/>
      <c r="N1470" s="45"/>
      <c r="P1470" s="45"/>
      <c r="Q1470" s="45"/>
      <c r="R1470" s="45"/>
      <c r="S1470" s="45"/>
      <c r="T1470" s="45">
        <v>41.67</v>
      </c>
      <c r="U1470" s="52"/>
      <c r="V1470" s="21">
        <f>SUM(J1470:U1470)</f>
        <v>41.67</v>
      </c>
    </row>
    <row r="1471" spans="3:22" ht="14.25" customHeight="1" thickBot="1">
      <c r="C1471" s="4" t="s">
        <v>5</v>
      </c>
      <c r="J1471" s="21">
        <v>0</v>
      </c>
      <c r="K1471" s="21">
        <v>0</v>
      </c>
      <c r="L1471" s="21">
        <v>0</v>
      </c>
      <c r="M1471" s="21">
        <v>0</v>
      </c>
      <c r="N1471" s="21">
        <v>0</v>
      </c>
      <c r="O1471" s="21">
        <v>0</v>
      </c>
      <c r="P1471" s="21">
        <v>0</v>
      </c>
      <c r="Q1471" s="21">
        <v>0</v>
      </c>
      <c r="R1471" s="21">
        <v>0</v>
      </c>
      <c r="S1471" s="21">
        <v>0</v>
      </c>
      <c r="T1471" s="21">
        <f>16500+10639.37</f>
        <v>27139.370000000003</v>
      </c>
      <c r="U1471" s="29">
        <f>16500+10251.34</f>
        <v>26751.34</v>
      </c>
      <c r="V1471" s="21">
        <f>SUM(J1471:U1471)</f>
        <v>53890.71000000001</v>
      </c>
    </row>
    <row r="1472" spans="3:22" ht="14.25" customHeight="1" thickBot="1">
      <c r="C1472" s="6" t="s">
        <v>50</v>
      </c>
      <c r="J1472" s="22">
        <f aca="true" t="shared" si="181" ref="J1472:V1472">SUM(J1469:J1471)</f>
        <v>0</v>
      </c>
      <c r="K1472" s="22">
        <f t="shared" si="181"/>
        <v>0</v>
      </c>
      <c r="L1472" s="22">
        <f t="shared" si="181"/>
        <v>0</v>
      </c>
      <c r="M1472" s="22">
        <f t="shared" si="181"/>
        <v>0</v>
      </c>
      <c r="N1472" s="22">
        <f t="shared" si="181"/>
        <v>0</v>
      </c>
      <c r="O1472" s="22">
        <f t="shared" si="181"/>
        <v>0</v>
      </c>
      <c r="P1472" s="22">
        <f t="shared" si="181"/>
        <v>0</v>
      </c>
      <c r="Q1472" s="22">
        <f t="shared" si="181"/>
        <v>0</v>
      </c>
      <c r="R1472" s="22">
        <f t="shared" si="181"/>
        <v>0</v>
      </c>
      <c r="S1472" s="22">
        <f t="shared" si="181"/>
        <v>0</v>
      </c>
      <c r="T1472" s="22">
        <f t="shared" si="181"/>
        <v>27181.04</v>
      </c>
      <c r="U1472" s="30">
        <f t="shared" si="181"/>
        <v>26751.34</v>
      </c>
      <c r="V1472" s="22">
        <f t="shared" si="181"/>
        <v>53932.380000000005</v>
      </c>
    </row>
    <row r="1473" spans="3:22" ht="14.25" customHeight="1">
      <c r="C1473" s="10"/>
      <c r="J1473" s="47"/>
      <c r="K1473" s="47"/>
      <c r="L1473" s="47"/>
      <c r="M1473" s="47"/>
      <c r="N1473" s="47"/>
      <c r="O1473" s="47"/>
      <c r="P1473" s="47"/>
      <c r="Q1473" s="47"/>
      <c r="R1473" s="47"/>
      <c r="S1473" s="47"/>
      <c r="T1473" s="47"/>
      <c r="U1473" s="48"/>
      <c r="V1473" s="47"/>
    </row>
    <row r="1474" spans="1:3" ht="14.25" customHeight="1">
      <c r="A1474" s="14">
        <f>+A1468+1</f>
        <v>109</v>
      </c>
      <c r="C1474" s="5" t="s">
        <v>414</v>
      </c>
    </row>
    <row r="1475" spans="3:22" ht="14.25" customHeight="1">
      <c r="C1475" s="4" t="s">
        <v>3</v>
      </c>
      <c r="J1475" s="21">
        <v>0</v>
      </c>
      <c r="K1475" s="21">
        <v>0</v>
      </c>
      <c r="L1475" s="21">
        <v>0</v>
      </c>
      <c r="M1475" s="21">
        <v>0</v>
      </c>
      <c r="N1475" s="21">
        <v>0</v>
      </c>
      <c r="O1475" s="21">
        <v>0</v>
      </c>
      <c r="P1475" s="21">
        <v>0</v>
      </c>
      <c r="Q1475" s="21">
        <v>0</v>
      </c>
      <c r="R1475" s="21">
        <v>0</v>
      </c>
      <c r="S1475" s="21">
        <v>0</v>
      </c>
      <c r="T1475" s="21">
        <v>0</v>
      </c>
      <c r="U1475" s="29">
        <v>0</v>
      </c>
      <c r="V1475" s="21">
        <f>SUM(J1475:U1475)</f>
        <v>0</v>
      </c>
    </row>
    <row r="1476" spans="3:22" ht="14.25" customHeight="1">
      <c r="C1476" s="4" t="s">
        <v>4</v>
      </c>
      <c r="J1476" s="45"/>
      <c r="K1476" s="45"/>
      <c r="N1476" s="45"/>
      <c r="P1476" s="45"/>
      <c r="Q1476" s="45"/>
      <c r="R1476" s="45"/>
      <c r="S1476" s="45"/>
      <c r="T1476" s="45">
        <v>41.67</v>
      </c>
      <c r="U1476" s="52"/>
      <c r="V1476" s="21">
        <f>SUM(J1476:U1476)</f>
        <v>41.67</v>
      </c>
    </row>
    <row r="1477" spans="3:22" ht="14.25" customHeight="1" thickBot="1">
      <c r="C1477" s="4" t="s">
        <v>5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1">
        <v>0</v>
      </c>
      <c r="Q1477" s="21">
        <v>0</v>
      </c>
      <c r="R1477" s="21">
        <v>0</v>
      </c>
      <c r="S1477" s="21">
        <v>0</v>
      </c>
      <c r="T1477" s="21">
        <v>0</v>
      </c>
      <c r="U1477" s="29">
        <v>0</v>
      </c>
      <c r="V1477" s="21">
        <f>SUM(J1477:U1477)</f>
        <v>0</v>
      </c>
    </row>
    <row r="1478" spans="3:22" ht="14.25" customHeight="1" thickBot="1">
      <c r="C1478" s="6" t="s">
        <v>415</v>
      </c>
      <c r="J1478" s="22">
        <f aca="true" t="shared" si="182" ref="J1478:V1478">SUM(J1475:J1477)</f>
        <v>0</v>
      </c>
      <c r="K1478" s="22">
        <f t="shared" si="182"/>
        <v>0</v>
      </c>
      <c r="L1478" s="22">
        <f t="shared" si="182"/>
        <v>0</v>
      </c>
      <c r="M1478" s="22">
        <f t="shared" si="182"/>
        <v>0</v>
      </c>
      <c r="N1478" s="22">
        <f t="shared" si="182"/>
        <v>0</v>
      </c>
      <c r="O1478" s="22">
        <f t="shared" si="182"/>
        <v>0</v>
      </c>
      <c r="P1478" s="22">
        <f t="shared" si="182"/>
        <v>0</v>
      </c>
      <c r="Q1478" s="22">
        <f t="shared" si="182"/>
        <v>0</v>
      </c>
      <c r="R1478" s="22">
        <f t="shared" si="182"/>
        <v>0</v>
      </c>
      <c r="S1478" s="22">
        <f t="shared" si="182"/>
        <v>0</v>
      </c>
      <c r="T1478" s="22">
        <f t="shared" si="182"/>
        <v>41.67</v>
      </c>
      <c r="U1478" s="30">
        <f t="shared" si="182"/>
        <v>0</v>
      </c>
      <c r="V1478" s="22">
        <f t="shared" si="182"/>
        <v>41.67</v>
      </c>
    </row>
    <row r="1479" spans="3:22" ht="14.25" customHeight="1">
      <c r="C1479" s="10"/>
      <c r="J1479" s="47"/>
      <c r="K1479" s="47"/>
      <c r="L1479" s="47"/>
      <c r="M1479" s="47"/>
      <c r="N1479" s="47"/>
      <c r="O1479" s="47"/>
      <c r="P1479" s="47"/>
      <c r="Q1479" s="47"/>
      <c r="R1479" s="47"/>
      <c r="S1479" s="47"/>
      <c r="T1479" s="47"/>
      <c r="U1479" s="48"/>
      <c r="V1479" s="47"/>
    </row>
    <row r="1480" spans="1:3" ht="14.25" customHeight="1">
      <c r="A1480" s="14">
        <f>+A1474+1</f>
        <v>110</v>
      </c>
      <c r="C1480" s="5" t="s">
        <v>416</v>
      </c>
    </row>
    <row r="1481" spans="3:22" ht="14.25" customHeight="1">
      <c r="C1481" s="4" t="s">
        <v>3</v>
      </c>
      <c r="J1481" s="21">
        <v>0</v>
      </c>
      <c r="K1481" s="21">
        <v>0</v>
      </c>
      <c r="L1481" s="21">
        <v>0</v>
      </c>
      <c r="M1481" s="21">
        <v>0</v>
      </c>
      <c r="N1481" s="21">
        <v>0</v>
      </c>
      <c r="O1481" s="21">
        <v>0</v>
      </c>
      <c r="P1481" s="21">
        <v>0</v>
      </c>
      <c r="Q1481" s="21">
        <v>0</v>
      </c>
      <c r="R1481" s="21">
        <v>0</v>
      </c>
      <c r="S1481" s="21">
        <v>0</v>
      </c>
      <c r="T1481" s="21">
        <v>0</v>
      </c>
      <c r="U1481" s="29">
        <v>0</v>
      </c>
      <c r="V1481" s="21">
        <f>SUM(J1481:U1481)</f>
        <v>0</v>
      </c>
    </row>
    <row r="1482" spans="3:22" ht="14.25" customHeight="1">
      <c r="C1482" s="4" t="s">
        <v>4</v>
      </c>
      <c r="J1482" s="45"/>
      <c r="K1482" s="45"/>
      <c r="N1482" s="45"/>
      <c r="P1482" s="45"/>
      <c r="Q1482" s="45"/>
      <c r="R1482" s="45"/>
      <c r="S1482" s="45"/>
      <c r="T1482" s="45">
        <v>41.67</v>
      </c>
      <c r="U1482" s="52"/>
      <c r="V1482" s="21">
        <f>SUM(J1482:U1482)</f>
        <v>41.67</v>
      </c>
    </row>
    <row r="1483" spans="3:22" ht="14.25" customHeight="1" thickBot="1">
      <c r="C1483" s="4" t="s">
        <v>5</v>
      </c>
      <c r="J1483" s="21">
        <v>0</v>
      </c>
      <c r="K1483" s="21">
        <v>0</v>
      </c>
      <c r="L1483" s="21">
        <v>0</v>
      </c>
      <c r="M1483" s="21">
        <v>0</v>
      </c>
      <c r="N1483" s="21">
        <v>0</v>
      </c>
      <c r="O1483" s="21">
        <v>0</v>
      </c>
      <c r="P1483" s="21">
        <v>0</v>
      </c>
      <c r="Q1483" s="21">
        <v>0</v>
      </c>
      <c r="R1483" s="21">
        <v>0</v>
      </c>
      <c r="S1483" s="21">
        <v>0</v>
      </c>
      <c r="T1483" s="21">
        <v>40649.59</v>
      </c>
      <c r="U1483" s="29">
        <v>40649.58</v>
      </c>
      <c r="V1483" s="21">
        <f>SUM(J1483:U1483)</f>
        <v>81299.17</v>
      </c>
    </row>
    <row r="1484" spans="3:22" ht="14.25" customHeight="1" thickBot="1">
      <c r="C1484" s="6" t="s">
        <v>417</v>
      </c>
      <c r="J1484" s="22">
        <f aca="true" t="shared" si="183" ref="J1484:V1484">SUM(J1481:J1483)</f>
        <v>0</v>
      </c>
      <c r="K1484" s="22">
        <f t="shared" si="183"/>
        <v>0</v>
      </c>
      <c r="L1484" s="22">
        <f t="shared" si="183"/>
        <v>0</v>
      </c>
      <c r="M1484" s="22">
        <f t="shared" si="183"/>
        <v>0</v>
      </c>
      <c r="N1484" s="22">
        <f t="shared" si="183"/>
        <v>0</v>
      </c>
      <c r="O1484" s="22">
        <f t="shared" si="183"/>
        <v>0</v>
      </c>
      <c r="P1484" s="22">
        <f t="shared" si="183"/>
        <v>0</v>
      </c>
      <c r="Q1484" s="22">
        <f t="shared" si="183"/>
        <v>0</v>
      </c>
      <c r="R1484" s="22">
        <f t="shared" si="183"/>
        <v>0</v>
      </c>
      <c r="S1484" s="22">
        <f t="shared" si="183"/>
        <v>0</v>
      </c>
      <c r="T1484" s="22">
        <f t="shared" si="183"/>
        <v>40691.259999999995</v>
      </c>
      <c r="U1484" s="30">
        <f t="shared" si="183"/>
        <v>40649.58</v>
      </c>
      <c r="V1484" s="22">
        <f t="shared" si="183"/>
        <v>81340.84</v>
      </c>
    </row>
    <row r="1485" spans="3:22" ht="14.25" customHeight="1">
      <c r="C1485" s="10"/>
      <c r="J1485" s="47"/>
      <c r="K1485" s="47"/>
      <c r="L1485" s="47"/>
      <c r="M1485" s="47"/>
      <c r="N1485" s="47"/>
      <c r="O1485" s="47"/>
      <c r="P1485" s="47"/>
      <c r="Q1485" s="47"/>
      <c r="R1485" s="47"/>
      <c r="S1485" s="47"/>
      <c r="T1485" s="47"/>
      <c r="U1485" s="48"/>
      <c r="V1485" s="47"/>
    </row>
    <row r="1486" spans="1:3" ht="14.25" customHeight="1">
      <c r="A1486" s="14">
        <f>+A1480+1</f>
        <v>111</v>
      </c>
      <c r="C1486" s="5" t="s">
        <v>418</v>
      </c>
    </row>
    <row r="1487" spans="3:22" ht="14.25" customHeight="1">
      <c r="C1487" s="4" t="s">
        <v>3</v>
      </c>
      <c r="J1487" s="21">
        <v>0</v>
      </c>
      <c r="K1487" s="21">
        <v>0</v>
      </c>
      <c r="L1487" s="21">
        <v>0</v>
      </c>
      <c r="M1487" s="21">
        <v>0</v>
      </c>
      <c r="N1487" s="21">
        <v>0</v>
      </c>
      <c r="O1487" s="21">
        <v>0</v>
      </c>
      <c r="P1487" s="21">
        <v>0</v>
      </c>
      <c r="Q1487" s="21">
        <v>0</v>
      </c>
      <c r="R1487" s="21">
        <v>0</v>
      </c>
      <c r="S1487" s="21">
        <v>0</v>
      </c>
      <c r="T1487" s="21">
        <v>0</v>
      </c>
      <c r="U1487" s="29">
        <v>0</v>
      </c>
      <c r="V1487" s="21">
        <f>SUM(J1487:U1487)</f>
        <v>0</v>
      </c>
    </row>
    <row r="1488" spans="3:22" ht="14.25" customHeight="1">
      <c r="C1488" s="4" t="s">
        <v>4</v>
      </c>
      <c r="J1488" s="45"/>
      <c r="K1488" s="45"/>
      <c r="N1488" s="45"/>
      <c r="P1488" s="45"/>
      <c r="Q1488" s="45"/>
      <c r="R1488" s="45"/>
      <c r="S1488" s="45"/>
      <c r="T1488" s="45">
        <v>41.67</v>
      </c>
      <c r="U1488" s="52"/>
      <c r="V1488" s="21">
        <f>SUM(J1488:U1488)</f>
        <v>41.67</v>
      </c>
    </row>
    <row r="1489" spans="3:22" ht="14.25" customHeight="1" thickBot="1">
      <c r="C1489" s="4" t="s">
        <v>5</v>
      </c>
      <c r="J1489" s="21">
        <v>0</v>
      </c>
      <c r="K1489" s="21">
        <v>0</v>
      </c>
      <c r="L1489" s="21">
        <v>0</v>
      </c>
      <c r="M1489" s="21">
        <v>0</v>
      </c>
      <c r="N1489" s="21">
        <v>0</v>
      </c>
      <c r="O1489" s="21">
        <v>0</v>
      </c>
      <c r="P1489" s="21">
        <v>0</v>
      </c>
      <c r="Q1489" s="21">
        <v>0</v>
      </c>
      <c r="R1489" s="21">
        <v>0</v>
      </c>
      <c r="S1489" s="21">
        <v>0</v>
      </c>
      <c r="T1489" s="21">
        <v>0</v>
      </c>
      <c r="U1489" s="29">
        <v>0</v>
      </c>
      <c r="V1489" s="21">
        <f>SUM(J1489:U1489)</f>
        <v>0</v>
      </c>
    </row>
    <row r="1490" spans="3:22" ht="14.25" customHeight="1" thickBot="1">
      <c r="C1490" s="6" t="s">
        <v>419</v>
      </c>
      <c r="J1490" s="22">
        <f aca="true" t="shared" si="184" ref="J1490:V1490">SUM(J1487:J1489)</f>
        <v>0</v>
      </c>
      <c r="K1490" s="22">
        <f t="shared" si="184"/>
        <v>0</v>
      </c>
      <c r="L1490" s="22">
        <f t="shared" si="184"/>
        <v>0</v>
      </c>
      <c r="M1490" s="22">
        <f t="shared" si="184"/>
        <v>0</v>
      </c>
      <c r="N1490" s="22">
        <f t="shared" si="184"/>
        <v>0</v>
      </c>
      <c r="O1490" s="22">
        <f t="shared" si="184"/>
        <v>0</v>
      </c>
      <c r="P1490" s="22">
        <f t="shared" si="184"/>
        <v>0</v>
      </c>
      <c r="Q1490" s="22">
        <f t="shared" si="184"/>
        <v>0</v>
      </c>
      <c r="R1490" s="22">
        <f t="shared" si="184"/>
        <v>0</v>
      </c>
      <c r="S1490" s="22">
        <f t="shared" si="184"/>
        <v>0</v>
      </c>
      <c r="T1490" s="22">
        <f t="shared" si="184"/>
        <v>41.67</v>
      </c>
      <c r="U1490" s="30">
        <f t="shared" si="184"/>
        <v>0</v>
      </c>
      <c r="V1490" s="22">
        <f t="shared" si="184"/>
        <v>41.67</v>
      </c>
    </row>
    <row r="1491" spans="3:22" ht="14.25" customHeight="1">
      <c r="C1491" s="10"/>
      <c r="J1491" s="47"/>
      <c r="K1491" s="47"/>
      <c r="L1491" s="47"/>
      <c r="M1491" s="47"/>
      <c r="N1491" s="47"/>
      <c r="O1491" s="47"/>
      <c r="P1491" s="47"/>
      <c r="Q1491" s="47"/>
      <c r="R1491" s="47"/>
      <c r="S1491" s="47"/>
      <c r="T1491" s="47"/>
      <c r="U1491" s="48"/>
      <c r="V1491" s="47"/>
    </row>
    <row r="1492" spans="1:3" ht="14.25" customHeight="1">
      <c r="A1492" s="14">
        <f>+A1486+1</f>
        <v>112</v>
      </c>
      <c r="C1492" s="5" t="s">
        <v>420</v>
      </c>
    </row>
    <row r="1493" spans="3:22" ht="14.25" customHeight="1">
      <c r="C1493" s="4" t="s">
        <v>3</v>
      </c>
      <c r="J1493" s="21">
        <v>0</v>
      </c>
      <c r="K1493" s="21">
        <v>0</v>
      </c>
      <c r="L1493" s="21">
        <v>0</v>
      </c>
      <c r="M1493" s="21">
        <v>0</v>
      </c>
      <c r="N1493" s="21">
        <v>0</v>
      </c>
      <c r="O1493" s="21">
        <v>0</v>
      </c>
      <c r="P1493" s="21">
        <v>0</v>
      </c>
      <c r="Q1493" s="21">
        <v>0</v>
      </c>
      <c r="R1493" s="21">
        <v>0</v>
      </c>
      <c r="S1493" s="21">
        <v>0</v>
      </c>
      <c r="T1493" s="21">
        <v>0</v>
      </c>
      <c r="U1493" s="29">
        <v>0</v>
      </c>
      <c r="V1493" s="21">
        <f>SUM(J1493:U1493)</f>
        <v>0</v>
      </c>
    </row>
    <row r="1494" spans="3:22" ht="14.25" customHeight="1">
      <c r="C1494" s="4" t="s">
        <v>4</v>
      </c>
      <c r="J1494" s="45"/>
      <c r="K1494" s="45"/>
      <c r="N1494" s="45"/>
      <c r="P1494" s="45"/>
      <c r="Q1494" s="45"/>
      <c r="R1494" s="45"/>
      <c r="S1494" s="45"/>
      <c r="T1494" s="45">
        <v>41.67</v>
      </c>
      <c r="U1494" s="52"/>
      <c r="V1494" s="21">
        <f>SUM(J1494:U1494)</f>
        <v>41.67</v>
      </c>
    </row>
    <row r="1495" spans="3:22" ht="14.25" customHeight="1" thickBot="1">
      <c r="C1495" s="4" t="s">
        <v>5</v>
      </c>
      <c r="J1495" s="21">
        <v>0</v>
      </c>
      <c r="K1495" s="21">
        <v>0</v>
      </c>
      <c r="L1495" s="21">
        <v>0</v>
      </c>
      <c r="M1495" s="21">
        <v>0</v>
      </c>
      <c r="N1495" s="21">
        <v>0</v>
      </c>
      <c r="O1495" s="21">
        <v>0</v>
      </c>
      <c r="P1495" s="21">
        <v>0</v>
      </c>
      <c r="Q1495" s="21">
        <v>0</v>
      </c>
      <c r="R1495" s="21">
        <v>0</v>
      </c>
      <c r="S1495" s="21">
        <v>0</v>
      </c>
      <c r="T1495" s="21">
        <v>0</v>
      </c>
      <c r="U1495" s="29">
        <v>0</v>
      </c>
      <c r="V1495" s="21">
        <f>SUM(J1495:U1495)</f>
        <v>0</v>
      </c>
    </row>
    <row r="1496" spans="3:22" ht="14.25" customHeight="1" thickBot="1">
      <c r="C1496" s="6" t="s">
        <v>421</v>
      </c>
      <c r="J1496" s="22">
        <f aca="true" t="shared" si="185" ref="J1496:V1496">SUM(J1493:J1495)</f>
        <v>0</v>
      </c>
      <c r="K1496" s="22">
        <f t="shared" si="185"/>
        <v>0</v>
      </c>
      <c r="L1496" s="22">
        <f t="shared" si="185"/>
        <v>0</v>
      </c>
      <c r="M1496" s="22">
        <f t="shared" si="185"/>
        <v>0</v>
      </c>
      <c r="N1496" s="22">
        <f t="shared" si="185"/>
        <v>0</v>
      </c>
      <c r="O1496" s="22">
        <f t="shared" si="185"/>
        <v>0</v>
      </c>
      <c r="P1496" s="22">
        <f t="shared" si="185"/>
        <v>0</v>
      </c>
      <c r="Q1496" s="22">
        <f t="shared" si="185"/>
        <v>0</v>
      </c>
      <c r="R1496" s="22">
        <f t="shared" si="185"/>
        <v>0</v>
      </c>
      <c r="S1496" s="22">
        <f t="shared" si="185"/>
        <v>0</v>
      </c>
      <c r="T1496" s="22">
        <f t="shared" si="185"/>
        <v>41.67</v>
      </c>
      <c r="U1496" s="30">
        <f t="shared" si="185"/>
        <v>0</v>
      </c>
      <c r="V1496" s="22">
        <f t="shared" si="185"/>
        <v>41.67</v>
      </c>
    </row>
    <row r="1497" spans="3:22" ht="14.25" customHeight="1">
      <c r="C1497" s="10"/>
      <c r="J1497" s="47"/>
      <c r="K1497" s="47"/>
      <c r="L1497" s="47"/>
      <c r="M1497" s="47"/>
      <c r="N1497" s="47"/>
      <c r="O1497" s="47"/>
      <c r="P1497" s="47"/>
      <c r="Q1497" s="47"/>
      <c r="R1497" s="47"/>
      <c r="S1497" s="47"/>
      <c r="T1497" s="47"/>
      <c r="U1497" s="48"/>
      <c r="V1497" s="47"/>
    </row>
    <row r="1498" spans="1:3" ht="14.25" customHeight="1">
      <c r="A1498" s="14">
        <f>+A1492+1</f>
        <v>113</v>
      </c>
      <c r="C1498" s="5" t="s">
        <v>422</v>
      </c>
    </row>
    <row r="1499" spans="3:22" ht="14.25" customHeight="1">
      <c r="C1499" s="4" t="s">
        <v>3</v>
      </c>
      <c r="J1499" s="21">
        <v>0</v>
      </c>
      <c r="K1499" s="21">
        <v>0</v>
      </c>
      <c r="L1499" s="21">
        <v>0</v>
      </c>
      <c r="M1499" s="21">
        <v>0</v>
      </c>
      <c r="N1499" s="21">
        <v>0</v>
      </c>
      <c r="O1499" s="21">
        <v>0</v>
      </c>
      <c r="P1499" s="21">
        <v>0</v>
      </c>
      <c r="Q1499" s="21">
        <v>0</v>
      </c>
      <c r="R1499" s="21">
        <v>0</v>
      </c>
      <c r="S1499" s="21">
        <v>0</v>
      </c>
      <c r="T1499" s="21">
        <v>0</v>
      </c>
      <c r="U1499" s="29">
        <v>0</v>
      </c>
      <c r="V1499" s="21">
        <f>SUM(J1499:U1499)</f>
        <v>0</v>
      </c>
    </row>
    <row r="1500" spans="3:22" ht="14.25" customHeight="1">
      <c r="C1500" s="4" t="s">
        <v>4</v>
      </c>
      <c r="J1500" s="45"/>
      <c r="K1500" s="45"/>
      <c r="N1500" s="45"/>
      <c r="P1500" s="45"/>
      <c r="Q1500" s="45"/>
      <c r="R1500" s="45"/>
      <c r="S1500" s="45"/>
      <c r="T1500" s="45"/>
      <c r="U1500" s="52">
        <v>20.83</v>
      </c>
      <c r="V1500" s="21">
        <f>SUM(J1500:U1500)</f>
        <v>20.83</v>
      </c>
    </row>
    <row r="1501" spans="3:22" ht="14.25" customHeight="1" thickBot="1">
      <c r="C1501" s="4" t="s">
        <v>5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1">
        <v>0</v>
      </c>
      <c r="Q1501" s="21">
        <v>0</v>
      </c>
      <c r="R1501" s="21">
        <v>0</v>
      </c>
      <c r="S1501" s="21">
        <v>0</v>
      </c>
      <c r="T1501" s="21">
        <v>0</v>
      </c>
      <c r="U1501" s="29">
        <f>8333.33+37153.36</f>
        <v>45486.69</v>
      </c>
      <c r="V1501" s="21">
        <f>SUM(J1501:U1501)</f>
        <v>45486.69</v>
      </c>
    </row>
    <row r="1502" spans="3:22" ht="14.25" customHeight="1" thickBot="1">
      <c r="C1502" s="6" t="s">
        <v>78</v>
      </c>
      <c r="J1502" s="22">
        <f aca="true" t="shared" si="186" ref="J1502:V1502">SUM(J1499:J1501)</f>
        <v>0</v>
      </c>
      <c r="K1502" s="22">
        <f t="shared" si="186"/>
        <v>0</v>
      </c>
      <c r="L1502" s="22">
        <f t="shared" si="186"/>
        <v>0</v>
      </c>
      <c r="M1502" s="22">
        <f t="shared" si="186"/>
        <v>0</v>
      </c>
      <c r="N1502" s="22">
        <f t="shared" si="186"/>
        <v>0</v>
      </c>
      <c r="O1502" s="22">
        <f t="shared" si="186"/>
        <v>0</v>
      </c>
      <c r="P1502" s="22">
        <f t="shared" si="186"/>
        <v>0</v>
      </c>
      <c r="Q1502" s="22">
        <f t="shared" si="186"/>
        <v>0</v>
      </c>
      <c r="R1502" s="22">
        <f t="shared" si="186"/>
        <v>0</v>
      </c>
      <c r="S1502" s="22">
        <f t="shared" si="186"/>
        <v>0</v>
      </c>
      <c r="T1502" s="22">
        <f t="shared" si="186"/>
        <v>0</v>
      </c>
      <c r="U1502" s="30">
        <f t="shared" si="186"/>
        <v>45507.520000000004</v>
      </c>
      <c r="V1502" s="22">
        <f t="shared" si="186"/>
        <v>45507.520000000004</v>
      </c>
    </row>
    <row r="1503" spans="3:22" ht="14.25" customHeight="1">
      <c r="C1503" s="10"/>
      <c r="J1503" s="47"/>
      <c r="K1503" s="47"/>
      <c r="L1503" s="47"/>
      <c r="M1503" s="47"/>
      <c r="N1503" s="47"/>
      <c r="O1503" s="47"/>
      <c r="P1503" s="47"/>
      <c r="Q1503" s="47"/>
      <c r="R1503" s="47"/>
      <c r="S1503" s="47"/>
      <c r="T1503" s="47"/>
      <c r="U1503" s="48"/>
      <c r="V1503" s="47"/>
    </row>
    <row r="1504" spans="1:3" ht="14.25" customHeight="1">
      <c r="A1504" s="14">
        <f>+A1498+1</f>
        <v>114</v>
      </c>
      <c r="B1504" s="1" t="s">
        <v>248</v>
      </c>
      <c r="C1504" s="5" t="s">
        <v>423</v>
      </c>
    </row>
    <row r="1505" spans="3:22" ht="14.25" customHeight="1">
      <c r="C1505" s="4" t="s">
        <v>3</v>
      </c>
      <c r="J1505" s="21">
        <v>0</v>
      </c>
      <c r="K1505" s="21">
        <v>0</v>
      </c>
      <c r="L1505" s="21">
        <v>0</v>
      </c>
      <c r="M1505" s="21">
        <v>0</v>
      </c>
      <c r="N1505" s="21">
        <v>0</v>
      </c>
      <c r="O1505" s="21">
        <v>0</v>
      </c>
      <c r="P1505" s="21">
        <v>0</v>
      </c>
      <c r="Q1505" s="21">
        <v>0</v>
      </c>
      <c r="R1505" s="21">
        <v>0</v>
      </c>
      <c r="S1505" s="21">
        <v>0</v>
      </c>
      <c r="T1505" s="21">
        <v>0</v>
      </c>
      <c r="U1505" s="29">
        <v>0</v>
      </c>
      <c r="V1505" s="21">
        <f>SUM(J1505:U1505)</f>
        <v>0</v>
      </c>
    </row>
    <row r="1506" spans="3:22" ht="14.25" customHeight="1">
      <c r="C1506" s="4" t="s">
        <v>4</v>
      </c>
      <c r="J1506" s="45"/>
      <c r="K1506" s="45"/>
      <c r="N1506" s="45"/>
      <c r="P1506" s="45"/>
      <c r="Q1506" s="45"/>
      <c r="R1506" s="45"/>
      <c r="S1506" s="45"/>
      <c r="T1506" s="45"/>
      <c r="U1506" s="52">
        <f>ROUND(20.83*0.42,2)</f>
        <v>8.75</v>
      </c>
      <c r="V1506" s="21">
        <f>SUM(J1506:U1506)</f>
        <v>8.75</v>
      </c>
    </row>
    <row r="1507" spans="3:22" ht="14.25" customHeight="1" thickBot="1">
      <c r="C1507" s="4" t="s">
        <v>5</v>
      </c>
      <c r="J1507" s="21">
        <v>0</v>
      </c>
      <c r="K1507" s="21">
        <v>0</v>
      </c>
      <c r="L1507" s="21">
        <v>0</v>
      </c>
      <c r="M1507" s="21">
        <v>0</v>
      </c>
      <c r="N1507" s="21">
        <v>0</v>
      </c>
      <c r="O1507" s="21">
        <v>0</v>
      </c>
      <c r="P1507" s="21">
        <v>0</v>
      </c>
      <c r="Q1507" s="21">
        <v>0</v>
      </c>
      <c r="R1507" s="21">
        <v>0</v>
      </c>
      <c r="S1507" s="21">
        <v>0</v>
      </c>
      <c r="T1507" s="21">
        <v>0</v>
      </c>
      <c r="U1507" s="29">
        <f>ROUND((60000+436095.14)*0.42,2)</f>
        <v>208359.96</v>
      </c>
      <c r="V1507" s="21">
        <f>SUM(J1507:U1507)</f>
        <v>208359.96</v>
      </c>
    </row>
    <row r="1508" spans="3:22" ht="14.25" customHeight="1" thickBot="1">
      <c r="C1508" s="6" t="s">
        <v>424</v>
      </c>
      <c r="J1508" s="22">
        <f aca="true" t="shared" si="187" ref="J1508:V1508">SUM(J1505:J1507)</f>
        <v>0</v>
      </c>
      <c r="K1508" s="22">
        <f t="shared" si="187"/>
        <v>0</v>
      </c>
      <c r="L1508" s="22">
        <f t="shared" si="187"/>
        <v>0</v>
      </c>
      <c r="M1508" s="22">
        <f t="shared" si="187"/>
        <v>0</v>
      </c>
      <c r="N1508" s="22">
        <f t="shared" si="187"/>
        <v>0</v>
      </c>
      <c r="O1508" s="22">
        <f t="shared" si="187"/>
        <v>0</v>
      </c>
      <c r="P1508" s="22">
        <f t="shared" si="187"/>
        <v>0</v>
      </c>
      <c r="Q1508" s="22">
        <f t="shared" si="187"/>
        <v>0</v>
      </c>
      <c r="R1508" s="22">
        <f t="shared" si="187"/>
        <v>0</v>
      </c>
      <c r="S1508" s="22">
        <f t="shared" si="187"/>
        <v>0</v>
      </c>
      <c r="T1508" s="22">
        <f t="shared" si="187"/>
        <v>0</v>
      </c>
      <c r="U1508" s="30">
        <f t="shared" si="187"/>
        <v>208368.71</v>
      </c>
      <c r="V1508" s="22">
        <f t="shared" si="187"/>
        <v>208368.71</v>
      </c>
    </row>
    <row r="1509" spans="3:22" ht="14.25" customHeight="1">
      <c r="C1509" s="10"/>
      <c r="J1509" s="47"/>
      <c r="K1509" s="47"/>
      <c r="L1509" s="47"/>
      <c r="M1509" s="47"/>
      <c r="N1509" s="47"/>
      <c r="O1509" s="47"/>
      <c r="P1509" s="47"/>
      <c r="Q1509" s="47"/>
      <c r="R1509" s="47"/>
      <c r="S1509" s="47"/>
      <c r="T1509" s="47"/>
      <c r="U1509" s="48"/>
      <c r="V1509" s="47"/>
    </row>
    <row r="1510" spans="1:3" ht="14.25" customHeight="1">
      <c r="A1510" s="14">
        <f>A1504</f>
        <v>114</v>
      </c>
      <c r="B1510" s="1" t="s">
        <v>249</v>
      </c>
      <c r="C1510" s="5" t="s">
        <v>425</v>
      </c>
    </row>
    <row r="1511" spans="3:22" ht="14.25" customHeight="1">
      <c r="C1511" s="4" t="s">
        <v>3</v>
      </c>
      <c r="J1511" s="21">
        <v>0</v>
      </c>
      <c r="K1511" s="21">
        <v>0</v>
      </c>
      <c r="L1511" s="21">
        <v>0</v>
      </c>
      <c r="M1511" s="21">
        <v>0</v>
      </c>
      <c r="N1511" s="21">
        <v>0</v>
      </c>
      <c r="O1511" s="21">
        <v>0</v>
      </c>
      <c r="P1511" s="21">
        <v>0</v>
      </c>
      <c r="Q1511" s="21">
        <v>0</v>
      </c>
      <c r="R1511" s="21">
        <v>0</v>
      </c>
      <c r="S1511" s="21">
        <v>0</v>
      </c>
      <c r="T1511" s="21">
        <v>0</v>
      </c>
      <c r="U1511" s="29">
        <v>0</v>
      </c>
      <c r="V1511" s="21">
        <f>SUM(J1511:U1511)</f>
        <v>0</v>
      </c>
    </row>
    <row r="1512" spans="3:22" ht="14.25" customHeight="1">
      <c r="C1512" s="4" t="s">
        <v>4</v>
      </c>
      <c r="J1512" s="45"/>
      <c r="K1512" s="45"/>
      <c r="N1512" s="45"/>
      <c r="P1512" s="45"/>
      <c r="Q1512" s="45"/>
      <c r="R1512" s="45"/>
      <c r="S1512" s="45"/>
      <c r="T1512" s="45"/>
      <c r="U1512" s="52">
        <f>ROUND(20.83*0.58,2)</f>
        <v>12.08</v>
      </c>
      <c r="V1512" s="21">
        <f>SUM(J1512:U1512)</f>
        <v>12.08</v>
      </c>
    </row>
    <row r="1513" spans="3:22" ht="14.25" customHeight="1" thickBot="1">
      <c r="C1513" s="4" t="s">
        <v>5</v>
      </c>
      <c r="J1513" s="21">
        <v>0</v>
      </c>
      <c r="K1513" s="21">
        <v>0</v>
      </c>
      <c r="L1513" s="21">
        <v>0</v>
      </c>
      <c r="M1513" s="21">
        <v>0</v>
      </c>
      <c r="N1513" s="21">
        <v>0</v>
      </c>
      <c r="O1513" s="21">
        <v>0</v>
      </c>
      <c r="P1513" s="21">
        <v>0</v>
      </c>
      <c r="Q1513" s="21">
        <v>0</v>
      </c>
      <c r="R1513" s="21">
        <v>0</v>
      </c>
      <c r="S1513" s="21">
        <v>0</v>
      </c>
      <c r="T1513" s="21">
        <v>0</v>
      </c>
      <c r="U1513" s="29">
        <f>ROUND((60000+436095.14)*0.58,2)</f>
        <v>287735.18</v>
      </c>
      <c r="V1513" s="21">
        <f>SUM(J1513:U1513)</f>
        <v>287735.18</v>
      </c>
    </row>
    <row r="1514" spans="3:22" ht="14.25" customHeight="1" thickBot="1">
      <c r="C1514" s="6" t="s">
        <v>426</v>
      </c>
      <c r="J1514" s="22">
        <f aca="true" t="shared" si="188" ref="J1514:V1514">SUM(J1511:J1513)</f>
        <v>0</v>
      </c>
      <c r="K1514" s="22">
        <f t="shared" si="188"/>
        <v>0</v>
      </c>
      <c r="L1514" s="22">
        <f t="shared" si="188"/>
        <v>0</v>
      </c>
      <c r="M1514" s="22">
        <f t="shared" si="188"/>
        <v>0</v>
      </c>
      <c r="N1514" s="22">
        <f t="shared" si="188"/>
        <v>0</v>
      </c>
      <c r="O1514" s="22">
        <f t="shared" si="188"/>
        <v>0</v>
      </c>
      <c r="P1514" s="22">
        <f t="shared" si="188"/>
        <v>0</v>
      </c>
      <c r="Q1514" s="22">
        <f t="shared" si="188"/>
        <v>0</v>
      </c>
      <c r="R1514" s="22">
        <f t="shared" si="188"/>
        <v>0</v>
      </c>
      <c r="S1514" s="22">
        <f t="shared" si="188"/>
        <v>0</v>
      </c>
      <c r="T1514" s="22">
        <f t="shared" si="188"/>
        <v>0</v>
      </c>
      <c r="U1514" s="30">
        <f t="shared" si="188"/>
        <v>287747.26</v>
      </c>
      <c r="V1514" s="22">
        <f t="shared" si="188"/>
        <v>287747.26</v>
      </c>
    </row>
    <row r="1515" spans="3:22" ht="14.25" customHeight="1">
      <c r="C1515" s="10"/>
      <c r="J1515" s="47"/>
      <c r="K1515" s="47"/>
      <c r="L1515" s="47"/>
      <c r="M1515" s="47"/>
      <c r="N1515" s="47"/>
      <c r="O1515" s="47"/>
      <c r="P1515" s="47"/>
      <c r="Q1515" s="47"/>
      <c r="R1515" s="47"/>
      <c r="S1515" s="47"/>
      <c r="T1515" s="47"/>
      <c r="U1515" s="48"/>
      <c r="V1515" s="47"/>
    </row>
    <row r="1516" spans="1:3" ht="14.25" customHeight="1">
      <c r="A1516" s="14">
        <f>+A1504+1</f>
        <v>115</v>
      </c>
      <c r="B1516" s="1" t="s">
        <v>248</v>
      </c>
      <c r="C1516" s="5" t="s">
        <v>427</v>
      </c>
    </row>
    <row r="1517" spans="3:22" ht="14.25" customHeight="1">
      <c r="C1517" s="4" t="s">
        <v>3</v>
      </c>
      <c r="J1517" s="21">
        <v>0</v>
      </c>
      <c r="K1517" s="21">
        <v>0</v>
      </c>
      <c r="L1517" s="21">
        <v>0</v>
      </c>
      <c r="M1517" s="21">
        <v>0</v>
      </c>
      <c r="N1517" s="21">
        <v>0</v>
      </c>
      <c r="O1517" s="21">
        <v>0</v>
      </c>
      <c r="P1517" s="21">
        <v>0</v>
      </c>
      <c r="Q1517" s="21">
        <v>0</v>
      </c>
      <c r="R1517" s="21">
        <v>0</v>
      </c>
      <c r="S1517" s="21">
        <v>0</v>
      </c>
      <c r="T1517" s="21">
        <v>0</v>
      </c>
      <c r="U1517" s="29">
        <v>0</v>
      </c>
      <c r="V1517" s="21">
        <f>SUM(J1517:U1517)</f>
        <v>0</v>
      </c>
    </row>
    <row r="1518" spans="3:22" ht="14.25" customHeight="1">
      <c r="C1518" s="4" t="s">
        <v>4</v>
      </c>
      <c r="J1518" s="45"/>
      <c r="K1518" s="45"/>
      <c r="N1518" s="45"/>
      <c r="P1518" s="45"/>
      <c r="Q1518" s="45"/>
      <c r="R1518" s="45"/>
      <c r="S1518" s="45"/>
      <c r="T1518" s="45"/>
      <c r="U1518" s="52">
        <f>ROUND(20.83*0.31,2)</f>
        <v>6.46</v>
      </c>
      <c r="V1518" s="21">
        <f>SUM(J1518:U1518)</f>
        <v>6.46</v>
      </c>
    </row>
    <row r="1519" spans="3:22" ht="14.25" customHeight="1" thickBot="1">
      <c r="C1519" s="4" t="s">
        <v>5</v>
      </c>
      <c r="J1519" s="21">
        <v>0</v>
      </c>
      <c r="K1519" s="21">
        <v>0</v>
      </c>
      <c r="L1519" s="21">
        <v>0</v>
      </c>
      <c r="M1519" s="21">
        <v>0</v>
      </c>
      <c r="N1519" s="21">
        <v>0</v>
      </c>
      <c r="O1519" s="21">
        <v>0</v>
      </c>
      <c r="P1519" s="21">
        <v>0</v>
      </c>
      <c r="Q1519" s="21">
        <v>0</v>
      </c>
      <c r="R1519" s="21">
        <v>0</v>
      </c>
      <c r="S1519" s="21">
        <v>0</v>
      </c>
      <c r="T1519" s="21">
        <v>0</v>
      </c>
      <c r="U1519" s="29">
        <f>ROUND((35000+241752.17)*0.31,2)</f>
        <v>85793.17</v>
      </c>
      <c r="V1519" s="21">
        <f>SUM(J1519:U1519)</f>
        <v>85793.17</v>
      </c>
    </row>
    <row r="1520" spans="3:22" ht="14.25" customHeight="1" thickBot="1">
      <c r="C1520" s="6" t="s">
        <v>304</v>
      </c>
      <c r="J1520" s="22">
        <f aca="true" t="shared" si="189" ref="J1520:V1520">SUM(J1517:J1519)</f>
        <v>0</v>
      </c>
      <c r="K1520" s="22">
        <f t="shared" si="189"/>
        <v>0</v>
      </c>
      <c r="L1520" s="22">
        <f t="shared" si="189"/>
        <v>0</v>
      </c>
      <c r="M1520" s="22">
        <f t="shared" si="189"/>
        <v>0</v>
      </c>
      <c r="N1520" s="22">
        <f t="shared" si="189"/>
        <v>0</v>
      </c>
      <c r="O1520" s="22">
        <f t="shared" si="189"/>
        <v>0</v>
      </c>
      <c r="P1520" s="22">
        <f t="shared" si="189"/>
        <v>0</v>
      </c>
      <c r="Q1520" s="22">
        <f t="shared" si="189"/>
        <v>0</v>
      </c>
      <c r="R1520" s="22">
        <f t="shared" si="189"/>
        <v>0</v>
      </c>
      <c r="S1520" s="22">
        <f t="shared" si="189"/>
        <v>0</v>
      </c>
      <c r="T1520" s="22">
        <f t="shared" si="189"/>
        <v>0</v>
      </c>
      <c r="U1520" s="30">
        <f t="shared" si="189"/>
        <v>85799.63</v>
      </c>
      <c r="V1520" s="22">
        <f t="shared" si="189"/>
        <v>85799.63</v>
      </c>
    </row>
    <row r="1521" spans="3:22" ht="14.25" customHeight="1">
      <c r="C1521" s="10"/>
      <c r="J1521" s="47"/>
      <c r="K1521" s="47"/>
      <c r="L1521" s="47"/>
      <c r="M1521" s="47"/>
      <c r="N1521" s="47"/>
      <c r="O1521" s="47"/>
      <c r="P1521" s="47"/>
      <c r="Q1521" s="47"/>
      <c r="R1521" s="47"/>
      <c r="S1521" s="47"/>
      <c r="T1521" s="47"/>
      <c r="U1521" s="48"/>
      <c r="V1521" s="47"/>
    </row>
    <row r="1522" spans="1:3" ht="14.25" customHeight="1">
      <c r="A1522" s="14">
        <f>A1516</f>
        <v>115</v>
      </c>
      <c r="B1522" s="1" t="s">
        <v>249</v>
      </c>
      <c r="C1522" s="5" t="s">
        <v>428</v>
      </c>
    </row>
    <row r="1523" spans="3:22" ht="14.25" customHeight="1">
      <c r="C1523" s="4" t="s">
        <v>3</v>
      </c>
      <c r="J1523" s="21">
        <v>0</v>
      </c>
      <c r="K1523" s="21">
        <v>0</v>
      </c>
      <c r="L1523" s="21">
        <v>0</v>
      </c>
      <c r="M1523" s="21">
        <v>0</v>
      </c>
      <c r="N1523" s="21">
        <v>0</v>
      </c>
      <c r="O1523" s="21">
        <v>0</v>
      </c>
      <c r="P1523" s="21">
        <v>0</v>
      </c>
      <c r="Q1523" s="21">
        <v>0</v>
      </c>
      <c r="R1523" s="21">
        <v>0</v>
      </c>
      <c r="S1523" s="21">
        <v>0</v>
      </c>
      <c r="T1523" s="21">
        <v>0</v>
      </c>
      <c r="U1523" s="29">
        <v>0</v>
      </c>
      <c r="V1523" s="21">
        <f>SUM(J1523:U1523)</f>
        <v>0</v>
      </c>
    </row>
    <row r="1524" spans="3:22" ht="14.25" customHeight="1">
      <c r="C1524" s="4" t="s">
        <v>4</v>
      </c>
      <c r="J1524" s="45"/>
      <c r="K1524" s="45"/>
      <c r="N1524" s="45"/>
      <c r="P1524" s="45"/>
      <c r="Q1524" s="45"/>
      <c r="R1524" s="45"/>
      <c r="S1524" s="45"/>
      <c r="T1524" s="45"/>
      <c r="U1524" s="52">
        <f>ROUND(20.83*0.41,2)</f>
        <v>8.54</v>
      </c>
      <c r="V1524" s="21">
        <f>SUM(J1524:U1524)</f>
        <v>8.54</v>
      </c>
    </row>
    <row r="1525" spans="3:22" ht="14.25" customHeight="1" thickBot="1">
      <c r="C1525" s="4" t="s">
        <v>5</v>
      </c>
      <c r="J1525" s="21">
        <v>0</v>
      </c>
      <c r="K1525" s="21">
        <v>0</v>
      </c>
      <c r="L1525" s="21">
        <v>0</v>
      </c>
      <c r="M1525" s="21">
        <v>0</v>
      </c>
      <c r="N1525" s="21">
        <v>0</v>
      </c>
      <c r="O1525" s="21">
        <v>0</v>
      </c>
      <c r="P1525" s="21">
        <v>0</v>
      </c>
      <c r="Q1525" s="21">
        <v>0</v>
      </c>
      <c r="R1525" s="21">
        <v>0</v>
      </c>
      <c r="S1525" s="21">
        <v>0</v>
      </c>
      <c r="T1525" s="21">
        <v>0</v>
      </c>
      <c r="U1525" s="29">
        <f>ROUND((35000+241752.17)*0.41,2)</f>
        <v>113468.39</v>
      </c>
      <c r="V1525" s="21">
        <f>SUM(J1525:U1525)</f>
        <v>113468.39</v>
      </c>
    </row>
    <row r="1526" spans="3:22" ht="14.25" customHeight="1" thickBot="1">
      <c r="C1526" s="6" t="s">
        <v>429</v>
      </c>
      <c r="J1526" s="22">
        <f aca="true" t="shared" si="190" ref="J1526:V1526">SUM(J1523:J1525)</f>
        <v>0</v>
      </c>
      <c r="K1526" s="22">
        <f t="shared" si="190"/>
        <v>0</v>
      </c>
      <c r="L1526" s="22">
        <f t="shared" si="190"/>
        <v>0</v>
      </c>
      <c r="M1526" s="22">
        <f t="shared" si="190"/>
        <v>0</v>
      </c>
      <c r="N1526" s="22">
        <f t="shared" si="190"/>
        <v>0</v>
      </c>
      <c r="O1526" s="22">
        <f t="shared" si="190"/>
        <v>0</v>
      </c>
      <c r="P1526" s="22">
        <f t="shared" si="190"/>
        <v>0</v>
      </c>
      <c r="Q1526" s="22">
        <f t="shared" si="190"/>
        <v>0</v>
      </c>
      <c r="R1526" s="22">
        <f t="shared" si="190"/>
        <v>0</v>
      </c>
      <c r="S1526" s="22">
        <f t="shared" si="190"/>
        <v>0</v>
      </c>
      <c r="T1526" s="22">
        <f t="shared" si="190"/>
        <v>0</v>
      </c>
      <c r="U1526" s="30">
        <f t="shared" si="190"/>
        <v>113476.93</v>
      </c>
      <c r="V1526" s="22">
        <f t="shared" si="190"/>
        <v>113476.93</v>
      </c>
    </row>
    <row r="1527" spans="3:22" ht="14.25" customHeight="1">
      <c r="C1527" s="10"/>
      <c r="J1527" s="47"/>
      <c r="K1527" s="47"/>
      <c r="L1527" s="47"/>
      <c r="M1527" s="47"/>
      <c r="N1527" s="47"/>
      <c r="O1527" s="47"/>
      <c r="P1527" s="47"/>
      <c r="Q1527" s="47"/>
      <c r="R1527" s="47"/>
      <c r="S1527" s="47"/>
      <c r="T1527" s="47"/>
      <c r="U1527" s="48"/>
      <c r="V1527" s="47"/>
    </row>
    <row r="1528" spans="1:3" ht="14.25" customHeight="1">
      <c r="A1528" s="14">
        <f>A1516</f>
        <v>115</v>
      </c>
      <c r="B1528" s="1" t="s">
        <v>250</v>
      </c>
      <c r="C1528" s="5" t="s">
        <v>430</v>
      </c>
    </row>
    <row r="1529" spans="3:22" ht="14.25" customHeight="1">
      <c r="C1529" s="4" t="s">
        <v>3</v>
      </c>
      <c r="J1529" s="21">
        <v>0</v>
      </c>
      <c r="K1529" s="21">
        <v>0</v>
      </c>
      <c r="L1529" s="21">
        <v>0</v>
      </c>
      <c r="M1529" s="21">
        <v>0</v>
      </c>
      <c r="N1529" s="21">
        <v>0</v>
      </c>
      <c r="O1529" s="21">
        <v>0</v>
      </c>
      <c r="P1529" s="21">
        <v>0</v>
      </c>
      <c r="Q1529" s="21">
        <v>0</v>
      </c>
      <c r="R1529" s="21">
        <v>0</v>
      </c>
      <c r="S1529" s="21">
        <v>0</v>
      </c>
      <c r="T1529" s="21">
        <v>0</v>
      </c>
      <c r="U1529" s="29">
        <v>0</v>
      </c>
      <c r="V1529" s="21">
        <f>SUM(J1529:U1529)</f>
        <v>0</v>
      </c>
    </row>
    <row r="1530" spans="3:22" ht="14.25" customHeight="1">
      <c r="C1530" s="4" t="s">
        <v>4</v>
      </c>
      <c r="J1530" s="45"/>
      <c r="K1530" s="45"/>
      <c r="N1530" s="45"/>
      <c r="P1530" s="45"/>
      <c r="Q1530" s="45"/>
      <c r="R1530" s="45"/>
      <c r="S1530" s="45"/>
      <c r="T1530" s="45"/>
      <c r="U1530" s="52">
        <f>ROUND(20.83*0.28,2)</f>
        <v>5.83</v>
      </c>
      <c r="V1530" s="21">
        <f>SUM(J1530:U1530)</f>
        <v>5.83</v>
      </c>
    </row>
    <row r="1531" spans="3:22" ht="14.25" customHeight="1" thickBot="1">
      <c r="C1531" s="4" t="s">
        <v>5</v>
      </c>
      <c r="J1531" s="21">
        <v>0</v>
      </c>
      <c r="K1531" s="21">
        <v>0</v>
      </c>
      <c r="L1531" s="21">
        <v>0</v>
      </c>
      <c r="M1531" s="21">
        <v>0</v>
      </c>
      <c r="N1531" s="21">
        <v>0</v>
      </c>
      <c r="O1531" s="21">
        <v>0</v>
      </c>
      <c r="P1531" s="21">
        <v>0</v>
      </c>
      <c r="Q1531" s="21">
        <v>0</v>
      </c>
      <c r="R1531" s="21">
        <v>0</v>
      </c>
      <c r="S1531" s="21">
        <v>0</v>
      </c>
      <c r="T1531" s="21">
        <v>0</v>
      </c>
      <c r="U1531" s="29">
        <f>ROUND((35000+241752.17)*0.28,2)</f>
        <v>77490.61</v>
      </c>
      <c r="V1531" s="21">
        <f>SUM(J1531:U1531)</f>
        <v>77490.61</v>
      </c>
    </row>
    <row r="1532" spans="3:22" ht="14.25" customHeight="1" thickBot="1">
      <c r="C1532" s="6" t="s">
        <v>431</v>
      </c>
      <c r="J1532" s="22">
        <f aca="true" t="shared" si="191" ref="J1532:V1532">SUM(J1529:J1531)</f>
        <v>0</v>
      </c>
      <c r="K1532" s="22">
        <f t="shared" si="191"/>
        <v>0</v>
      </c>
      <c r="L1532" s="22">
        <f t="shared" si="191"/>
        <v>0</v>
      </c>
      <c r="M1532" s="22">
        <f t="shared" si="191"/>
        <v>0</v>
      </c>
      <c r="N1532" s="22">
        <f t="shared" si="191"/>
        <v>0</v>
      </c>
      <c r="O1532" s="22">
        <f t="shared" si="191"/>
        <v>0</v>
      </c>
      <c r="P1532" s="22">
        <f t="shared" si="191"/>
        <v>0</v>
      </c>
      <c r="Q1532" s="22">
        <f t="shared" si="191"/>
        <v>0</v>
      </c>
      <c r="R1532" s="22">
        <f t="shared" si="191"/>
        <v>0</v>
      </c>
      <c r="S1532" s="22">
        <f t="shared" si="191"/>
        <v>0</v>
      </c>
      <c r="T1532" s="22">
        <f t="shared" si="191"/>
        <v>0</v>
      </c>
      <c r="U1532" s="30">
        <f t="shared" si="191"/>
        <v>77496.44</v>
      </c>
      <c r="V1532" s="22">
        <f t="shared" si="191"/>
        <v>77496.44</v>
      </c>
    </row>
    <row r="1533" spans="3:22" ht="14.25" customHeight="1">
      <c r="C1533" s="10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8"/>
      <c r="V1533" s="47"/>
    </row>
    <row r="1534" spans="3:22" ht="14.25" customHeight="1">
      <c r="C1534" s="10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8"/>
      <c r="V1534" s="47"/>
    </row>
    <row r="1535" ht="14.25" customHeight="1">
      <c r="C1535" s="5" t="s">
        <v>41</v>
      </c>
    </row>
    <row r="1536" spans="3:22" ht="14.25" customHeight="1">
      <c r="C1536" s="4" t="s">
        <v>195</v>
      </c>
      <c r="J1536" s="23">
        <f>SUM(J5,J11,J17,J23,J29,J35,J41,J47,J53,J59,J65,J71,J77,J83,J89,J95,J101,J107,J113,J119,J125,J131,J137,J143,J149,J155,J161,J167,J173,J179)+SUM(J185,J191,J197,J203,J209,J215,J221,J227,J233,J239,J245,J251,J257,J263,J269,J275,J281,J287,J293,J299,J305,J311,J317,J323,J329,J335,J341,J347,J353,J359)+SUM(J365,J371,J377,J383,J389,J395,J401,J407,J413,J419,J425,J431,J437,J443,J449,J455,J461,J467,J473,J479,J485,J491,J497,J503,J509,J515,J521,J527,J533,J539)+SUM(J545,J551,J557,J563,J569,J575,J581,J587,J593,J599,J605,J611,J617,J623,J629,J635,J641,J647,J653,J659,J665,J671,J677,J683,J689)+SUM(J695,J701,J707,J713,J719,J725,J731,J737,J743,J749,J755,J761,J767,J773,J779,J785,J791,J797,J803,J809,J815,J821,J827,J833,J839,J845,J851,J857,J863,J869)+SUM(J875,J881,J887,J893,J899,J905,J911,J917,J923,J929,J935,J941,J947,J953,J959,J965,J971,J977,J983,J989,J995,J1001,J1007,J1013,J1019,J1025,J1031,J1037,J1043,J1049)+SUM(J1055,J1061,J1067,J1073,J1079,J1085,J1091,J1097,J1103,J1109,J1115,J1121,J1127,J1133,J1139,J1145,J1151,J1157,J1163,J1169,J1175,J1181,J1187,J1193,J1199,J1205,J1211,J1217,J1223,J1229)+SUM(J1235,J1241,J1247,J1253,J1259,J1265,J1271,J1277,J1283,J1289,J1295,J1301,J1307,J1313,J1319,J1325,J1331,J1337,J1343,J1349,J1355,J1361,J1367,J1373,J1379,J1385,J1391,J1397,J1403,J1409)+SUM(J1415,J1421,J1427,J1433,J1439,J1445,J1451,J1457,J1463,J1469,J1475,J1481,J1487,J1493)</f>
        <v>39954.81999999999</v>
      </c>
      <c r="K1536" s="23">
        <f aca="true" t="shared" si="192" ref="K1536:T1536">SUM(K5,K11,K17,K23,K29,K35,K41,K47,K53,K59,K65,K71,K77,K83,K89,K95,K101,K107,K113,K119,K125,K131,K137,K143,K149,K155,K161,K167,K173,K179)+SUM(K185,K191,K197,K203,K209,K215,K221,K227,K233,K239,K245,K251,K257,K263,K269,K275,K281,K287,K293,K299,K305,K311,K317,K323,K329,K335,K341,K347,K353,K359)+SUM(K365,K371,K377,K383,K389,K395,K401,K407,K413,K419,K425,K431,K437,K443,K449,K455,K461,K467,K473,K479,K485,K491,K497,K503,K509,K515,K521,K527,K533,K539)+SUM(K545,K551,K557,K563,K569,K575,K581,K587,K593,K599,K605,K611,K617,K623,K629,K635,K641,K647,K653,K659,K665,K671,K677,K683,K689)+SUM(K695,K701,K707,K713,K719,K725,K731,K737,K743,K749,K755,K761,K767,K773,K779,K785,K791,K797,K803,K809,K815,K821,K827,K833,K839,K845,K851,K857,K863,K869)+SUM(K875,K881,K887,K893,K899,K905,K911,K917,K923,K929,K935,K941,K947,K953,K959,K965,K971,K977,K983,K989,K995,K1001,K1007,K1013,K1019,K1025,K1031,K1037,K1043,K1049)+SUM(K1055,K1061,K1067,K1073,K1079,K1085,K1091,K1097,K1103,K1109,K1115,K1121,K1127,K1133,K1139,K1145,K1151,K1157,K1163,K1169,K1175,K1181,K1187,K1193,K1199,K1205,K1211,K1217,K1223,K1229)+SUM(K1235,K1241,K1247,K1253,K1259,K1265,K1271,K1277,K1283,K1289,K1295,K1301,K1307,K1313,K1319,K1325,K1331,K1337,K1343,K1349,K1355,K1361,K1367,K1373,K1379,K1385,K1391,K1397,K1403,K1409)+SUM(K1415,K1421,K1427,K1433,K1439,K1445,K1451,K1457,K1463,K1469,K1475,K1481,K1487,K1493)</f>
        <v>41726.149999999994</v>
      </c>
      <c r="L1536" s="23">
        <f t="shared" si="192"/>
        <v>41726.149999999994</v>
      </c>
      <c r="M1536" s="23">
        <f t="shared" si="192"/>
        <v>41501.979999999996</v>
      </c>
      <c r="N1536" s="23">
        <f t="shared" si="192"/>
        <v>47325.549999999996</v>
      </c>
      <c r="O1536" s="23">
        <f t="shared" si="192"/>
        <v>46460.549999999996</v>
      </c>
      <c r="P1536" s="23">
        <f t="shared" si="192"/>
        <v>46321.409999999996</v>
      </c>
      <c r="Q1536" s="23">
        <f t="shared" si="192"/>
        <v>46641.369999999995</v>
      </c>
      <c r="R1536" s="23">
        <f t="shared" si="192"/>
        <v>49477.700000000004</v>
      </c>
      <c r="S1536" s="23">
        <f t="shared" si="192"/>
        <v>49396.19000000001</v>
      </c>
      <c r="T1536" s="23">
        <f t="shared" si="192"/>
        <v>49325.340000000004</v>
      </c>
      <c r="U1536" s="31">
        <f>SUM(U275,U281,U287,U293,U299,U305,U311,U317,U323,U329,U335,U341,U347,U353,U359)+SUM(U365,U371,U377,U383,U389,U395,U401,U407,U413,U419,U425,U431,U437,U443,U449,U455,U461,U467,U473,U479,U485,U491,U497,U503,U509,U515,U521,U527,U533,U539)+SUM(U545,U551,U557,U563,U569,U575,U581,U587,U593,U599,U605,U611,U617,U623,U629,U635,U641,U647,U653,U659,U665,U671,U677,U683,U689)+SUM(U695,U701,U707,U713,U719,U725,U731,U737,U743,U749,U755,U761,U767,U773,U779,U785,U791,U797,U803,U809,U815,U821,U827,U833,U839,U845,U851,U857,U863,U869)+SUM(U875,U881,U887,U893,U899,U905,U911,U917,U923,U929,U935,U941,U947,U953,U959,U965,U971,U977,U983,U989,U995,U1001,U1007,U1013,U1019,U1025,U1031,U1037,U1043,U1049)+SUM(U1055,U1061,U1067,U1073,U1079,U1085,U1091,U1097,U1103,U1109,U1115,U1121,U1127,U1133,U1139,U1145,U1151,U1157,U1163,U1169,U1175,U1181,U1187,U1193,U1199,U1205,U1211,U1217,U1223,U1229)+SUM(U1235,U1241,U1247,U1253,U1259,U1265,U1271,U1277,U1283,U1289,U1295,U1301,U1307,U1313,U1319,U1325,U1331,U1337,U1343,U1349,U1355,U1361,U1367,U1373,U1379,U1385,U1391,U1397,U1403,U1409)+SUM(U1415,U1421,U1427,U1433,U1439,U1445,U1451,U1457,U1463,U1469,U1475,U1481,U1487,U1493)+SUM(U1499,U1505,U1511,U1517,U1523,U1529)</f>
        <v>48434.840000000004</v>
      </c>
      <c r="V1536" s="23">
        <f>SUM(J1536:U1536)</f>
        <v>548292.0499999999</v>
      </c>
    </row>
    <row r="1537" spans="3:22" ht="14.25" customHeight="1">
      <c r="C1537" s="4" t="s">
        <v>196</v>
      </c>
      <c r="J1537" s="23">
        <f>SUM(J6,J12,J18,J24,J30,J36,J42,J48,J54,J60,J66,J72,J78,J84,J90,J96,J102,J108,J114,J120,J126,J132,J138,J144,J150,J156,J162,J168,J174,J180)+SUM(J186,J192,J198,J204,J210,J216,J222,J228,J234,J240,J246,J252,J258,J264,J270,J276,J282,J288,J294,J300,J306,J312,J318,J324,J330,J336,J342,J348,J354,J360)+SUM(J366,J372,J378,J384,J390,J396,J402,J408,,J414,J420,J426,J432,J438,J444,J450,J456,J462,J468,J474,J480,J486,J492,J498,J504,J510,J516,J522,J528,J534)+SUM(J540,J546,J552,J558,J564,J570,J576,J582,J588,J594,J600,J606,J612,J618,J624,J630,J636,J642,J648,J654,J660,J666,J672,J678,J684,J690)+SUM(J696,J702,J708,J714,J720,J726,J732,J738,J744,J750,J756,J762,J768,J774,J780,J786,J792,J798,J804,J810,J816,J822,J828,J834,J840,J846,J852,J858,J864,J870)+SUM(J876,J882,J888,J894,J900,J906,J912,J918,J924,J930,J936,J942,J948,J954,J960,J966,J972,J978,J984,J990,J996,J1002,J1008,J1014,J1020,J1026,J1032,J1038,J1044,J1050)+SUM(J1056,J1062,J1068,J1074,J1080,J1086,J1092,J1098,J1104,J1110,J1116,J1122,J1128,J1134,J1140,J1146,J1152,J1158,J1164,J1170,J1176,J1182,J1188,J1194,J1200,J1206,J1212,J1218,J1224,J1230)+SUM(J1236,J1242,J1248,J1254,J1260,J1266,J1272,J1278,J1284,J1290,J1296,J1302,J1308,J1314,J1320,J1326,J1332,J1338,J1344,J1350,J1356,J1362,J1368,J1374,J1380,J1386,J1392,J1398,J1404,J1410)+SUM(J1416,J1422,J1428,J1434,J1440,J1446,J1452,J1458,J1464,J1470,J1476,J1482,J1488,J1494)</f>
        <v>28354.17</v>
      </c>
      <c r="K1537" s="23">
        <f aca="true" t="shared" si="193" ref="K1537:T1537">SUM(K6,K12,K18,K24,K30,K36,K42,K48,K54,K60,K66,K72,K78,K84,K90,K96,K102,K108,K114,K120,K126,K132,K138,K144,K150,K156,K162,K168,K174,K180)+SUM(K186,K192,K198,K204,K210,K216,K222,K228,K234,K240,K246,K252,K258,K264,K270,K276,K282,K288,K294,K300,K306,K312,K318,K324,K330,K336,K342,K348,K354,K360)+SUM(K366,K372,K378,K384,K390,K396,K402,K408,,K414,K420,K426,K432,K438,K444,K450,K456,K462,K468,K474,K480,K486,K492,K498,K504,K510,K516,K522,K528,K534)+SUM(K540,K546,K552,K558,K564,K570,K576,K582,K588,K594,K600,K606,K612,K618,K624,K630,K636,K642,K648,K654,K660,K666,K672,K678,K684,K690)+SUM(K696,K702,K708,K714,K720,K726,K732,K738,K744,K750,K756,K762,K768,K774,K780,K786,K792,K798,K804,K810,K816,K822,K828,K834,K840,K846,K852,K858,K864,K870)+SUM(K876,K882,K888,K894,K900,K906,K912,K918,K924,K930,K936,K942,K948,K954,K960,K966,K972,K978,K984,K990,K996,K1002,K1008,K1014,K1020,K1026,K1032,K1038,K1044,K1050)+SUM(K1056,K1062,K1068,K1074,K1080,K1086,K1092,K1098,K1104,K1110,K1116,K1122,K1128,K1134,K1140,K1146,K1152,K1158,K1164,K1170,K1176,K1182,K1188,K1194,K1200,K1206,K1212,K1218,K1224,K1230)+SUM(K1236,K1242,K1248,K1254,K1260,K1266,K1272,K1278,K1284,K1290,K1296,K1302,K1308,K1314,K1320,K1326,K1332,K1338,K1344,K1350,K1356,K1362,K1368,K1374,K1380,K1386,K1392,K1398,K1404,K1410)+SUM(K1416,K1422,K1428,K1434,K1440,K1446,K1452,K1458,K1464,K1470,K1476,K1482,K1488,K1494)</f>
        <v>229.17</v>
      </c>
      <c r="L1537" s="23">
        <f t="shared" si="193"/>
        <v>0</v>
      </c>
      <c r="M1537" s="23">
        <f t="shared" si="193"/>
        <v>187.5</v>
      </c>
      <c r="N1537" s="23">
        <f t="shared" si="193"/>
        <v>666.68</v>
      </c>
      <c r="O1537" s="23">
        <f t="shared" si="193"/>
        <v>0</v>
      </c>
      <c r="P1537" s="23">
        <f t="shared" si="193"/>
        <v>375</v>
      </c>
      <c r="Q1537" s="23">
        <f t="shared" si="193"/>
        <v>208.34</v>
      </c>
      <c r="R1537" s="23">
        <f t="shared" si="193"/>
        <v>83.33</v>
      </c>
      <c r="S1537" s="23">
        <f t="shared" si="193"/>
        <v>62.5</v>
      </c>
      <c r="T1537" s="23">
        <f t="shared" si="193"/>
        <v>208.35000000000002</v>
      </c>
      <c r="U1537" s="31">
        <f>SUM(U276,U282,U288,U294,U300,U306,U312,U318,U324,U330,U336,U342,U348,U354,U360)+SUM(U366,U372,U378,U384,U390,U396,U402,U408,,U414,U420,U426,U432,U438,U444,U450,U456,U462,U468,U474,U480,U486,U492,U498,U504,U510,U516,U522,U528,U534)+SUM(U540,U546,U552,U558,U564,U570,U576,U582,U588,U594,U600,U606,U612,U618,U624,U630,U636,U642,U648,U654,U660,U666,U672,U678,U684,U690)+SUM(U696,U702,U708,U714,U720,U726,U732,U738,U744,U750,U756,U762,U768,U774,U780,U786,U792,U798,U804,U810,U816,U822,U828,U834,U840,U846,U852,U858,U864,U870)+SUM(U876,U882,U888,U894,U900,U906,U912,U918,U924,U930,U936,U942,U948,U954,U960,U966,U972,U978,U984,U990,U996,U1002,U1008,U1014,U1020,U1026,U1032,U1038,U1044,U1050)+SUM(U1056,U1062,U1068,U1074,U1080,U1086,U1092,U1098,U1104,U1110,U1116,U1122,U1128,U1134,U1140,U1146,U1152,U1158,U1164,U1170,U1176,U1182,U1188,U1194,U1200,U1206,U1212,U1218,U1224,U1230)+SUM(U1236,U1242,U1248,U1254,U1260,U1266,U1272,U1278,U1284,U1290,U1296,U1302,U1308,U1314,U1320,U1326,U1332,U1338,U1344,U1350,U1356,U1362,U1368,U1374,U1380,U1386,U1392,U1398,U1404,U1410)+SUM(U1416,U1422,U1428,U1434,U1440,U1446,U1452,U1458,U1464,U1470,U1476,U1482,U1488,U1494)+SUM(U1500,U1506,U1512,U1518,U1524,U1530)</f>
        <v>62.489999999999995</v>
      </c>
      <c r="V1537" s="23">
        <f>SUM(J1537:U1537)</f>
        <v>30437.53</v>
      </c>
    </row>
    <row r="1538" spans="3:22" ht="14.25" customHeight="1">
      <c r="C1538" s="4" t="s">
        <v>197</v>
      </c>
      <c r="J1538" s="23">
        <f>SUM(J7,J13,J19,J25,J31,J37,J43,J49,J55,J61,J67,J73,J79,J85,J91,J97,J103,J109,J115,J121,J127,J133,J139,J145,J151,J157,J163,J169,J175,J181)+SUM(J187,J193,J199,J205,J211,J217,J223,J229,J235,J241,J247,J253,J259,J265,J271,J277,J283,J289,J295,J301,J307,J313,J319,J325,J331,J337,J343,J349,J355,J361)+SUM(J367,J373,J379,J385,J391,J397,J403,J409,J415,J421,J427,J433,J439,J445,J451,J457,J463,J469,J475,J481,J487,J493,J499,J505,J511,J517,J523,J529,J535,J541)+SUM(J547,J553,J559,J565,J571,J577,J583,J589,J595,J601,J607,J613,J619,J625,J631,J637,J643,J649,J655,J661,J667,J673,J679,J685,J691)+SUM(J697,J703,J709,J715,J721,J727,J733,J739,J745,J751,J757,J763,J769,J775,J781,J787,J793,J799,J805,J811,J817,J823,J829,J835,J841,J847,J853,J859,J865,J871)+SUM(J877,J883,J889,J895,J901,J907,J913,J919,J925,J931,J937,J943,J949,J955,J961,J967,J973,J979,J985,J991,J997,J1003,J1009,J1015,J1021,J1027,J1033,J1039,J1045,J1051)+SUM(J1057,J1063,J1069,J1075,J1081,J1087,J1093,J1099,J1105,J1111,J1117,J1123,J1129,J1135,J1141,J1147,J1153,J1159,J1165,J1171,J1177,J1183,J1189,J1195,J1201,J1207,J1213,J1219,J1225,J1231)+SUM(J1237,J1243,J1249,J1255,J1261,J1267,J1273,J1279,J1285,J1291,J1297,J1303,J1309,J1315,J1321,J1327,J1333,J1339,J1345,J1351,J1357,J1363,J1369,J1375,J1381,J1387,J1393,J1399,J1405,J1411)+SUM(J1417,J1423,J1429,J1435,J1441,J1447,J1453,J1459,J1465,J1471,J1477,J1483,J1489,J1495)</f>
        <v>7790137.301000001</v>
      </c>
      <c r="K1538" s="23">
        <f aca="true" t="shared" si="194" ref="K1538:T1539">SUM(K7,K13,K19,K25,K31,K37,K43,K49,K55,K61,K67,K73,K79,K85,K91,K97,K103,K109,K115,K121,K127,K133,K139,K145,K151,K157,K163,K169,K175,K181)+SUM(K187,K193,K199,K205,K211,K217,K223,K229,K235,K241,K247,K253,K259,K265,K271,K277,K283,K289,K295,K301,K307,K313,K319,K325,K331,K337,K343,K349,K355,K361)+SUM(K367,K373,K379,K385,K391,K397,K403,K409,K415,K421,K427,K433,K439,K445,K451,K457,K463,K469,K475,K481,K487,K493,K499,K505,K511,K517,K523,K529,K535,K541)+SUM(K547,K553,K559,K565,K571,K577,K583,K589,K595,K601,K607,K613,K619,K625,K631,K637,K643,K649,K655,K661,K667,K673,K679,K685,K691)+SUM(K697,K703,K709,K715,K721,K727,K733,K739,K745,K751,K757,K763,K769,K775,K781,K787,K793,K799,K805,K811,K817,K823,K829,K835,K841,K847,K853,K859,K865,K871)+SUM(K877,K883,K889,K895,K901,K907,K913,K919,K925,K931,K937,K943,K949,K955,K961,K967,K973,K979,K985,K991,K997,K1003,K1009,K1015,K1021,K1027,K1033,K1039,K1045,K1051)+SUM(K1057,K1063,K1069,K1075,K1081,K1087,K1093,K1099,K1105,K1111,K1117,K1123,K1129,K1135,K1141,K1147,K1153,K1159,K1165,K1171,K1177,K1183,K1189,K1195,K1201,K1207,K1213,K1219,K1225,K1231)+SUM(K1237,K1243,K1249,K1255,K1261,K1267,K1273,K1279,K1285,K1291,K1297,K1303,K1309,K1315,K1321,K1327,K1333,K1339,K1345,K1351,K1357,K1363,K1369,K1375,K1381,K1387,K1393,K1399,K1405,K1411)+SUM(K1417,K1423,K1429,K1435,K1441,K1447,K1453,K1459,K1465,K1471,K1477,K1483,K1489,K1495)</f>
        <v>7884266.57</v>
      </c>
      <c r="L1538" s="23">
        <f t="shared" si="194"/>
        <v>7892888.82</v>
      </c>
      <c r="M1538" s="23">
        <f t="shared" si="194"/>
        <v>7650722.3599999985</v>
      </c>
      <c r="N1538" s="23">
        <f t="shared" si="194"/>
        <v>7927485.38</v>
      </c>
      <c r="O1538" s="23">
        <f t="shared" si="194"/>
        <v>7878450.24</v>
      </c>
      <c r="P1538" s="23">
        <f t="shared" si="194"/>
        <v>8051033.1</v>
      </c>
      <c r="Q1538" s="23">
        <f t="shared" si="194"/>
        <v>8093433.88</v>
      </c>
      <c r="R1538" s="23">
        <f t="shared" si="194"/>
        <v>8081384.67</v>
      </c>
      <c r="S1538" s="23">
        <f t="shared" si="194"/>
        <v>8073667.090000001</v>
      </c>
      <c r="T1538" s="23">
        <f t="shared" si="194"/>
        <v>8147825.609999999</v>
      </c>
      <c r="U1538" s="31">
        <f>SUM(U277,U283,U289,U295,U301,U307,U313,U319,U325,U331,U337,U343,U349,U355,U361)+SUM(U367,U373,U379,U385,U391,U397,U403,U409,U415,U421,U427,U433,U439,U445,U451,U457,U463,U469,U475,U481,U487,U493,U499,U505,U511,U517,U523,U529,U535,U541)+SUM(U547,U553,U559,U565,U571,U577,U583,U589,U595,U601,U607,U613,U619,U625,U631,U637,U643,U649,U655,U661,U667,U673,U679,U685,U691)+SUM(U697,U703,U709,U715,U721,U727,U733,U739,U745,U751,U757,U763,U769,U775,U781,U787,U793,U799,U805,U811,U817,U823,U829,U835,U841,U847,U853,U859,U865,U871)+SUM(U877,U883,U889,U895,U901,U907,U913,U919,U925,U931,U937,U943,U949,U955,U961,U967,U973,U979,U985,U991,U997,U1003,U1009,U1015,U1021,U1027,U1033,U1039,U1045,U1051)+SUM(U1057,U1063,U1069,U1075,U1081,U1087,U1093,U1099,U1105,U1111,U1117,U1123,U1129,U1135,U1141,U1147,U1153,U1159,U1165,U1171,U1177,U1183,U1189,U1195,U1201,U1207,U1213,U1219,U1225,U1231)+SUM(U1237,U1243,U1249,U1255,U1261,U1267,U1273,U1279,U1285,U1291,U1297,U1303,U1309,U1315,U1321,U1327,U1333,U1339,U1345,U1351,U1357,U1363,U1369,U1375,U1381,U1387,U1393,U1399,U1405,U1411)+SUM(U1417,U1423,U1429,U1435,U1441,U1447,U1453,U1459,U1465,U1471,U1477,U1483,U1489,U1495)+SUM(U1501,U1507,U1513,U1519,U1525,U1531)</f>
        <v>8435747.02</v>
      </c>
      <c r="V1538" s="23">
        <f>SUM(J1538:U1538)</f>
        <v>95907042.04100001</v>
      </c>
    </row>
    <row r="1539" spans="3:22" ht="14.25" customHeight="1">
      <c r="C1539" s="17" t="s">
        <v>198</v>
      </c>
      <c r="J1539" s="23">
        <f>SUM(J8,J14,J20,J26,J32,J38,J44,J50,J56,J62,J68,J74,J80,J86,J92,J98,J104,J110,J116,J122,J128,J134,J140,J146,J152,J158,J164,J170,J176,J182)+SUM(J188,J194,J200,J206,J212,J218,J224,J230,J236,J242,J248,J254,J260,J266,J272,J278,J284,J290,J296,J302,J308,J314,J320,J326,J332,J338,J344,J350,J356,J362)+SUM(J368,J374,J380,J386,J392,J398,J404,J410,J416,J422,J428,J434,J440,J446,J452,J458,J464,J470,J476,J482,J488,J494,J500,J506,J512,J518,J524,J530,J536,J542)+SUM(J548,J554,J560,J566,J572,J578,J584,J590,J596,J602,J608,J614,J620,J626,J632,J638,J644,J650,J656,J662,J668,J674,J680,J686,J692)+SUM(J698,J704,J710,J716,J722,J728,J734,J740,J746,J752,J758,J764,J770,J776,J782,J788,J794,J800,J806,J812,J818,J824,J830,J836,J842,J848,J854,J860,J866,J872)+SUM(J878,J884,J890,J896,J902,J908,J914,J920,J926,J932,J938,J944,J950,J956,J962,J968,J974,J980,J986,J992,J998,J1004,J1010,J1016,J1022,J1028,J1034,J1040,J1046,J1052)+SUM(J1058,J1064,J1070,J1076,J1082,J1088,J1094,J1100,J1106,J1112,J1118,J1124,J1130,J1136,J1142,J1148,J1154,J1160,J1166,J1172,J1178,J1184,J1190,J1196,J1202,J1208,J1214,J1220,J1226,J1232)+SUM(J1238,J1244,J1250,J1256,J1262,J1268,J1274,J1280,J1286,J1292,J1298,J1304,J1310,J1316,J1322,J1328,J1334,J1340,J1346,J1352,J1358,J1364,J1370,J1376,J1382,J1388,J1394,J1400,J1406,J1412)+SUM(J1418,J1424,J1430,J1436,J1442,J1448,J1454,J1460,J1466,J1472,J1478,J1484,J1490,J1496)</f>
        <v>7858446.291</v>
      </c>
      <c r="K1539" s="23">
        <f t="shared" si="194"/>
        <v>7926221.89</v>
      </c>
      <c r="L1539" s="23">
        <f t="shared" si="194"/>
        <v>7934614.969999999</v>
      </c>
      <c r="M1539" s="23">
        <f t="shared" si="194"/>
        <v>7692411.839999999</v>
      </c>
      <c r="N1539" s="23">
        <f t="shared" si="194"/>
        <v>7975477.609999999</v>
      </c>
      <c r="O1539" s="23">
        <f t="shared" si="194"/>
        <v>7924910.79</v>
      </c>
      <c r="P1539" s="23">
        <f t="shared" si="194"/>
        <v>8097729.51</v>
      </c>
      <c r="Q1539" s="23">
        <f t="shared" si="194"/>
        <v>8140283.59</v>
      </c>
      <c r="R1539" s="23">
        <f t="shared" si="194"/>
        <v>8130945.700000001</v>
      </c>
      <c r="S1539" s="23">
        <f t="shared" si="194"/>
        <v>8123125.78</v>
      </c>
      <c r="T1539" s="23">
        <f t="shared" si="194"/>
        <v>8197359.300000001</v>
      </c>
      <c r="U1539" s="31">
        <f>SUM(U278,U284,U290,U296,U302,U308,U314,U320,U326,U332,U338,U344,U350,U356,U362)+SUM(U368,U374,U380,U386,U392,U398,U404,U410,U416,U422,U428,U434,U440,U446,U452,U458,U464,U470,U476,U482,U488,U494,U500,U506,U512,U518,U524,U530,U536,U542)+SUM(U548,U554,U560,U566,U572,U578,U584,U590,U596,U602,U608,U614,U620,U626,U632,U638,U644,U650,U656,U662,U668,U674,U680,U686,U692)+SUM(U698,U704,U710,U716,U722,U728,U734,U740,U746,U752,U758,U764,U770,U776,U782,U788,U794,U800,U806,U812,U818,U824,U830,U836,U842,U848,U854,U860,U866,U872)+SUM(U878,U884,U890,U896,U902,U908,U914,U920,U926,U932,U938,U944,U950,U956,U962,U968,U974,U980,U986,U992,U998,U1004,U1010,U1016,U1022,U1028,U1034,U1040,U1046,U1052)+SUM(U1058,U1064,U1070,U1076,U1082,U1088,U1094,U1100,U1106,U1112,U1118,U1124,U1130,U1136,U1142,U1148,U1154,U1160,U1166,U1172,U1178,U1184,U1190,U1196,U1202,U1208,U1214,U1220,U1226,U1232)+SUM(U1238,U1244,U1250,U1256,U1262,U1268,U1274,U1280,U1286,U1292,U1298,U1304,U1310,U1316,U1322,U1328,U1334,U1340,U1346,U1352,U1358,U1364,U1370,U1376,U1382,U1388,U1394,U1400,U1406,U1412)+SUM(U1418,U1424,U1430,U1436,U1442,U1448,U1454,U1460,U1466,U1472,U1478,U1484,U1490,U1496)+SUM(U1502,U1508,U1514,U1520,U1526,U1532)</f>
        <v>8484244.35</v>
      </c>
      <c r="V1539" s="23">
        <f>SUM(J1539:U1539)</f>
        <v>96485771.62099999</v>
      </c>
    </row>
    <row r="1540" ht="14.25" customHeight="1">
      <c r="C1540" s="4"/>
    </row>
    <row r="1541" spans="2:3" ht="14.25" customHeight="1">
      <c r="B1541" s="36" t="s">
        <v>103</v>
      </c>
      <c r="C1541" s="18" t="s">
        <v>83</v>
      </c>
    </row>
    <row r="1542" spans="2:3" ht="14.25" customHeight="1">
      <c r="B1542" s="35" t="s">
        <v>104</v>
      </c>
      <c r="C1542" s="19" t="s">
        <v>60</v>
      </c>
    </row>
    <row r="1543" spans="1:3" ht="14.25" customHeight="1">
      <c r="A1543" s="16"/>
      <c r="B1543" s="43" t="s">
        <v>102</v>
      </c>
      <c r="C1543" s="44" t="s">
        <v>324</v>
      </c>
    </row>
    <row r="1544" ht="14.25" customHeight="1">
      <c r="C1544" s="4"/>
    </row>
    <row r="1545" spans="3:13" ht="14.25" customHeight="1">
      <c r="C1545" s="4"/>
      <c r="M1545" s="51"/>
    </row>
    <row r="1546" ht="14.25" customHeight="1">
      <c r="C1546" s="4"/>
    </row>
    <row r="1547" ht="14.25" customHeight="1">
      <c r="C1547" s="4"/>
    </row>
    <row r="1548" ht="14.25" customHeight="1">
      <c r="C1548" s="4"/>
    </row>
    <row r="1549" ht="14.25" customHeight="1">
      <c r="C1549" s="4"/>
    </row>
    <row r="1550" ht="14.25" customHeight="1">
      <c r="C1550" s="4"/>
    </row>
    <row r="1551" ht="14.25" customHeight="1">
      <c r="C1551" s="4"/>
    </row>
    <row r="1552" ht="14.25" customHeight="1">
      <c r="C1552" s="4"/>
    </row>
    <row r="1553" ht="14.25" customHeight="1">
      <c r="C1553" s="4"/>
    </row>
    <row r="1554" ht="14.25" customHeight="1">
      <c r="C1554" s="4"/>
    </row>
    <row r="1555" ht="14.25" customHeight="1">
      <c r="C1555" s="4"/>
    </row>
    <row r="1556" ht="14.25" customHeight="1">
      <c r="C1556" s="4"/>
    </row>
    <row r="1557" ht="14.25" customHeight="1">
      <c r="C1557" s="4"/>
    </row>
    <row r="1558" ht="14.25" customHeight="1">
      <c r="C1558" s="4"/>
    </row>
    <row r="1559" ht="14.25" customHeight="1">
      <c r="C1559" s="4"/>
    </row>
    <row r="1560" ht="14.25" customHeight="1">
      <c r="C1560" s="4"/>
    </row>
    <row r="1561" ht="14.25" customHeight="1">
      <c r="C1561" s="4"/>
    </row>
    <row r="1562" ht="14.25" customHeight="1">
      <c r="C1562" s="4"/>
    </row>
    <row r="1563" ht="14.25" customHeight="1">
      <c r="C1563" s="4"/>
    </row>
    <row r="1564" ht="5.25" customHeight="1">
      <c r="C1564" s="4"/>
    </row>
    <row r="1565" ht="5.25" customHeight="1">
      <c r="C1565" s="4"/>
    </row>
    <row r="1566" ht="5.25" customHeight="1">
      <c r="C1566" s="4"/>
    </row>
    <row r="1567" ht="5.25" customHeight="1">
      <c r="C1567" s="4"/>
    </row>
    <row r="1568" ht="5.25" customHeight="1">
      <c r="C1568" s="4"/>
    </row>
    <row r="1569" ht="5.25" customHeight="1">
      <c r="C1569" s="4"/>
    </row>
    <row r="1570" ht="5.25" customHeight="1">
      <c r="C1570" s="4"/>
    </row>
    <row r="1571" ht="5.25" customHeight="1">
      <c r="C1571" s="4"/>
    </row>
    <row r="1572" ht="5.25" customHeight="1">
      <c r="C1572" s="4"/>
    </row>
    <row r="1573" ht="5.25" customHeight="1">
      <c r="C1573" s="4"/>
    </row>
    <row r="1574" ht="5.25" customHeight="1">
      <c r="C1574" s="4"/>
    </row>
    <row r="1575" ht="5.25" customHeight="1">
      <c r="C1575" s="4"/>
    </row>
    <row r="1576" ht="5.25" customHeight="1">
      <c r="C1576" s="4"/>
    </row>
    <row r="1577" ht="5.25" customHeight="1">
      <c r="C1577" s="4"/>
    </row>
    <row r="1578" ht="5.25" customHeight="1">
      <c r="C1578" s="4"/>
    </row>
    <row r="1579" ht="5.25" customHeight="1">
      <c r="C1579" s="4"/>
    </row>
    <row r="1580" ht="5.25" customHeight="1">
      <c r="C1580" s="4"/>
    </row>
    <row r="1581" ht="5.25" customHeight="1">
      <c r="C1581" s="4"/>
    </row>
    <row r="1582" ht="5.25" customHeight="1">
      <c r="C1582" s="4"/>
    </row>
    <row r="1583" ht="5.25" customHeight="1">
      <c r="C1583" s="4"/>
    </row>
    <row r="1584" ht="5.25" customHeight="1">
      <c r="C1584" s="4"/>
    </row>
    <row r="1585" ht="5.25" customHeight="1">
      <c r="C1585" s="4"/>
    </row>
    <row r="1586" ht="5.25" customHeight="1">
      <c r="C1586" s="4"/>
    </row>
    <row r="1587" ht="5.25" customHeight="1">
      <c r="C1587" s="4"/>
    </row>
    <row r="1588" ht="5.25" customHeight="1">
      <c r="C1588" s="4"/>
    </row>
    <row r="1589" ht="5.25" customHeight="1">
      <c r="C1589" s="4"/>
    </row>
    <row r="1590" ht="5.25" customHeight="1">
      <c r="C1590" s="4"/>
    </row>
    <row r="1591" ht="5.25" customHeight="1">
      <c r="C1591" s="4"/>
    </row>
  </sheetData>
  <sheetProtection/>
  <printOptions horizontalCentered="1"/>
  <pageMargins left="0" right="0" top="0.25" bottom="0.25" header="0.5" footer="0.5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</dc:creator>
  <cp:keywords/>
  <dc:description/>
  <cp:lastModifiedBy>Kahle, Tim</cp:lastModifiedBy>
  <cp:lastPrinted>2005-05-31T15:38:03Z</cp:lastPrinted>
  <dcterms:created xsi:type="dcterms:W3CDTF">2005-05-31T15:34:27Z</dcterms:created>
  <dcterms:modified xsi:type="dcterms:W3CDTF">2022-06-21T22:00:55Z</dcterms:modified>
  <cp:category/>
  <cp:version/>
  <cp:contentType/>
  <cp:contentStatus/>
</cp:coreProperties>
</file>